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4.xml" ContentType="application/vnd.openxmlformats-officedocument.spreadsheetml.pivot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3a4090e471ff419/Documents/GitHub/finevalgroup/"/>
    </mc:Choice>
  </mc:AlternateContent>
  <xr:revisionPtr revIDLastSave="0" documentId="10_ncr:8000_{4DC55075-8E50-4D7C-AB1A-CB18CFEB48D1}" xr6:coauthVersionLast="47" xr6:coauthVersionMax="47" xr10:uidLastSave="{00000000-0000-0000-0000-000000000000}"/>
  <bookViews>
    <workbookView xWindow="-108" yWindow="-108" windowWidth="23256" windowHeight="12456" firstSheet="6" activeTab="6" xr2:uid="{00000000-000D-0000-FFFF-FFFF00000000}"/>
  </bookViews>
  <sheets>
    <sheet name="1" sheetId="2" r:id="rId1"/>
    <sheet name="Annual Summary" sheetId="5" r:id="rId2"/>
    <sheet name="2023 Overview" sheetId="15" state="hidden" r:id="rId3"/>
    <sheet name="2024 Overview" sheetId="24" r:id="rId4"/>
    <sheet name="2022 Overview" sheetId="6" state="hidden" r:id="rId5"/>
    <sheet name="2024 AOP (H1)" sheetId="29" r:id="rId6"/>
    <sheet name="Quarterly Overview" sheetId="26" r:id="rId7"/>
    <sheet name="2" sheetId="3" r:id="rId8"/>
    <sheet name="Monthly Detail" sheetId="1" r:id="rId9"/>
    <sheet name="3" sheetId="4" r:id="rId10"/>
    <sheet name="October" sheetId="11" state="hidden" r:id="rId11"/>
    <sheet name="September" sheetId="12" state="hidden" r:id="rId12"/>
    <sheet name="August" sheetId="13" state="hidden" r:id="rId13"/>
    <sheet name="Actual vs. Forecast" sheetId="27" r:id="rId14"/>
    <sheet name="People Plan" sheetId="25" r:id="rId15"/>
    <sheet name="Holidays" sheetId="9" state="hidden" r:id="rId16"/>
    <sheet name="December" sheetId="19" state="hidden" r:id="rId17"/>
    <sheet name="November" sheetId="16" state="hidden" r:id="rId18"/>
    <sheet name="River" sheetId="18" state="hidden" r:id="rId19"/>
  </sheets>
  <definedNames>
    <definedName name="_xlnm._FilterDatabase" localSheetId="16" hidden="1">December!$A$1:$K$16</definedName>
    <definedName name="_xlnm._FilterDatabase" localSheetId="17" hidden="1">November!$A$1:$L$25</definedName>
    <definedName name="_xlnm._FilterDatabase" localSheetId="10" hidden="1">October!$A$1:$K$41</definedName>
    <definedName name="MLNK04527a7a692d4c5a962de6ed08306286" localSheetId="5" hidden="1">#REF!</definedName>
    <definedName name="MLNK04527a7a692d4c5a962de6ed08306286" localSheetId="3" hidden="1">#REF!</definedName>
    <definedName name="MLNK04527a7a692d4c5a962de6ed08306286" localSheetId="13" hidden="1">#REF!</definedName>
    <definedName name="MLNK04527a7a692d4c5a962de6ed08306286" localSheetId="14" hidden="1">#REF!</definedName>
    <definedName name="MLNK04527a7a692d4c5a962de6ed08306286" localSheetId="6" hidden="1">#REF!</definedName>
    <definedName name="MLNK04527a7a692d4c5a962de6ed08306286" hidden="1">#REF!</definedName>
    <definedName name="_xlnm.Print_Area" localSheetId="4">'2022 Overview'!$B$2:$P$31</definedName>
    <definedName name="_xlnm.Print_Area" localSheetId="1">'Annual Summary'!$B$9:$X$47</definedName>
  </definedNames>
  <calcPr calcId="191029"/>
  <pivotCaches>
    <pivotCache cacheId="0" r:id="rId20"/>
    <pivotCache cacheId="1" r:id="rId21"/>
    <pivotCache cacheId="2" r:id="rId22"/>
    <pivotCache cacheId="3" r:id="rId2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60" i="27" l="1"/>
  <c r="Q53" i="27"/>
  <c r="DG111" i="1"/>
  <c r="DF111" i="1"/>
  <c r="DE111" i="1"/>
  <c r="DD111" i="1"/>
  <c r="DC111" i="1"/>
  <c r="DB111" i="1"/>
  <c r="DA111" i="1"/>
  <c r="CZ111" i="1"/>
  <c r="CY111" i="1"/>
  <c r="CX111" i="1"/>
  <c r="CW111" i="1"/>
  <c r="CV111" i="1"/>
  <c r="CU111" i="1"/>
  <c r="CT111" i="1"/>
  <c r="CS111" i="1"/>
  <c r="CR111" i="1"/>
  <c r="CQ111" i="1"/>
  <c r="CP111" i="1"/>
  <c r="CO111" i="1"/>
  <c r="CN111" i="1"/>
  <c r="CM111" i="1"/>
  <c r="CL111" i="1"/>
  <c r="CK111" i="1"/>
  <c r="CJ111" i="1"/>
  <c r="CI111" i="1"/>
  <c r="CH111" i="1"/>
  <c r="CG111" i="1"/>
  <c r="CF111" i="1"/>
  <c r="CE111" i="1"/>
  <c r="CD111" i="1"/>
  <c r="CC111" i="1"/>
  <c r="CB111" i="1"/>
  <c r="CA111" i="1"/>
  <c r="BZ111" i="1"/>
  <c r="BY111" i="1"/>
  <c r="BX111" i="1"/>
  <c r="BW111" i="1"/>
  <c r="BV111" i="1"/>
  <c r="BU111" i="1"/>
  <c r="BT111" i="1"/>
  <c r="BS111" i="1"/>
  <c r="BR111" i="1"/>
  <c r="BQ111" i="1"/>
  <c r="BP111" i="1"/>
  <c r="BO111" i="1"/>
  <c r="BN111" i="1"/>
  <c r="BM111" i="1"/>
  <c r="BL111" i="1"/>
  <c r="BK111" i="1"/>
  <c r="BJ111" i="1"/>
  <c r="BI111" i="1"/>
  <c r="BH111" i="1"/>
  <c r="BG111" i="1"/>
  <c r="BF111" i="1"/>
  <c r="BE111" i="1"/>
  <c r="BD111" i="1"/>
  <c r="BC111" i="1"/>
  <c r="BB111" i="1"/>
  <c r="BA111" i="1"/>
  <c r="AZ111" i="1"/>
  <c r="AY111" i="1"/>
  <c r="AX111" i="1"/>
  <c r="AW111" i="1"/>
  <c r="AV111" i="1"/>
  <c r="AU111" i="1"/>
  <c r="AT111" i="1"/>
  <c r="AS111" i="1"/>
  <c r="AR111" i="1"/>
  <c r="AQ111" i="1"/>
  <c r="AP111" i="1"/>
  <c r="AO111" i="1"/>
  <c r="AN111" i="1"/>
  <c r="AM111" i="1"/>
  <c r="AL111" i="1"/>
  <c r="AK111" i="1"/>
  <c r="AJ111" i="1"/>
  <c r="AI111" i="1"/>
  <c r="AH111" i="1"/>
  <c r="AG111" i="1"/>
  <c r="AF111" i="1"/>
  <c r="AE111" i="1"/>
  <c r="AD111" i="1"/>
  <c r="AC111" i="1"/>
  <c r="AB111" i="1"/>
  <c r="AN78" i="1"/>
  <c r="AN79" i="1" s="1"/>
  <c r="AM78" i="1"/>
  <c r="AL78" i="1"/>
  <c r="AL79" i="1" s="1"/>
  <c r="AM79" i="1"/>
  <c r="AJ79" i="1"/>
  <c r="AI79" i="1"/>
  <c r="AH79" i="1"/>
  <c r="AG79" i="1"/>
  <c r="AF79" i="1"/>
  <c r="AE79" i="1"/>
  <c r="AD79" i="1"/>
  <c r="AC79" i="1"/>
  <c r="AB79" i="1"/>
  <c r="AK79" i="1"/>
  <c r="AK80" i="1" s="1"/>
  <c r="AK7" i="1"/>
  <c r="AK9" i="1" s="1"/>
  <c r="AK14" i="1"/>
  <c r="AK19" i="1"/>
  <c r="AK20" i="1"/>
  <c r="AK21" i="1"/>
  <c r="AK22" i="1"/>
  <c r="AK29" i="1"/>
  <c r="AK30" i="1"/>
  <c r="AK32" i="1"/>
  <c r="AK33" i="1"/>
  <c r="AK57" i="1"/>
  <c r="AK82" i="1" s="1"/>
  <c r="AK65" i="1"/>
  <c r="AK85" i="1"/>
  <c r="AK86" i="1" s="1"/>
  <c r="AK96" i="1"/>
  <c r="AK97" i="1" s="1"/>
  <c r="AK100" i="1"/>
  <c r="AK109" i="1"/>
  <c r="AK117" i="1"/>
  <c r="AK125" i="1"/>
  <c r="AL8" i="1"/>
  <c r="AL42" i="1"/>
  <c r="AL65" i="1"/>
  <c r="AL68" i="1"/>
  <c r="AL70" i="1"/>
  <c r="AL73" i="1"/>
  <c r="AL76" i="1"/>
  <c r="AL84" i="1"/>
  <c r="AL85" i="1" s="1"/>
  <c r="AL86" i="1" s="1"/>
  <c r="AL103" i="1"/>
  <c r="AL104" i="1"/>
  <c r="AL105" i="1"/>
  <c r="AL106" i="1"/>
  <c r="AL107" i="1"/>
  <c r="AL108" i="1"/>
  <c r="AL116" i="1"/>
  <c r="AL117" i="1" s="1"/>
  <c r="AL119" i="1"/>
  <c r="AL120" i="1"/>
  <c r="AL121" i="1"/>
  <c r="Q58" i="27"/>
  <c r="Q30" i="27"/>
  <c r="O59" i="27"/>
  <c r="Q59" i="27" s="1"/>
  <c r="AG21" i="1"/>
  <c r="AB29" i="1"/>
  <c r="AB30" i="1"/>
  <c r="AJ29" i="1"/>
  <c r="AJ21" i="1"/>
  <c r="AO78" i="1" l="1"/>
  <c r="AK61" i="1"/>
  <c r="AK28" i="1"/>
  <c r="AK58" i="1"/>
  <c r="AK34" i="1"/>
  <c r="AL109" i="1"/>
  <c r="AL80" i="1"/>
  <c r="AK101" i="1"/>
  <c r="AK112" i="1"/>
  <c r="AK113" i="1" s="1"/>
  <c r="AK59" i="1"/>
  <c r="AJ65" i="1"/>
  <c r="AI65" i="1"/>
  <c r="AH65" i="1"/>
  <c r="AG65" i="1"/>
  <c r="AF65" i="1"/>
  <c r="AE65" i="1"/>
  <c r="AD65" i="1"/>
  <c r="AC65" i="1"/>
  <c r="AB65" i="1"/>
  <c r="AJ7" i="1"/>
  <c r="AJ9" i="1" s="1"/>
  <c r="AJ14" i="1"/>
  <c r="AJ19" i="1"/>
  <c r="AJ20" i="1"/>
  <c r="AJ22" i="1"/>
  <c r="AJ30" i="1"/>
  <c r="AJ32" i="1"/>
  <c r="AJ33" i="1" s="1"/>
  <c r="AJ57" i="1"/>
  <c r="AJ82" i="1" s="1"/>
  <c r="AJ85" i="1"/>
  <c r="AJ86" i="1" s="1"/>
  <c r="AJ96" i="1"/>
  <c r="AJ97" i="1"/>
  <c r="AJ100" i="1"/>
  <c r="AJ109" i="1"/>
  <c r="AJ117" i="1"/>
  <c r="AJ125" i="1"/>
  <c r="AI22" i="1"/>
  <c r="AI20" i="1"/>
  <c r="AC7" i="1"/>
  <c r="AD7" i="1"/>
  <c r="AE7" i="1"/>
  <c r="AF7" i="1"/>
  <c r="AG7" i="1"/>
  <c r="AH7" i="1"/>
  <c r="AH9" i="1" s="1"/>
  <c r="AH101" i="1" s="1"/>
  <c r="AI7" i="1"/>
  <c r="AI9" i="1" s="1"/>
  <c r="AI58" i="1" s="1"/>
  <c r="AB7" i="1"/>
  <c r="AI85" i="1"/>
  <c r="AI86" i="1" s="1"/>
  <c r="AI96" i="1"/>
  <c r="AI97" i="1" s="1"/>
  <c r="AI100" i="1"/>
  <c r="AI109" i="1"/>
  <c r="AI117" i="1"/>
  <c r="AI125" i="1"/>
  <c r="AI14" i="1"/>
  <c r="AI19" i="1"/>
  <c r="AI21" i="1"/>
  <c r="AI29" i="1"/>
  <c r="AI30" i="1"/>
  <c r="AI32" i="1"/>
  <c r="AI33" i="1" s="1"/>
  <c r="AI57" i="1"/>
  <c r="AI82" i="1" s="1"/>
  <c r="AH21" i="1"/>
  <c r="AH20" i="1"/>
  <c r="AM75" i="1"/>
  <c r="AH80" i="1"/>
  <c r="AH85" i="1"/>
  <c r="AH86" i="1" s="1"/>
  <c r="AH96" i="1"/>
  <c r="AH97" i="1" s="1"/>
  <c r="AH100" i="1"/>
  <c r="AH109" i="1"/>
  <c r="AH117" i="1"/>
  <c r="AH125" i="1"/>
  <c r="AH14" i="1"/>
  <c r="AH19" i="1"/>
  <c r="AH22" i="1"/>
  <c r="AH29" i="1"/>
  <c r="AH30" i="1"/>
  <c r="AH32" i="1"/>
  <c r="AH33" i="1" s="1"/>
  <c r="AH57" i="1"/>
  <c r="AH82" i="1" s="1"/>
  <c r="AN22" i="1"/>
  <c r="AG57" i="1"/>
  <c r="AG82" i="1" s="1"/>
  <c r="AF57" i="1"/>
  <c r="AF82" i="1" s="1"/>
  <c r="AK39" i="1" s="1"/>
  <c r="AE57" i="1"/>
  <c r="AE82" i="1" s="1"/>
  <c r="AD57" i="1"/>
  <c r="AD82" i="1" s="1"/>
  <c r="AC57" i="1"/>
  <c r="AC82" i="1" s="1"/>
  <c r="AB57" i="1"/>
  <c r="AB82" i="1" s="1"/>
  <c r="AM74" i="1"/>
  <c r="H46" i="24"/>
  <c r="G46" i="24"/>
  <c r="F46" i="24"/>
  <c r="E46" i="24"/>
  <c r="D46" i="24"/>
  <c r="C46" i="24"/>
  <c r="AF137" i="1"/>
  <c r="AE137" i="1"/>
  <c r="AD137" i="1"/>
  <c r="AC137" i="1"/>
  <c r="AB137" i="1"/>
  <c r="AA137" i="1"/>
  <c r="Z137" i="1"/>
  <c r="Y137" i="1"/>
  <c r="X137" i="1"/>
  <c r="W137" i="1"/>
  <c r="V137" i="1"/>
  <c r="U137" i="1"/>
  <c r="T137" i="1"/>
  <c r="S137" i="1"/>
  <c r="R137" i="1"/>
  <c r="Q137" i="1"/>
  <c r="P137" i="1"/>
  <c r="O137" i="1"/>
  <c r="N137" i="1"/>
  <c r="M137" i="1"/>
  <c r="L137" i="1"/>
  <c r="K137" i="1"/>
  <c r="J137" i="1"/>
  <c r="I137" i="1"/>
  <c r="H137" i="1"/>
  <c r="G137" i="1"/>
  <c r="F137" i="1"/>
  <c r="E137" i="1"/>
  <c r="AB136" i="1"/>
  <c r="AB138" i="1" s="1"/>
  <c r="AF136" i="1"/>
  <c r="AE136" i="1"/>
  <c r="AD136" i="1"/>
  <c r="AC136" i="1"/>
  <c r="AA136" i="1"/>
  <c r="Z136" i="1"/>
  <c r="Y136" i="1"/>
  <c r="X136" i="1"/>
  <c r="W136" i="1"/>
  <c r="V136" i="1"/>
  <c r="U136" i="1"/>
  <c r="T136" i="1"/>
  <c r="S136" i="1"/>
  <c r="R136" i="1"/>
  <c r="Q136" i="1"/>
  <c r="P136" i="1"/>
  <c r="O136" i="1"/>
  <c r="N136" i="1"/>
  <c r="M136" i="1"/>
  <c r="L136" i="1"/>
  <c r="K136" i="1"/>
  <c r="J136" i="1"/>
  <c r="I136" i="1"/>
  <c r="H136" i="1"/>
  <c r="G136" i="1"/>
  <c r="F136" i="1"/>
  <c r="E136" i="1"/>
  <c r="AG136" i="1"/>
  <c r="AG137" i="1"/>
  <c r="W125" i="1"/>
  <c r="AO77" i="1"/>
  <c r="AP77" i="1" s="1"/>
  <c r="AQ77" i="1" s="1"/>
  <c r="AR77" i="1" s="1"/>
  <c r="AS77" i="1" s="1"/>
  <c r="AT77" i="1" s="1"/>
  <c r="AU77" i="1" s="1"/>
  <c r="AV77" i="1" s="1"/>
  <c r="AW77" i="1" s="1"/>
  <c r="AX77" i="1" s="1"/>
  <c r="AY77" i="1" s="1"/>
  <c r="AZ77" i="1" s="1"/>
  <c r="BA77" i="1" s="1"/>
  <c r="BB77" i="1" s="1"/>
  <c r="BC77" i="1" s="1"/>
  <c r="BD77" i="1" s="1"/>
  <c r="BE77" i="1" s="1"/>
  <c r="BF77" i="1" s="1"/>
  <c r="BG77" i="1" s="1"/>
  <c r="BH77" i="1" s="1"/>
  <c r="BI77" i="1" s="1"/>
  <c r="BJ77" i="1" s="1"/>
  <c r="BK77" i="1" s="1"/>
  <c r="BL77" i="1" s="1"/>
  <c r="BM77" i="1" s="1"/>
  <c r="BN77" i="1" s="1"/>
  <c r="BO77" i="1" s="1"/>
  <c r="BP77" i="1" s="1"/>
  <c r="BQ77" i="1" s="1"/>
  <c r="BR77" i="1" s="1"/>
  <c r="BS77" i="1" s="1"/>
  <c r="BT77" i="1" s="1"/>
  <c r="BU77" i="1" s="1"/>
  <c r="BV77" i="1" s="1"/>
  <c r="BW77" i="1" s="1"/>
  <c r="BX77" i="1" s="1"/>
  <c r="BY77" i="1" s="1"/>
  <c r="BZ77" i="1" s="1"/>
  <c r="CA77" i="1" s="1"/>
  <c r="CB77" i="1" s="1"/>
  <c r="CC77" i="1" s="1"/>
  <c r="CD77" i="1" s="1"/>
  <c r="CE77" i="1" s="1"/>
  <c r="CF77" i="1" s="1"/>
  <c r="CG77" i="1" s="1"/>
  <c r="CH77" i="1" s="1"/>
  <c r="CI77" i="1" s="1"/>
  <c r="CJ77" i="1" s="1"/>
  <c r="CK77" i="1" s="1"/>
  <c r="CL77" i="1" s="1"/>
  <c r="CM77" i="1" s="1"/>
  <c r="CN77" i="1" s="1"/>
  <c r="CO77" i="1" s="1"/>
  <c r="CP77" i="1" s="1"/>
  <c r="CQ77" i="1" s="1"/>
  <c r="CR77" i="1" s="1"/>
  <c r="CS77" i="1" s="1"/>
  <c r="CT77" i="1" s="1"/>
  <c r="CU77" i="1" s="1"/>
  <c r="CV77" i="1" s="1"/>
  <c r="CW77" i="1" s="1"/>
  <c r="CX77" i="1" s="1"/>
  <c r="CY77" i="1" s="1"/>
  <c r="CZ77" i="1" s="1"/>
  <c r="DA77" i="1" s="1"/>
  <c r="DB77" i="1" s="1"/>
  <c r="DC77" i="1" s="1"/>
  <c r="DD77" i="1" s="1"/>
  <c r="DE77" i="1" s="1"/>
  <c r="DF77" i="1" s="1"/>
  <c r="DG77" i="1" s="1"/>
  <c r="AG20" i="1"/>
  <c r="AG22" i="1"/>
  <c r="AG32" i="1"/>
  <c r="AG33" i="1" s="1"/>
  <c r="AG19" i="1"/>
  <c r="H46" i="26"/>
  <c r="H45" i="26"/>
  <c r="H44" i="26"/>
  <c r="H43" i="26"/>
  <c r="H42" i="26"/>
  <c r="F42" i="26"/>
  <c r="F43" i="26"/>
  <c r="F44" i="26"/>
  <c r="F45" i="26"/>
  <c r="F46" i="26"/>
  <c r="D44" i="26"/>
  <c r="D45" i="26"/>
  <c r="D46" i="26"/>
  <c r="C46" i="26"/>
  <c r="C45" i="26"/>
  <c r="C44" i="26"/>
  <c r="D43" i="26"/>
  <c r="D42" i="26"/>
  <c r="C43" i="26"/>
  <c r="C42" i="26"/>
  <c r="AO79" i="1" l="1"/>
  <c r="AP78" i="1"/>
  <c r="AK81" i="1"/>
  <c r="AK36" i="1" s="1"/>
  <c r="AK41" i="1" s="1"/>
  <c r="AG39" i="1"/>
  <c r="AK37" i="1"/>
  <c r="AK35" i="1"/>
  <c r="AJ34" i="1"/>
  <c r="AJ37" i="1" s="1"/>
  <c r="AH39" i="1"/>
  <c r="AI39" i="1"/>
  <c r="AJ39" i="1"/>
  <c r="AI80" i="1"/>
  <c r="AJ80" i="1"/>
  <c r="AM64" i="1"/>
  <c r="AM65" i="1" s="1"/>
  <c r="AJ112" i="1"/>
  <c r="AJ113" i="1" s="1"/>
  <c r="AJ61" i="1"/>
  <c r="AJ28" i="1"/>
  <c r="AJ59" i="1"/>
  <c r="AJ101" i="1"/>
  <c r="AJ58" i="1"/>
  <c r="AI34" i="1"/>
  <c r="AI35" i="1" s="1"/>
  <c r="AI101" i="1"/>
  <c r="AI28" i="1"/>
  <c r="AI61" i="1"/>
  <c r="AI59" i="1"/>
  <c r="AI112" i="1"/>
  <c r="AI113" i="1" s="1"/>
  <c r="AH112" i="1"/>
  <c r="AH113" i="1" s="1"/>
  <c r="AH61" i="1"/>
  <c r="AH81" i="1" s="1"/>
  <c r="AH87" i="1" s="1"/>
  <c r="AH28" i="1"/>
  <c r="AH59" i="1"/>
  <c r="AH34" i="1"/>
  <c r="AH58" i="1"/>
  <c r="AA138" i="1"/>
  <c r="W138" i="1"/>
  <c r="AE138" i="1"/>
  <c r="AG138" i="1"/>
  <c r="V138" i="1"/>
  <c r="AC138" i="1"/>
  <c r="AD138" i="1"/>
  <c r="X138" i="1"/>
  <c r="AF138" i="1"/>
  <c r="Y138" i="1"/>
  <c r="Z138" i="1"/>
  <c r="AH136" i="1"/>
  <c r="AG80" i="1"/>
  <c r="AG85" i="1"/>
  <c r="AG86" i="1" s="1"/>
  <c r="AG96" i="1"/>
  <c r="AG97" i="1" s="1"/>
  <c r="AG100" i="1"/>
  <c r="AG109" i="1"/>
  <c r="AG117" i="1"/>
  <c r="AG125" i="1"/>
  <c r="AG9" i="1"/>
  <c r="AG14" i="1"/>
  <c r="AG29" i="1"/>
  <c r="AG30" i="1"/>
  <c r="AF80" i="1"/>
  <c r="H11" i="26"/>
  <c r="F11" i="26"/>
  <c r="D11" i="26"/>
  <c r="C11" i="26"/>
  <c r="AP79" i="1" l="1"/>
  <c r="AQ78" i="1"/>
  <c r="AK87" i="1"/>
  <c r="AJ35" i="1"/>
  <c r="AI81" i="1"/>
  <c r="AI87" i="1" s="1"/>
  <c r="AJ81" i="1"/>
  <c r="AJ36" i="1" s="1"/>
  <c r="AI37" i="1"/>
  <c r="AH37" i="1"/>
  <c r="AH35" i="1"/>
  <c r="AG101" i="1"/>
  <c r="AG34" i="1"/>
  <c r="AG28" i="1"/>
  <c r="AG112" i="1"/>
  <c r="AG113" i="1" s="1"/>
  <c r="AG61" i="1"/>
  <c r="AG81" i="1" s="1"/>
  <c r="AG87" i="1" s="1"/>
  <c r="AG59" i="1"/>
  <c r="AG58" i="1"/>
  <c r="AQ79" i="1" l="1"/>
  <c r="AR78" i="1"/>
  <c r="AJ41" i="1"/>
  <c r="AJ87" i="1"/>
  <c r="AG35" i="1"/>
  <c r="AG37" i="1"/>
  <c r="AS78" i="1" l="1"/>
  <c r="AR79" i="1"/>
  <c r="G25" i="24"/>
  <c r="F25" i="24"/>
  <c r="E25" i="24"/>
  <c r="D25" i="24"/>
  <c r="C25" i="24"/>
  <c r="AF22" i="1"/>
  <c r="AF32" i="1"/>
  <c r="AF33" i="1" s="1"/>
  <c r="I48" i="1"/>
  <c r="I47" i="1"/>
  <c r="I46" i="1"/>
  <c r="AF29" i="1"/>
  <c r="AF21" i="1"/>
  <c r="AE21" i="1"/>
  <c r="AD21" i="1"/>
  <c r="AC21" i="1"/>
  <c r="AB21" i="1"/>
  <c r="AA21" i="1"/>
  <c r="Z21" i="1"/>
  <c r="Y21" i="1"/>
  <c r="W21" i="1"/>
  <c r="X21" i="1"/>
  <c r="AF20" i="1"/>
  <c r="AE20" i="1"/>
  <c r="AD20" i="1"/>
  <c r="AC20" i="1"/>
  <c r="AB20" i="1"/>
  <c r="AA20" i="1"/>
  <c r="Z20" i="1"/>
  <c r="Y20" i="1"/>
  <c r="X20" i="1"/>
  <c r="AF19" i="1"/>
  <c r="AE32" i="1"/>
  <c r="AE33" i="1" s="1"/>
  <c r="AD32" i="1"/>
  <c r="AE29" i="1"/>
  <c r="AD29" i="1"/>
  <c r="AC29" i="1"/>
  <c r="AA29" i="1"/>
  <c r="Z29" i="1"/>
  <c r="Y29" i="1"/>
  <c r="X29" i="1"/>
  <c r="W29" i="1"/>
  <c r="AF30" i="1"/>
  <c r="AD30" i="1"/>
  <c r="AE22" i="1"/>
  <c r="AD22" i="1"/>
  <c r="AC22" i="1"/>
  <c r="AB22" i="1"/>
  <c r="AA22" i="1"/>
  <c r="AM22" i="1" s="1"/>
  <c r="Z22" i="1"/>
  <c r="AL22" i="1" s="1"/>
  <c r="Y22" i="1"/>
  <c r="X22" i="1"/>
  <c r="W22" i="1"/>
  <c r="W19" i="1"/>
  <c r="AF14" i="1"/>
  <c r="AE14" i="1"/>
  <c r="AD14" i="1"/>
  <c r="AC14" i="1"/>
  <c r="AB14" i="1"/>
  <c r="AA14" i="1"/>
  <c r="Z14" i="1"/>
  <c r="Y14" i="1"/>
  <c r="X14" i="1"/>
  <c r="E14" i="1"/>
  <c r="W14" i="1"/>
  <c r="G23" i="24"/>
  <c r="F23" i="24"/>
  <c r="E23" i="24"/>
  <c r="D23" i="24"/>
  <c r="C23" i="24"/>
  <c r="FB4" i="25"/>
  <c r="FA4" i="25"/>
  <c r="EZ4" i="25"/>
  <c r="EY4" i="25"/>
  <c r="EX4" i="25"/>
  <c r="EW4" i="25"/>
  <c r="EV4" i="25"/>
  <c r="EU4" i="25"/>
  <c r="ET4" i="25"/>
  <c r="ES4" i="25"/>
  <c r="ER4" i="25"/>
  <c r="EQ4" i="25"/>
  <c r="EP4" i="25"/>
  <c r="EO4" i="25"/>
  <c r="EN4" i="25"/>
  <c r="EM4" i="25"/>
  <c r="EL4" i="25"/>
  <c r="EK4" i="25"/>
  <c r="EJ4" i="25"/>
  <c r="EI4" i="25"/>
  <c r="EH4" i="25"/>
  <c r="EG4" i="25"/>
  <c r="EF4" i="25"/>
  <c r="EE4" i="25"/>
  <c r="ED4" i="25"/>
  <c r="EC4" i="25"/>
  <c r="EB4" i="25"/>
  <c r="EA4" i="25"/>
  <c r="DZ4" i="25"/>
  <c r="DY4" i="25"/>
  <c r="DX4" i="25"/>
  <c r="DW4" i="25"/>
  <c r="DV4" i="25"/>
  <c r="DU4" i="25"/>
  <c r="DT4" i="25"/>
  <c r="DS4" i="25"/>
  <c r="DR4" i="25"/>
  <c r="DQ4" i="25"/>
  <c r="DP4" i="25"/>
  <c r="DO4" i="25"/>
  <c r="DN4" i="25"/>
  <c r="DM4" i="25"/>
  <c r="DL4" i="25"/>
  <c r="DK4" i="25"/>
  <c r="DJ4" i="25"/>
  <c r="DI4" i="25"/>
  <c r="DH4" i="25"/>
  <c r="DG4" i="25"/>
  <c r="DF4" i="25"/>
  <c r="DE4" i="25"/>
  <c r="DD4" i="25"/>
  <c r="DC4" i="25"/>
  <c r="DB4" i="25"/>
  <c r="DA4" i="25"/>
  <c r="CZ4" i="25"/>
  <c r="CY4" i="25"/>
  <c r="CX4" i="25"/>
  <c r="CW4" i="25"/>
  <c r="CV4" i="25"/>
  <c r="CU4" i="25"/>
  <c r="CT4" i="25"/>
  <c r="CS4" i="25"/>
  <c r="CR4" i="25"/>
  <c r="CQ4" i="25"/>
  <c r="CP4" i="25"/>
  <c r="CO4" i="25"/>
  <c r="CN4" i="25"/>
  <c r="CM4" i="25"/>
  <c r="CL4" i="25"/>
  <c r="CK4" i="25"/>
  <c r="CJ4" i="25"/>
  <c r="CI4" i="25"/>
  <c r="AF125" i="1"/>
  <c r="G50" i="24" s="1"/>
  <c r="AE125" i="1"/>
  <c r="AD125" i="1"/>
  <c r="E50" i="24" s="1"/>
  <c r="AC125" i="1"/>
  <c r="D50" i="24" s="1"/>
  <c r="AB125" i="1"/>
  <c r="C50" i="24" s="1"/>
  <c r="AA125" i="1"/>
  <c r="Z125" i="1"/>
  <c r="Y125" i="1"/>
  <c r="X125" i="1"/>
  <c r="AT78" i="1" l="1"/>
  <c r="AS79" i="1"/>
  <c r="F50" i="24"/>
  <c r="AO22" i="1"/>
  <c r="AP22" i="1" s="1"/>
  <c r="AQ22" i="1" s="1"/>
  <c r="AR22" i="1" s="1"/>
  <c r="AS22" i="1" s="1"/>
  <c r="AT22" i="1" s="1"/>
  <c r="AU22" i="1" s="1"/>
  <c r="AV22" i="1" s="1"/>
  <c r="AW22" i="1" s="1"/>
  <c r="AX22" i="1" s="1"/>
  <c r="AY22" i="1" s="1"/>
  <c r="AZ22" i="1" s="1"/>
  <c r="BA22" i="1" s="1"/>
  <c r="BB22" i="1" s="1"/>
  <c r="BC22" i="1" s="1"/>
  <c r="BD22" i="1" s="1"/>
  <c r="BE22" i="1" s="1"/>
  <c r="BF22" i="1" s="1"/>
  <c r="BG22" i="1" s="1"/>
  <c r="BH22" i="1" s="1"/>
  <c r="BI22" i="1" s="1"/>
  <c r="BJ22" i="1" s="1"/>
  <c r="BK22" i="1" s="1"/>
  <c r="BL22" i="1" s="1"/>
  <c r="BM22" i="1" s="1"/>
  <c r="BN22" i="1" s="1"/>
  <c r="BO22" i="1" s="1"/>
  <c r="BP22" i="1" s="1"/>
  <c r="BQ22" i="1" s="1"/>
  <c r="BR22" i="1" s="1"/>
  <c r="BS22" i="1" s="1"/>
  <c r="BT22" i="1" s="1"/>
  <c r="BU22" i="1" s="1"/>
  <c r="BV22" i="1" s="1"/>
  <c r="BW22" i="1" s="1"/>
  <c r="BX22" i="1" s="1"/>
  <c r="BY22" i="1" s="1"/>
  <c r="BZ22" i="1" s="1"/>
  <c r="CA22" i="1" s="1"/>
  <c r="CB22" i="1" s="1"/>
  <c r="CC22" i="1" s="1"/>
  <c r="CD22" i="1" s="1"/>
  <c r="CE22" i="1" s="1"/>
  <c r="CF22" i="1" s="1"/>
  <c r="CG22" i="1" s="1"/>
  <c r="CH22" i="1" s="1"/>
  <c r="CI22" i="1" s="1"/>
  <c r="CJ22" i="1" s="1"/>
  <c r="CK22" i="1" s="1"/>
  <c r="CL22" i="1" s="1"/>
  <c r="CM22" i="1" s="1"/>
  <c r="CN22" i="1" s="1"/>
  <c r="CO22" i="1" s="1"/>
  <c r="CP22" i="1" s="1"/>
  <c r="CQ22" i="1" s="1"/>
  <c r="CR22" i="1" s="1"/>
  <c r="CS22" i="1" s="1"/>
  <c r="CT22" i="1" s="1"/>
  <c r="CU22" i="1" s="1"/>
  <c r="CV22" i="1" s="1"/>
  <c r="CW22" i="1" s="1"/>
  <c r="CX22" i="1" s="1"/>
  <c r="CY22" i="1" s="1"/>
  <c r="CZ22" i="1" s="1"/>
  <c r="DA22" i="1" s="1"/>
  <c r="DB22" i="1" s="1"/>
  <c r="DC22" i="1" s="1"/>
  <c r="DD22" i="1" s="1"/>
  <c r="DE22" i="1" s="1"/>
  <c r="DF22" i="1" s="1"/>
  <c r="DG22" i="1" s="1"/>
  <c r="J48" i="1"/>
  <c r="K48" i="1" s="1"/>
  <c r="L48" i="1" s="1"/>
  <c r="M48" i="1" s="1"/>
  <c r="N48" i="1" s="1"/>
  <c r="J47" i="1"/>
  <c r="K47" i="1" s="1"/>
  <c r="L47" i="1" s="1"/>
  <c r="M47" i="1" s="1"/>
  <c r="N47" i="1" s="1"/>
  <c r="J46" i="1"/>
  <c r="K46" i="1" s="1"/>
  <c r="L46" i="1" s="1"/>
  <c r="M46" i="1" s="1"/>
  <c r="N46" i="1" s="1"/>
  <c r="AU78" i="1" l="1"/>
  <c r="AT79" i="1"/>
  <c r="AL29" i="1"/>
  <c r="AM125" i="1"/>
  <c r="AN125" i="1" s="1"/>
  <c r="AO125" i="1" s="1"/>
  <c r="AP125" i="1" s="1"/>
  <c r="AQ125" i="1" s="1"/>
  <c r="AR125" i="1" s="1"/>
  <c r="AS125" i="1" s="1"/>
  <c r="AT125" i="1" s="1"/>
  <c r="AU125" i="1" s="1"/>
  <c r="AV125" i="1" s="1"/>
  <c r="AW125" i="1" s="1"/>
  <c r="AX125" i="1" s="1"/>
  <c r="AY125" i="1" s="1"/>
  <c r="AZ125" i="1" s="1"/>
  <c r="BA125" i="1" s="1"/>
  <c r="BB125" i="1" s="1"/>
  <c r="BC125" i="1" s="1"/>
  <c r="BD125" i="1" s="1"/>
  <c r="BE125" i="1" s="1"/>
  <c r="BF125" i="1" s="1"/>
  <c r="BG125" i="1" s="1"/>
  <c r="BH125" i="1" s="1"/>
  <c r="BI125" i="1" s="1"/>
  <c r="BJ125" i="1" s="1"/>
  <c r="BK125" i="1" s="1"/>
  <c r="BL125" i="1" s="1"/>
  <c r="BM125" i="1" s="1"/>
  <c r="BN125" i="1" s="1"/>
  <c r="BO125" i="1" s="1"/>
  <c r="BP125" i="1" s="1"/>
  <c r="BQ125" i="1" s="1"/>
  <c r="BR125" i="1" s="1"/>
  <c r="BS125" i="1" s="1"/>
  <c r="BT125" i="1" s="1"/>
  <c r="BU125" i="1" s="1"/>
  <c r="BV125" i="1" s="1"/>
  <c r="BW125" i="1" s="1"/>
  <c r="BX125" i="1" s="1"/>
  <c r="BY125" i="1" s="1"/>
  <c r="BZ125" i="1" s="1"/>
  <c r="CA125" i="1" s="1"/>
  <c r="CB125" i="1" s="1"/>
  <c r="CC125" i="1" s="1"/>
  <c r="CD125" i="1" s="1"/>
  <c r="CE125" i="1" s="1"/>
  <c r="CF125" i="1" s="1"/>
  <c r="CG125" i="1" s="1"/>
  <c r="CH125" i="1" s="1"/>
  <c r="CI125" i="1" s="1"/>
  <c r="CJ125" i="1" s="1"/>
  <c r="CK125" i="1" s="1"/>
  <c r="CL125" i="1" s="1"/>
  <c r="CM125" i="1" s="1"/>
  <c r="CN125" i="1" s="1"/>
  <c r="CO125" i="1" s="1"/>
  <c r="CP125" i="1" s="1"/>
  <c r="CQ125" i="1" s="1"/>
  <c r="CR125" i="1" s="1"/>
  <c r="CS125" i="1" s="1"/>
  <c r="CT125" i="1" s="1"/>
  <c r="CU125" i="1" s="1"/>
  <c r="CV125" i="1" s="1"/>
  <c r="CW125" i="1" s="1"/>
  <c r="CX125" i="1" s="1"/>
  <c r="CY125" i="1" s="1"/>
  <c r="CZ125" i="1" s="1"/>
  <c r="DA125" i="1" s="1"/>
  <c r="DB125" i="1" s="1"/>
  <c r="DC125" i="1" s="1"/>
  <c r="DD125" i="1" s="1"/>
  <c r="DE125" i="1" s="1"/>
  <c r="DF125" i="1" s="1"/>
  <c r="DG125" i="1" s="1"/>
  <c r="G49" i="24"/>
  <c r="V11" i="1"/>
  <c r="AV78" i="1" l="1"/>
  <c r="AU79" i="1"/>
  <c r="AL21" i="1"/>
  <c r="AM21" i="1" s="1"/>
  <c r="AN21" i="1" s="1"/>
  <c r="AO21" i="1" s="1"/>
  <c r="AP21" i="1" s="1"/>
  <c r="AQ21" i="1" s="1"/>
  <c r="AR21" i="1" s="1"/>
  <c r="AS21" i="1" s="1"/>
  <c r="AT21" i="1" s="1"/>
  <c r="AU21" i="1" s="1"/>
  <c r="AV21" i="1" s="1"/>
  <c r="AW21" i="1" s="1"/>
  <c r="AX21" i="1" s="1"/>
  <c r="AY21" i="1" s="1"/>
  <c r="AZ21" i="1" s="1"/>
  <c r="BA21" i="1" s="1"/>
  <c r="BB21" i="1" s="1"/>
  <c r="BC21" i="1" s="1"/>
  <c r="BD21" i="1" s="1"/>
  <c r="BE21" i="1" s="1"/>
  <c r="BF21" i="1" s="1"/>
  <c r="BG21" i="1" s="1"/>
  <c r="BH21" i="1" s="1"/>
  <c r="BI21" i="1" s="1"/>
  <c r="BJ21" i="1" s="1"/>
  <c r="BK21" i="1" s="1"/>
  <c r="BL21" i="1" s="1"/>
  <c r="BM21" i="1" s="1"/>
  <c r="BN21" i="1" s="1"/>
  <c r="BO21" i="1" s="1"/>
  <c r="BP21" i="1" s="1"/>
  <c r="BQ21" i="1" s="1"/>
  <c r="BR21" i="1" s="1"/>
  <c r="BS21" i="1" s="1"/>
  <c r="BT21" i="1" s="1"/>
  <c r="BU21" i="1" s="1"/>
  <c r="BV21" i="1" s="1"/>
  <c r="BW21" i="1" s="1"/>
  <c r="BX21" i="1" s="1"/>
  <c r="BY21" i="1" s="1"/>
  <c r="BZ21" i="1" s="1"/>
  <c r="CA21" i="1" s="1"/>
  <c r="CB21" i="1" s="1"/>
  <c r="CC21" i="1" s="1"/>
  <c r="CD21" i="1" s="1"/>
  <c r="CE21" i="1" s="1"/>
  <c r="CF21" i="1" s="1"/>
  <c r="CG21" i="1" s="1"/>
  <c r="CH21" i="1" s="1"/>
  <c r="CI21" i="1" s="1"/>
  <c r="CJ21" i="1" s="1"/>
  <c r="CK21" i="1" s="1"/>
  <c r="CL21" i="1" s="1"/>
  <c r="CM21" i="1" s="1"/>
  <c r="CN21" i="1" s="1"/>
  <c r="CO21" i="1" s="1"/>
  <c r="CP21" i="1" s="1"/>
  <c r="CQ21" i="1" s="1"/>
  <c r="CR21" i="1" s="1"/>
  <c r="CS21" i="1" s="1"/>
  <c r="CT21" i="1" s="1"/>
  <c r="CU21" i="1" s="1"/>
  <c r="CV21" i="1" s="1"/>
  <c r="CW21" i="1" s="1"/>
  <c r="CX21" i="1" s="1"/>
  <c r="CY21" i="1" s="1"/>
  <c r="CZ21" i="1" s="1"/>
  <c r="DA21" i="1" s="1"/>
  <c r="DB21" i="1" s="1"/>
  <c r="DC21" i="1" s="1"/>
  <c r="DD21" i="1" s="1"/>
  <c r="DE21" i="1" s="1"/>
  <c r="DF21" i="1" s="1"/>
  <c r="DG21" i="1" s="1"/>
  <c r="AM29" i="1"/>
  <c r="AN29" i="1" s="1"/>
  <c r="AO29" i="1" s="1"/>
  <c r="AP29" i="1" s="1"/>
  <c r="AQ29" i="1" s="1"/>
  <c r="AR29" i="1" s="1"/>
  <c r="AS29" i="1" s="1"/>
  <c r="AT29" i="1" s="1"/>
  <c r="AU29" i="1" s="1"/>
  <c r="AV29" i="1" s="1"/>
  <c r="AW29" i="1" s="1"/>
  <c r="AX29" i="1" s="1"/>
  <c r="AY29" i="1" s="1"/>
  <c r="AZ29" i="1" s="1"/>
  <c r="BA29" i="1" s="1"/>
  <c r="BB29" i="1" s="1"/>
  <c r="BC29" i="1" s="1"/>
  <c r="BD29" i="1" s="1"/>
  <c r="BE29" i="1" s="1"/>
  <c r="BF29" i="1" s="1"/>
  <c r="BG29" i="1" s="1"/>
  <c r="BH29" i="1" s="1"/>
  <c r="BI29" i="1" s="1"/>
  <c r="BJ29" i="1" s="1"/>
  <c r="BK29" i="1" s="1"/>
  <c r="BL29" i="1" s="1"/>
  <c r="BM29" i="1" s="1"/>
  <c r="BN29" i="1" s="1"/>
  <c r="BO29" i="1" s="1"/>
  <c r="BP29" i="1" s="1"/>
  <c r="BQ29" i="1" s="1"/>
  <c r="BR29" i="1" s="1"/>
  <c r="BS29" i="1" s="1"/>
  <c r="BT29" i="1" s="1"/>
  <c r="BU29" i="1" s="1"/>
  <c r="BV29" i="1" s="1"/>
  <c r="BW29" i="1" s="1"/>
  <c r="BX29" i="1" s="1"/>
  <c r="BY29" i="1" s="1"/>
  <c r="BZ29" i="1" s="1"/>
  <c r="CA29" i="1" s="1"/>
  <c r="CB29" i="1" s="1"/>
  <c r="CC29" i="1" s="1"/>
  <c r="CD29" i="1" s="1"/>
  <c r="CE29" i="1" s="1"/>
  <c r="CF29" i="1" s="1"/>
  <c r="CG29" i="1" s="1"/>
  <c r="CH29" i="1" s="1"/>
  <c r="CI29" i="1" s="1"/>
  <c r="CJ29" i="1" s="1"/>
  <c r="CK29" i="1" s="1"/>
  <c r="CL29" i="1" s="1"/>
  <c r="CM29" i="1" s="1"/>
  <c r="CN29" i="1" s="1"/>
  <c r="CO29" i="1" s="1"/>
  <c r="CP29" i="1" s="1"/>
  <c r="CQ29" i="1" s="1"/>
  <c r="CR29" i="1" s="1"/>
  <c r="CS29" i="1" s="1"/>
  <c r="CT29" i="1" s="1"/>
  <c r="CU29" i="1" s="1"/>
  <c r="CV29" i="1" s="1"/>
  <c r="CW29" i="1" s="1"/>
  <c r="CX29" i="1" s="1"/>
  <c r="CY29" i="1" s="1"/>
  <c r="CZ29" i="1" s="1"/>
  <c r="DA29" i="1" s="1"/>
  <c r="DB29" i="1" s="1"/>
  <c r="DC29" i="1" s="1"/>
  <c r="DD29" i="1" s="1"/>
  <c r="DE29" i="1" s="1"/>
  <c r="DF29" i="1" s="1"/>
  <c r="DG29" i="1" s="1"/>
  <c r="AH137" i="1"/>
  <c r="AH138" i="1" s="1"/>
  <c r="V30" i="1"/>
  <c r="X19" i="1"/>
  <c r="AE19" i="1"/>
  <c r="AD19" i="1"/>
  <c r="AC19" i="1"/>
  <c r="AB19" i="1"/>
  <c r="AA19" i="1"/>
  <c r="Z19" i="1"/>
  <c r="Y19" i="1"/>
  <c r="V19" i="1"/>
  <c r="AE30" i="1"/>
  <c r="AC30" i="1"/>
  <c r="AA30" i="1"/>
  <c r="Z30" i="1"/>
  <c r="Y30" i="1"/>
  <c r="W30" i="1"/>
  <c r="AV79" i="1" l="1"/>
  <c r="AW78" i="1"/>
  <c r="AM104" i="1"/>
  <c r="AN104" i="1" s="1"/>
  <c r="AO104" i="1" s="1"/>
  <c r="AP104" i="1" s="1"/>
  <c r="AQ104" i="1" s="1"/>
  <c r="AR104" i="1" s="1"/>
  <c r="AS104" i="1" s="1"/>
  <c r="AT104" i="1" s="1"/>
  <c r="AU104" i="1" s="1"/>
  <c r="AV104" i="1" s="1"/>
  <c r="AW104" i="1" s="1"/>
  <c r="AX104" i="1" s="1"/>
  <c r="AY104" i="1" s="1"/>
  <c r="AZ104" i="1" s="1"/>
  <c r="BA104" i="1" s="1"/>
  <c r="BB104" i="1" s="1"/>
  <c r="BC104" i="1" s="1"/>
  <c r="BD104" i="1" s="1"/>
  <c r="BE104" i="1" s="1"/>
  <c r="BF104" i="1" s="1"/>
  <c r="BG104" i="1" s="1"/>
  <c r="BH104" i="1" s="1"/>
  <c r="BI104" i="1" s="1"/>
  <c r="BJ104" i="1" s="1"/>
  <c r="BK104" i="1" s="1"/>
  <c r="BL104" i="1" s="1"/>
  <c r="BM104" i="1" s="1"/>
  <c r="BN104" i="1" s="1"/>
  <c r="BO104" i="1" s="1"/>
  <c r="BP104" i="1" s="1"/>
  <c r="BQ104" i="1" s="1"/>
  <c r="BR104" i="1" s="1"/>
  <c r="BS104" i="1" s="1"/>
  <c r="BT104" i="1" s="1"/>
  <c r="BU104" i="1" s="1"/>
  <c r="BV104" i="1" s="1"/>
  <c r="BW104" i="1" s="1"/>
  <c r="BX104" i="1" s="1"/>
  <c r="BY104" i="1" s="1"/>
  <c r="BZ104" i="1" s="1"/>
  <c r="CA104" i="1" s="1"/>
  <c r="CB104" i="1" s="1"/>
  <c r="CC104" i="1" s="1"/>
  <c r="CD104" i="1" s="1"/>
  <c r="CE104" i="1" s="1"/>
  <c r="CF104" i="1" s="1"/>
  <c r="CG104" i="1" s="1"/>
  <c r="CH104" i="1" s="1"/>
  <c r="CI104" i="1" s="1"/>
  <c r="CJ104" i="1" s="1"/>
  <c r="CK104" i="1" s="1"/>
  <c r="CL104" i="1" s="1"/>
  <c r="CM104" i="1" s="1"/>
  <c r="CN104" i="1" s="1"/>
  <c r="CO104" i="1" s="1"/>
  <c r="CP104" i="1" s="1"/>
  <c r="CQ104" i="1" s="1"/>
  <c r="CR104" i="1" s="1"/>
  <c r="CS104" i="1" s="1"/>
  <c r="CT104" i="1" s="1"/>
  <c r="CU104" i="1" s="1"/>
  <c r="CV104" i="1" s="1"/>
  <c r="CW104" i="1" s="1"/>
  <c r="CX104" i="1" s="1"/>
  <c r="CY104" i="1" s="1"/>
  <c r="CZ104" i="1" s="1"/>
  <c r="DA104" i="1" s="1"/>
  <c r="DB104" i="1" s="1"/>
  <c r="DC104" i="1" s="1"/>
  <c r="DD104" i="1" s="1"/>
  <c r="DE104" i="1" s="1"/>
  <c r="DF104" i="1" s="1"/>
  <c r="DG104" i="1" s="1"/>
  <c r="AM105" i="1"/>
  <c r="AN105" i="1" s="1"/>
  <c r="AO105" i="1" s="1"/>
  <c r="AP105" i="1" s="1"/>
  <c r="AQ105" i="1" s="1"/>
  <c r="AR105" i="1" s="1"/>
  <c r="AS105" i="1" s="1"/>
  <c r="AT105" i="1" s="1"/>
  <c r="AU105" i="1" s="1"/>
  <c r="AV105" i="1" s="1"/>
  <c r="AW105" i="1" s="1"/>
  <c r="AX105" i="1" s="1"/>
  <c r="AY105" i="1" s="1"/>
  <c r="AZ105" i="1" s="1"/>
  <c r="BA105" i="1" s="1"/>
  <c r="BB105" i="1" s="1"/>
  <c r="BC105" i="1" s="1"/>
  <c r="BD105" i="1" s="1"/>
  <c r="BE105" i="1" s="1"/>
  <c r="BF105" i="1" s="1"/>
  <c r="BG105" i="1" s="1"/>
  <c r="BH105" i="1" s="1"/>
  <c r="BI105" i="1" s="1"/>
  <c r="BJ105" i="1" s="1"/>
  <c r="BK105" i="1" s="1"/>
  <c r="BL105" i="1" s="1"/>
  <c r="BM105" i="1" s="1"/>
  <c r="BN105" i="1" s="1"/>
  <c r="BO105" i="1" s="1"/>
  <c r="BP105" i="1" s="1"/>
  <c r="BQ105" i="1" s="1"/>
  <c r="BR105" i="1" s="1"/>
  <c r="BS105" i="1" s="1"/>
  <c r="BT105" i="1" s="1"/>
  <c r="BU105" i="1" s="1"/>
  <c r="BV105" i="1" s="1"/>
  <c r="BW105" i="1" s="1"/>
  <c r="BX105" i="1" s="1"/>
  <c r="BY105" i="1" s="1"/>
  <c r="BZ105" i="1" s="1"/>
  <c r="CA105" i="1" s="1"/>
  <c r="CB105" i="1" s="1"/>
  <c r="CC105" i="1" s="1"/>
  <c r="CD105" i="1" s="1"/>
  <c r="CE105" i="1" s="1"/>
  <c r="CF105" i="1" s="1"/>
  <c r="CG105" i="1" s="1"/>
  <c r="CH105" i="1" s="1"/>
  <c r="CI105" i="1" s="1"/>
  <c r="CJ105" i="1" s="1"/>
  <c r="CK105" i="1" s="1"/>
  <c r="CL105" i="1" s="1"/>
  <c r="CM105" i="1" s="1"/>
  <c r="CN105" i="1" s="1"/>
  <c r="CO105" i="1" s="1"/>
  <c r="CP105" i="1" s="1"/>
  <c r="CQ105" i="1" s="1"/>
  <c r="CR105" i="1" s="1"/>
  <c r="CS105" i="1" s="1"/>
  <c r="CT105" i="1" s="1"/>
  <c r="CU105" i="1" s="1"/>
  <c r="CV105" i="1" s="1"/>
  <c r="CW105" i="1" s="1"/>
  <c r="CX105" i="1" s="1"/>
  <c r="CY105" i="1" s="1"/>
  <c r="CZ105" i="1" s="1"/>
  <c r="DA105" i="1" s="1"/>
  <c r="DB105" i="1" s="1"/>
  <c r="DC105" i="1" s="1"/>
  <c r="DD105" i="1" s="1"/>
  <c r="DE105" i="1" s="1"/>
  <c r="DF105" i="1" s="1"/>
  <c r="DG105" i="1" s="1"/>
  <c r="AM106" i="1"/>
  <c r="AN106" i="1" s="1"/>
  <c r="AO106" i="1" s="1"/>
  <c r="AP106" i="1" s="1"/>
  <c r="AQ106" i="1" s="1"/>
  <c r="AR106" i="1" s="1"/>
  <c r="AS106" i="1" s="1"/>
  <c r="AT106" i="1" s="1"/>
  <c r="AU106" i="1" s="1"/>
  <c r="AV106" i="1" s="1"/>
  <c r="AW106" i="1" s="1"/>
  <c r="AX106" i="1" s="1"/>
  <c r="AY106" i="1" s="1"/>
  <c r="AZ106" i="1" s="1"/>
  <c r="BA106" i="1" s="1"/>
  <c r="BB106" i="1" s="1"/>
  <c r="BC106" i="1" s="1"/>
  <c r="BD106" i="1" s="1"/>
  <c r="BE106" i="1" s="1"/>
  <c r="BF106" i="1" s="1"/>
  <c r="BG106" i="1" s="1"/>
  <c r="BH106" i="1" s="1"/>
  <c r="BI106" i="1" s="1"/>
  <c r="BJ106" i="1" s="1"/>
  <c r="BK106" i="1" s="1"/>
  <c r="BL106" i="1" s="1"/>
  <c r="BM106" i="1" s="1"/>
  <c r="BN106" i="1" s="1"/>
  <c r="BO106" i="1" s="1"/>
  <c r="BP106" i="1" s="1"/>
  <c r="BQ106" i="1" s="1"/>
  <c r="BR106" i="1" s="1"/>
  <c r="BS106" i="1" s="1"/>
  <c r="BT106" i="1" s="1"/>
  <c r="BU106" i="1" s="1"/>
  <c r="BV106" i="1" s="1"/>
  <c r="BW106" i="1" s="1"/>
  <c r="BX106" i="1" s="1"/>
  <c r="BY106" i="1" s="1"/>
  <c r="BZ106" i="1" s="1"/>
  <c r="CA106" i="1" s="1"/>
  <c r="CB106" i="1" s="1"/>
  <c r="CC106" i="1" s="1"/>
  <c r="CD106" i="1" s="1"/>
  <c r="CE106" i="1" s="1"/>
  <c r="CF106" i="1" s="1"/>
  <c r="CG106" i="1" s="1"/>
  <c r="CH106" i="1" s="1"/>
  <c r="CI106" i="1" s="1"/>
  <c r="CJ106" i="1" s="1"/>
  <c r="CK106" i="1" s="1"/>
  <c r="CL106" i="1" s="1"/>
  <c r="CM106" i="1" s="1"/>
  <c r="CN106" i="1" s="1"/>
  <c r="CO106" i="1" s="1"/>
  <c r="CP106" i="1" s="1"/>
  <c r="CQ106" i="1" s="1"/>
  <c r="CR106" i="1" s="1"/>
  <c r="CS106" i="1" s="1"/>
  <c r="CT106" i="1" s="1"/>
  <c r="CU106" i="1" s="1"/>
  <c r="CV106" i="1" s="1"/>
  <c r="CW106" i="1" s="1"/>
  <c r="CX106" i="1" s="1"/>
  <c r="CY106" i="1" s="1"/>
  <c r="CZ106" i="1" s="1"/>
  <c r="DA106" i="1" s="1"/>
  <c r="DB106" i="1" s="1"/>
  <c r="DC106" i="1" s="1"/>
  <c r="DD106" i="1" s="1"/>
  <c r="DE106" i="1" s="1"/>
  <c r="DF106" i="1" s="1"/>
  <c r="DG106" i="1" s="1"/>
  <c r="AM107" i="1"/>
  <c r="AN107" i="1" s="1"/>
  <c r="AO107" i="1" s="1"/>
  <c r="AP107" i="1" s="1"/>
  <c r="AQ107" i="1" s="1"/>
  <c r="AR107" i="1" s="1"/>
  <c r="AS107" i="1" s="1"/>
  <c r="AT107" i="1" s="1"/>
  <c r="AU107" i="1" s="1"/>
  <c r="AV107" i="1" s="1"/>
  <c r="AW107" i="1" s="1"/>
  <c r="AX107" i="1" s="1"/>
  <c r="AY107" i="1" s="1"/>
  <c r="AZ107" i="1" s="1"/>
  <c r="BA107" i="1" s="1"/>
  <c r="BB107" i="1" s="1"/>
  <c r="BC107" i="1" s="1"/>
  <c r="BD107" i="1" s="1"/>
  <c r="BE107" i="1" s="1"/>
  <c r="BF107" i="1" s="1"/>
  <c r="BG107" i="1" s="1"/>
  <c r="BH107" i="1" s="1"/>
  <c r="BI107" i="1" s="1"/>
  <c r="BJ107" i="1" s="1"/>
  <c r="BK107" i="1" s="1"/>
  <c r="BL107" i="1" s="1"/>
  <c r="BM107" i="1" s="1"/>
  <c r="BN107" i="1" s="1"/>
  <c r="BO107" i="1" s="1"/>
  <c r="BP107" i="1" s="1"/>
  <c r="BQ107" i="1" s="1"/>
  <c r="BR107" i="1" s="1"/>
  <c r="BS107" i="1" s="1"/>
  <c r="BT107" i="1" s="1"/>
  <c r="BU107" i="1" s="1"/>
  <c r="BV107" i="1" s="1"/>
  <c r="BW107" i="1" s="1"/>
  <c r="BX107" i="1" s="1"/>
  <c r="BY107" i="1" s="1"/>
  <c r="BZ107" i="1" s="1"/>
  <c r="CA107" i="1" s="1"/>
  <c r="CB107" i="1" s="1"/>
  <c r="CC107" i="1" s="1"/>
  <c r="CD107" i="1" s="1"/>
  <c r="CE107" i="1" s="1"/>
  <c r="CF107" i="1" s="1"/>
  <c r="CG107" i="1" s="1"/>
  <c r="CH107" i="1" s="1"/>
  <c r="CI107" i="1" s="1"/>
  <c r="CJ107" i="1" s="1"/>
  <c r="CK107" i="1" s="1"/>
  <c r="CL107" i="1" s="1"/>
  <c r="CM107" i="1" s="1"/>
  <c r="CN107" i="1" s="1"/>
  <c r="CO107" i="1" s="1"/>
  <c r="CP107" i="1" s="1"/>
  <c r="CQ107" i="1" s="1"/>
  <c r="CR107" i="1" s="1"/>
  <c r="CS107" i="1" s="1"/>
  <c r="CT107" i="1" s="1"/>
  <c r="CU107" i="1" s="1"/>
  <c r="CV107" i="1" s="1"/>
  <c r="CW107" i="1" s="1"/>
  <c r="CX107" i="1" s="1"/>
  <c r="CY107" i="1" s="1"/>
  <c r="CZ107" i="1" s="1"/>
  <c r="DA107" i="1" s="1"/>
  <c r="DB107" i="1" s="1"/>
  <c r="DC107" i="1" s="1"/>
  <c r="DD107" i="1" s="1"/>
  <c r="DE107" i="1" s="1"/>
  <c r="DF107" i="1" s="1"/>
  <c r="DG107" i="1" s="1"/>
  <c r="AF109" i="1"/>
  <c r="AE109" i="1"/>
  <c r="AD109" i="1"/>
  <c r="AC109" i="1"/>
  <c r="AB109" i="1"/>
  <c r="AA109" i="1"/>
  <c r="Z109" i="1"/>
  <c r="Y109" i="1"/>
  <c r="X109" i="1"/>
  <c r="W109" i="1"/>
  <c r="AF96" i="1"/>
  <c r="AF100" i="1"/>
  <c r="AF117" i="1"/>
  <c r="AF9" i="1"/>
  <c r="AE80" i="1"/>
  <c r="AD80" i="1"/>
  <c r="AA79" i="1"/>
  <c r="Z79" i="1"/>
  <c r="Y79" i="1"/>
  <c r="X79" i="1"/>
  <c r="W79" i="1"/>
  <c r="V79" i="1"/>
  <c r="AW79" i="1" l="1"/>
  <c r="AX78" i="1"/>
  <c r="AB80" i="1"/>
  <c r="D49" i="24"/>
  <c r="AC80" i="1"/>
  <c r="AM71" i="1"/>
  <c r="AF97" i="1"/>
  <c r="G45" i="24" s="1"/>
  <c r="AF34" i="1"/>
  <c r="AF37" i="1" s="1"/>
  <c r="F49" i="24"/>
  <c r="C49" i="24"/>
  <c r="E49" i="24"/>
  <c r="AF28" i="1"/>
  <c r="AM70" i="1"/>
  <c r="AM69" i="1"/>
  <c r="AM76" i="1"/>
  <c r="AM73" i="1"/>
  <c r="AM72" i="1"/>
  <c r="AM108" i="1"/>
  <c r="AN108" i="1" s="1"/>
  <c r="AO108" i="1" s="1"/>
  <c r="AP108" i="1" s="1"/>
  <c r="AQ108" i="1" s="1"/>
  <c r="AR108" i="1" s="1"/>
  <c r="AS108" i="1" s="1"/>
  <c r="AT108" i="1" s="1"/>
  <c r="AU108" i="1" s="1"/>
  <c r="AV108" i="1" s="1"/>
  <c r="AW108" i="1" s="1"/>
  <c r="AX108" i="1" s="1"/>
  <c r="AY108" i="1" s="1"/>
  <c r="AZ108" i="1" s="1"/>
  <c r="BA108" i="1" s="1"/>
  <c r="BB108" i="1" s="1"/>
  <c r="BC108" i="1" s="1"/>
  <c r="BD108" i="1" s="1"/>
  <c r="BE108" i="1" s="1"/>
  <c r="BF108" i="1" s="1"/>
  <c r="BG108" i="1" s="1"/>
  <c r="BH108" i="1" s="1"/>
  <c r="BI108" i="1" s="1"/>
  <c r="BJ108" i="1" s="1"/>
  <c r="BK108" i="1" s="1"/>
  <c r="BL108" i="1" s="1"/>
  <c r="BM108" i="1" s="1"/>
  <c r="BN108" i="1" s="1"/>
  <c r="BO108" i="1" s="1"/>
  <c r="BP108" i="1" s="1"/>
  <c r="BQ108" i="1" s="1"/>
  <c r="BR108" i="1" s="1"/>
  <c r="BS108" i="1" s="1"/>
  <c r="BT108" i="1" s="1"/>
  <c r="BU108" i="1" s="1"/>
  <c r="BV108" i="1" s="1"/>
  <c r="BW108" i="1" s="1"/>
  <c r="BX108" i="1" s="1"/>
  <c r="BY108" i="1" s="1"/>
  <c r="BZ108" i="1" s="1"/>
  <c r="CA108" i="1" s="1"/>
  <c r="CB108" i="1" s="1"/>
  <c r="CC108" i="1" s="1"/>
  <c r="CD108" i="1" s="1"/>
  <c r="CE108" i="1" s="1"/>
  <c r="CF108" i="1" s="1"/>
  <c r="CG108" i="1" s="1"/>
  <c r="CH108" i="1" s="1"/>
  <c r="CI108" i="1" s="1"/>
  <c r="CJ108" i="1" s="1"/>
  <c r="CK108" i="1" s="1"/>
  <c r="CL108" i="1" s="1"/>
  <c r="CM108" i="1" s="1"/>
  <c r="CN108" i="1" s="1"/>
  <c r="CO108" i="1" s="1"/>
  <c r="CP108" i="1" s="1"/>
  <c r="CQ108" i="1" s="1"/>
  <c r="CR108" i="1" s="1"/>
  <c r="CS108" i="1" s="1"/>
  <c r="CT108" i="1" s="1"/>
  <c r="CU108" i="1" s="1"/>
  <c r="CV108" i="1" s="1"/>
  <c r="CW108" i="1" s="1"/>
  <c r="CX108" i="1" s="1"/>
  <c r="CY108" i="1" s="1"/>
  <c r="CZ108" i="1" s="1"/>
  <c r="DA108" i="1" s="1"/>
  <c r="DB108" i="1" s="1"/>
  <c r="DC108" i="1" s="1"/>
  <c r="DD108" i="1" s="1"/>
  <c r="DE108" i="1" s="1"/>
  <c r="DF108" i="1" s="1"/>
  <c r="DG108" i="1" s="1"/>
  <c r="AF59" i="1"/>
  <c r="AL59" i="1" s="1"/>
  <c r="AF101" i="1"/>
  <c r="AF112" i="1"/>
  <c r="AF113" i="1" s="1"/>
  <c r="AF58" i="1"/>
  <c r="AL58" i="1" s="1"/>
  <c r="AX79" i="1" l="1"/>
  <c r="AY78" i="1"/>
  <c r="AL19" i="1"/>
  <c r="AF35" i="1"/>
  <c r="G24" i="24"/>
  <c r="AN73" i="1"/>
  <c r="AO73" i="1" s="1"/>
  <c r="AP73" i="1" s="1"/>
  <c r="AQ73" i="1" s="1"/>
  <c r="AR73" i="1" s="1"/>
  <c r="AS73" i="1" s="1"/>
  <c r="AT73" i="1" s="1"/>
  <c r="AU73" i="1" s="1"/>
  <c r="AV73" i="1" s="1"/>
  <c r="AW73" i="1" s="1"/>
  <c r="AX73" i="1" s="1"/>
  <c r="AY73" i="1" s="1"/>
  <c r="AZ73" i="1" s="1"/>
  <c r="BA73" i="1" s="1"/>
  <c r="BB73" i="1" s="1"/>
  <c r="BC73" i="1" s="1"/>
  <c r="BD73" i="1" s="1"/>
  <c r="BE73" i="1" s="1"/>
  <c r="BF73" i="1" s="1"/>
  <c r="BG73" i="1" s="1"/>
  <c r="BH73" i="1" s="1"/>
  <c r="BI73" i="1" s="1"/>
  <c r="BJ73" i="1" s="1"/>
  <c r="BK73" i="1" s="1"/>
  <c r="BL73" i="1" s="1"/>
  <c r="BM73" i="1" s="1"/>
  <c r="BN73" i="1" s="1"/>
  <c r="BO73" i="1" s="1"/>
  <c r="BP73" i="1" s="1"/>
  <c r="BQ73" i="1" s="1"/>
  <c r="BR73" i="1" s="1"/>
  <c r="BS73" i="1" s="1"/>
  <c r="BT73" i="1" s="1"/>
  <c r="BU73" i="1" s="1"/>
  <c r="BV73" i="1" s="1"/>
  <c r="BW73" i="1" s="1"/>
  <c r="BX73" i="1" s="1"/>
  <c r="BY73" i="1" s="1"/>
  <c r="BZ73" i="1" s="1"/>
  <c r="CA73" i="1" s="1"/>
  <c r="CB73" i="1" s="1"/>
  <c r="CC73" i="1" s="1"/>
  <c r="CD73" i="1" s="1"/>
  <c r="CE73" i="1" s="1"/>
  <c r="CF73" i="1" s="1"/>
  <c r="CG73" i="1" s="1"/>
  <c r="CH73" i="1" s="1"/>
  <c r="CI73" i="1" s="1"/>
  <c r="CJ73" i="1" s="1"/>
  <c r="CK73" i="1" s="1"/>
  <c r="CL73" i="1" s="1"/>
  <c r="CM73" i="1" s="1"/>
  <c r="CN73" i="1" s="1"/>
  <c r="CO73" i="1" s="1"/>
  <c r="CP73" i="1" s="1"/>
  <c r="CQ73" i="1" s="1"/>
  <c r="CR73" i="1" s="1"/>
  <c r="CS73" i="1" s="1"/>
  <c r="CT73" i="1" s="1"/>
  <c r="CU73" i="1" s="1"/>
  <c r="CV73" i="1" s="1"/>
  <c r="CW73" i="1" s="1"/>
  <c r="CX73" i="1" s="1"/>
  <c r="CY73" i="1" s="1"/>
  <c r="CZ73" i="1" s="1"/>
  <c r="DA73" i="1" s="1"/>
  <c r="DB73" i="1" s="1"/>
  <c r="DC73" i="1" s="1"/>
  <c r="DD73" i="1" s="1"/>
  <c r="DE73" i="1" s="1"/>
  <c r="DF73" i="1" s="1"/>
  <c r="DG73" i="1" s="1"/>
  <c r="AN71" i="1"/>
  <c r="AO71" i="1" s="1"/>
  <c r="AP71" i="1" s="1"/>
  <c r="AQ71" i="1" s="1"/>
  <c r="AR71" i="1" s="1"/>
  <c r="AS71" i="1" s="1"/>
  <c r="AT71" i="1" s="1"/>
  <c r="AU71" i="1" s="1"/>
  <c r="AV71" i="1" s="1"/>
  <c r="AW71" i="1" s="1"/>
  <c r="AX71" i="1" s="1"/>
  <c r="AY71" i="1" s="1"/>
  <c r="AZ71" i="1" s="1"/>
  <c r="BA71" i="1" s="1"/>
  <c r="BB71" i="1" s="1"/>
  <c r="BC71" i="1" s="1"/>
  <c r="BD71" i="1" s="1"/>
  <c r="BE71" i="1" s="1"/>
  <c r="BF71" i="1" s="1"/>
  <c r="BG71" i="1" s="1"/>
  <c r="BH71" i="1" s="1"/>
  <c r="BI71" i="1" s="1"/>
  <c r="BJ71" i="1" s="1"/>
  <c r="BK71" i="1" s="1"/>
  <c r="BL71" i="1" s="1"/>
  <c r="BM71" i="1" s="1"/>
  <c r="BN71" i="1" s="1"/>
  <c r="BO71" i="1" s="1"/>
  <c r="BP71" i="1" s="1"/>
  <c r="BQ71" i="1" s="1"/>
  <c r="BR71" i="1" s="1"/>
  <c r="BS71" i="1" s="1"/>
  <c r="BT71" i="1" s="1"/>
  <c r="BU71" i="1" s="1"/>
  <c r="BV71" i="1" s="1"/>
  <c r="BW71" i="1" s="1"/>
  <c r="BX71" i="1" s="1"/>
  <c r="BY71" i="1" s="1"/>
  <c r="BZ71" i="1" s="1"/>
  <c r="CA71" i="1" s="1"/>
  <c r="CB71" i="1" s="1"/>
  <c r="CC71" i="1" s="1"/>
  <c r="CD71" i="1" s="1"/>
  <c r="CE71" i="1" s="1"/>
  <c r="CF71" i="1" s="1"/>
  <c r="CG71" i="1" s="1"/>
  <c r="CH71" i="1" s="1"/>
  <c r="CI71" i="1" s="1"/>
  <c r="CJ71" i="1" s="1"/>
  <c r="CK71" i="1" s="1"/>
  <c r="CL71" i="1" s="1"/>
  <c r="CM71" i="1" s="1"/>
  <c r="CN71" i="1" s="1"/>
  <c r="CO71" i="1" s="1"/>
  <c r="CP71" i="1" s="1"/>
  <c r="CQ71" i="1" s="1"/>
  <c r="CR71" i="1" s="1"/>
  <c r="CS71" i="1" s="1"/>
  <c r="CT71" i="1" s="1"/>
  <c r="CU71" i="1" s="1"/>
  <c r="CV71" i="1" s="1"/>
  <c r="CW71" i="1" s="1"/>
  <c r="CX71" i="1" s="1"/>
  <c r="CY71" i="1" s="1"/>
  <c r="CZ71" i="1" s="1"/>
  <c r="DA71" i="1" s="1"/>
  <c r="DB71" i="1" s="1"/>
  <c r="DC71" i="1" s="1"/>
  <c r="DD71" i="1" s="1"/>
  <c r="DE71" i="1" s="1"/>
  <c r="DF71" i="1" s="1"/>
  <c r="DG71" i="1" s="1"/>
  <c r="AO72" i="1"/>
  <c r="AP72" i="1" s="1"/>
  <c r="AQ72" i="1" s="1"/>
  <c r="AR72" i="1" s="1"/>
  <c r="AS72" i="1" s="1"/>
  <c r="AT72" i="1" s="1"/>
  <c r="AU72" i="1" s="1"/>
  <c r="AV72" i="1" s="1"/>
  <c r="AW72" i="1" s="1"/>
  <c r="AX72" i="1" s="1"/>
  <c r="AY72" i="1" s="1"/>
  <c r="AZ72" i="1" s="1"/>
  <c r="BA72" i="1" s="1"/>
  <c r="BB72" i="1" s="1"/>
  <c r="BC72" i="1" s="1"/>
  <c r="BD72" i="1" s="1"/>
  <c r="BE72" i="1" s="1"/>
  <c r="BF72" i="1" s="1"/>
  <c r="BG72" i="1" s="1"/>
  <c r="BH72" i="1" s="1"/>
  <c r="BI72" i="1" s="1"/>
  <c r="BJ72" i="1" s="1"/>
  <c r="BK72" i="1" s="1"/>
  <c r="BL72" i="1" s="1"/>
  <c r="BM72" i="1" s="1"/>
  <c r="BN72" i="1" s="1"/>
  <c r="BO72" i="1" s="1"/>
  <c r="BP72" i="1" s="1"/>
  <c r="BQ72" i="1" s="1"/>
  <c r="BR72" i="1" s="1"/>
  <c r="BS72" i="1" s="1"/>
  <c r="BT72" i="1" s="1"/>
  <c r="BU72" i="1" s="1"/>
  <c r="BV72" i="1" s="1"/>
  <c r="BW72" i="1" s="1"/>
  <c r="BX72" i="1" s="1"/>
  <c r="BY72" i="1" s="1"/>
  <c r="BZ72" i="1" s="1"/>
  <c r="CA72" i="1" s="1"/>
  <c r="CB72" i="1" s="1"/>
  <c r="CC72" i="1" s="1"/>
  <c r="CD72" i="1" s="1"/>
  <c r="CE72" i="1" s="1"/>
  <c r="CF72" i="1" s="1"/>
  <c r="CG72" i="1" s="1"/>
  <c r="CH72" i="1" s="1"/>
  <c r="CI72" i="1" s="1"/>
  <c r="CJ72" i="1" s="1"/>
  <c r="CK72" i="1" s="1"/>
  <c r="CL72" i="1" s="1"/>
  <c r="CM72" i="1" s="1"/>
  <c r="CN72" i="1" s="1"/>
  <c r="CO72" i="1" s="1"/>
  <c r="CP72" i="1" s="1"/>
  <c r="CQ72" i="1" s="1"/>
  <c r="CR72" i="1" s="1"/>
  <c r="CS72" i="1" s="1"/>
  <c r="CT72" i="1" s="1"/>
  <c r="CU72" i="1" s="1"/>
  <c r="CV72" i="1" s="1"/>
  <c r="CW72" i="1" s="1"/>
  <c r="CX72" i="1" s="1"/>
  <c r="CY72" i="1" s="1"/>
  <c r="CZ72" i="1" s="1"/>
  <c r="DA72" i="1" s="1"/>
  <c r="DB72" i="1" s="1"/>
  <c r="DC72" i="1" s="1"/>
  <c r="DD72" i="1" s="1"/>
  <c r="DE72" i="1" s="1"/>
  <c r="DF72" i="1" s="1"/>
  <c r="DG72" i="1" s="1"/>
  <c r="AB9" i="1"/>
  <c r="AC9" i="1"/>
  <c r="AC34" i="1" s="1"/>
  <c r="AC37" i="1" s="1"/>
  <c r="AD9" i="1"/>
  <c r="AD34" i="1" s="1"/>
  <c r="AD37" i="1" s="1"/>
  <c r="AE9" i="1"/>
  <c r="AE34" i="1" s="1"/>
  <c r="AE37" i="1" s="1"/>
  <c r="AB85" i="1"/>
  <c r="AB86" i="1" s="1"/>
  <c r="AC85" i="1"/>
  <c r="AC86" i="1" s="1"/>
  <c r="AD85" i="1"/>
  <c r="AD86" i="1" s="1"/>
  <c r="AE85" i="1"/>
  <c r="AE86" i="1" s="1"/>
  <c r="AB96" i="1"/>
  <c r="AC96" i="1"/>
  <c r="AD96" i="1"/>
  <c r="AE96" i="1"/>
  <c r="AB100" i="1"/>
  <c r="AC100" i="1"/>
  <c r="AD100" i="1"/>
  <c r="AE100" i="1"/>
  <c r="AB117" i="1"/>
  <c r="AC117" i="1"/>
  <c r="AD117" i="1"/>
  <c r="AE117" i="1"/>
  <c r="E4" i="1"/>
  <c r="AA7" i="1"/>
  <c r="AA9" i="1" s="1"/>
  <c r="AA34" i="1" s="1"/>
  <c r="AA37" i="1" s="1"/>
  <c r="AA57" i="1"/>
  <c r="AA82" i="1" s="1"/>
  <c r="AF39" i="1" s="1"/>
  <c r="AA80" i="1"/>
  <c r="AA85" i="1"/>
  <c r="AA86" i="1" s="1"/>
  <c r="AA96" i="1"/>
  <c r="AA100" i="1"/>
  <c r="AA111" i="1"/>
  <c r="AA117" i="1"/>
  <c r="AY79" i="1" l="1"/>
  <c r="AZ78" i="1"/>
  <c r="AE97" i="1"/>
  <c r="F45" i="24" s="1"/>
  <c r="AD97" i="1"/>
  <c r="E45" i="24" s="1"/>
  <c r="AC97" i="1"/>
  <c r="D45" i="24" s="1"/>
  <c r="AB97" i="1"/>
  <c r="C45" i="24" s="1"/>
  <c r="C53" i="24" s="1"/>
  <c r="AB34" i="1"/>
  <c r="AE59" i="1"/>
  <c r="AE58" i="1"/>
  <c r="AD58" i="1"/>
  <c r="AD59" i="1"/>
  <c r="AA28" i="1"/>
  <c r="AA59" i="1"/>
  <c r="AA58" i="1"/>
  <c r="AC59" i="1"/>
  <c r="AC58" i="1"/>
  <c r="AB59" i="1"/>
  <c r="AB58" i="1"/>
  <c r="AE132" i="1"/>
  <c r="AD132" i="1"/>
  <c r="AD112" i="1"/>
  <c r="AD113" i="1" s="1"/>
  <c r="AB131" i="1"/>
  <c r="AA112" i="1"/>
  <c r="AA113" i="1" s="1"/>
  <c r="AB112" i="1"/>
  <c r="AB113" i="1" s="1"/>
  <c r="AE112" i="1"/>
  <c r="AC132" i="1"/>
  <c r="AC112" i="1"/>
  <c r="F4" i="1"/>
  <c r="G4" i="1" s="1"/>
  <c r="H4" i="1" s="1"/>
  <c r="I4" i="1" s="1"/>
  <c r="J4" i="1" s="1"/>
  <c r="K4" i="1" s="1"/>
  <c r="L4" i="1" s="1"/>
  <c r="M4" i="1" s="1"/>
  <c r="N4" i="1" s="1"/>
  <c r="O4" i="1" s="1"/>
  <c r="P4" i="1" s="1"/>
  <c r="Q4" i="1" s="1"/>
  <c r="R4" i="1" s="1"/>
  <c r="S4" i="1" s="1"/>
  <c r="T4" i="1" s="1"/>
  <c r="U4" i="1" s="1"/>
  <c r="V4" i="1" s="1"/>
  <c r="W4" i="1" s="1"/>
  <c r="X4" i="1" s="1"/>
  <c r="Y4" i="1" s="1"/>
  <c r="Z4" i="1" s="1"/>
  <c r="AA4" i="1" s="1"/>
  <c r="AD61" i="1"/>
  <c r="AD81" i="1" s="1"/>
  <c r="AD87" i="1" s="1"/>
  <c r="AE28" i="1"/>
  <c r="AE61" i="1"/>
  <c r="AE81" i="1" s="1"/>
  <c r="AE36" i="1" s="1"/>
  <c r="AC61" i="1"/>
  <c r="AC81" i="1" s="1"/>
  <c r="AC36" i="1" s="1"/>
  <c r="AC28" i="1"/>
  <c r="AA61" i="1"/>
  <c r="AA81" i="1" s="1"/>
  <c r="AA36" i="1" s="1"/>
  <c r="AA101" i="1"/>
  <c r="AB101" i="1"/>
  <c r="AB28" i="1"/>
  <c r="AB61" i="1"/>
  <c r="AD28" i="1"/>
  <c r="AE131" i="1"/>
  <c r="AE101" i="1"/>
  <c r="AB132" i="1"/>
  <c r="AD131" i="1"/>
  <c r="AD101" i="1"/>
  <c r="AC131" i="1"/>
  <c r="AC101" i="1"/>
  <c r="AF131" i="1"/>
  <c r="D1" i="1"/>
  <c r="E1" i="1"/>
  <c r="E3" i="1" s="1"/>
  <c r="D7" i="1"/>
  <c r="E7" i="1"/>
  <c r="D8" i="1"/>
  <c r="E8" i="1"/>
  <c r="F8" i="1"/>
  <c r="F9" i="1" s="1"/>
  <c r="G8" i="1"/>
  <c r="G9" i="1" s="1"/>
  <c r="H8" i="1"/>
  <c r="H9" i="1" s="1"/>
  <c r="I8" i="1"/>
  <c r="I9" i="1" s="1"/>
  <c r="F15" i="1"/>
  <c r="G15" i="1"/>
  <c r="H15" i="1"/>
  <c r="I15" i="1"/>
  <c r="F16" i="1"/>
  <c r="G16" i="1"/>
  <c r="H16" i="1"/>
  <c r="I16" i="1"/>
  <c r="I45" i="1"/>
  <c r="I49" i="1" s="1"/>
  <c r="D85" i="1"/>
  <c r="D86" i="1" s="1"/>
  <c r="E85" i="1"/>
  <c r="E86" i="1" s="1"/>
  <c r="F85" i="1"/>
  <c r="F86" i="1" s="1"/>
  <c r="G85" i="1"/>
  <c r="G86" i="1" s="1"/>
  <c r="H85" i="1"/>
  <c r="H86" i="1" s="1"/>
  <c r="I85" i="1"/>
  <c r="I86" i="1" s="1"/>
  <c r="D100" i="1"/>
  <c r="D131" i="1" s="1"/>
  <c r="E100" i="1"/>
  <c r="F100" i="1"/>
  <c r="G100" i="1"/>
  <c r="I100" i="1"/>
  <c r="I112" i="1" s="1"/>
  <c r="I113" i="1" s="1"/>
  <c r="E142" i="1"/>
  <c r="K7" i="1"/>
  <c r="K9" i="1" s="1"/>
  <c r="K61" i="1" s="1"/>
  <c r="L7" i="1"/>
  <c r="L9" i="1" s="1"/>
  <c r="L101" i="1" s="1"/>
  <c r="M7" i="1"/>
  <c r="M9" i="1" s="1"/>
  <c r="N7" i="1"/>
  <c r="N9" i="1" s="1"/>
  <c r="O7" i="1"/>
  <c r="O9" i="1" s="1"/>
  <c r="J8" i="1"/>
  <c r="J9" i="1" s="1"/>
  <c r="J15" i="1"/>
  <c r="K15" i="1"/>
  <c r="L15" i="1"/>
  <c r="M15" i="1"/>
  <c r="N15" i="1"/>
  <c r="O15" i="1"/>
  <c r="J16" i="1"/>
  <c r="K16" i="1"/>
  <c r="L16" i="1"/>
  <c r="M16" i="1"/>
  <c r="N16" i="1"/>
  <c r="O16" i="1"/>
  <c r="L26" i="1"/>
  <c r="J45" i="1"/>
  <c r="K45" i="1"/>
  <c r="K49" i="1" s="1"/>
  <c r="L45" i="1"/>
  <c r="L49" i="1" s="1"/>
  <c r="M45" i="1"/>
  <c r="M49" i="1" s="1"/>
  <c r="N45" i="1"/>
  <c r="N50" i="1" s="1"/>
  <c r="J79" i="1"/>
  <c r="K79" i="1"/>
  <c r="K80" i="1" s="1"/>
  <c r="L79" i="1"/>
  <c r="L80" i="1" s="1"/>
  <c r="M79" i="1"/>
  <c r="M80" i="1" s="1"/>
  <c r="N79" i="1"/>
  <c r="N80" i="1" s="1"/>
  <c r="O79" i="1"/>
  <c r="O80" i="1" s="1"/>
  <c r="J85" i="1"/>
  <c r="J86" i="1" s="1"/>
  <c r="N85" i="1"/>
  <c r="N86" i="1" s="1"/>
  <c r="O85" i="1"/>
  <c r="O86" i="1" s="1"/>
  <c r="K86" i="1"/>
  <c r="L86" i="1"/>
  <c r="M86" i="1"/>
  <c r="J96" i="1"/>
  <c r="K96" i="1"/>
  <c r="L96" i="1"/>
  <c r="M96" i="1"/>
  <c r="N96" i="1"/>
  <c r="O96" i="1"/>
  <c r="J100" i="1"/>
  <c r="K100" i="1"/>
  <c r="L100" i="1"/>
  <c r="M100" i="1"/>
  <c r="N100" i="1"/>
  <c r="O100" i="1"/>
  <c r="J117" i="1"/>
  <c r="J132" i="1" s="1"/>
  <c r="K117" i="1"/>
  <c r="K132" i="1" s="1"/>
  <c r="L117" i="1"/>
  <c r="M117" i="1"/>
  <c r="N117" i="1"/>
  <c r="O117" i="1"/>
  <c r="K138" i="1"/>
  <c r="L138" i="1"/>
  <c r="M138" i="1"/>
  <c r="N138" i="1"/>
  <c r="O138" i="1"/>
  <c r="W57" i="1"/>
  <c r="W82" i="1" s="1"/>
  <c r="X57" i="1"/>
  <c r="X82" i="1" s="1"/>
  <c r="Y57" i="1"/>
  <c r="Y82" i="1" s="1"/>
  <c r="Z57" i="1"/>
  <c r="Z82" i="1" s="1"/>
  <c r="AE39" i="1" s="1"/>
  <c r="V57" i="1"/>
  <c r="Z80" i="1"/>
  <c r="Z85" i="1"/>
  <c r="Z86" i="1" s="1"/>
  <c r="Z96" i="1"/>
  <c r="Z100" i="1"/>
  <c r="AA131" i="1" s="1"/>
  <c r="Z111" i="1"/>
  <c r="Z117" i="1"/>
  <c r="Z7" i="1"/>
  <c r="Z9" i="1" s="1"/>
  <c r="Z34" i="1" s="1"/>
  <c r="Z37" i="1" s="1"/>
  <c r="W7" i="1"/>
  <c r="X7" i="1"/>
  <c r="Y7" i="1"/>
  <c r="Y9" i="1" s="1"/>
  <c r="Y34" i="1" s="1"/>
  <c r="Y37" i="1" s="1"/>
  <c r="AO2" i="1"/>
  <c r="AP2" i="1"/>
  <c r="AQ2" i="1"/>
  <c r="AR2" i="1"/>
  <c r="AL2" i="1"/>
  <c r="AL15" i="1" s="1"/>
  <c r="AM2" i="1"/>
  <c r="AM15" i="1" s="1"/>
  <c r="AN2" i="1"/>
  <c r="AN15" i="1" s="1"/>
  <c r="Y80" i="1"/>
  <c r="Y85" i="1"/>
  <c r="Y86" i="1" s="1"/>
  <c r="Y96" i="1"/>
  <c r="Y100" i="1"/>
  <c r="Y111" i="1"/>
  <c r="Y117" i="1"/>
  <c r="BA78" i="1" l="1"/>
  <c r="AZ79" i="1"/>
  <c r="AD39" i="1"/>
  <c r="AC39" i="1"/>
  <c r="AC41" i="1" s="1"/>
  <c r="AA39" i="1"/>
  <c r="AA41" i="1" s="1"/>
  <c r="Y39" i="1"/>
  <c r="X39" i="1"/>
  <c r="W39" i="1"/>
  <c r="AB39" i="1"/>
  <c r="Z39" i="1"/>
  <c r="AL28" i="1"/>
  <c r="M14" i="1"/>
  <c r="AM19" i="1"/>
  <c r="AB37" i="1"/>
  <c r="G14" i="1"/>
  <c r="N14" i="1"/>
  <c r="J14" i="1"/>
  <c r="E24" i="24"/>
  <c r="H14" i="1"/>
  <c r="D24" i="24"/>
  <c r="F24" i="24"/>
  <c r="I14" i="1"/>
  <c r="O14" i="1"/>
  <c r="F14" i="1"/>
  <c r="L14" i="1"/>
  <c r="K14" i="1"/>
  <c r="AT2" i="1"/>
  <c r="BA2" i="1"/>
  <c r="AO15" i="1"/>
  <c r="AV2" i="1"/>
  <c r="AU2" i="1"/>
  <c r="BD2" i="1"/>
  <c r="AR15" i="1"/>
  <c r="BC2" i="1"/>
  <c r="AQ15" i="1"/>
  <c r="AX2" i="1"/>
  <c r="BB2" i="1"/>
  <c r="AP15" i="1"/>
  <c r="AW2" i="1"/>
  <c r="AS2" i="1"/>
  <c r="Z101" i="1"/>
  <c r="Z59" i="1"/>
  <c r="Z58" i="1"/>
  <c r="Y59" i="1"/>
  <c r="Y58" i="1"/>
  <c r="J1" i="1"/>
  <c r="J3" i="1" s="1"/>
  <c r="K1" i="1"/>
  <c r="F1" i="1"/>
  <c r="F3" i="1" s="1"/>
  <c r="F131" i="1"/>
  <c r="AA132" i="1"/>
  <c r="L132" i="1"/>
  <c r="G112" i="1"/>
  <c r="G113" i="1" s="1"/>
  <c r="O112" i="1"/>
  <c r="O113" i="1" s="1"/>
  <c r="F112" i="1"/>
  <c r="F113" i="1" s="1"/>
  <c r="D96" i="1"/>
  <c r="D112" i="1" s="1"/>
  <c r="D113" i="1" s="1"/>
  <c r="I50" i="1"/>
  <c r="H138" i="1"/>
  <c r="G131" i="1"/>
  <c r="L112" i="1"/>
  <c r="L113" i="1" s="1"/>
  <c r="O131" i="1"/>
  <c r="E9" i="1"/>
  <c r="E28" i="1" s="1"/>
  <c r="AE87" i="1"/>
  <c r="AE130" i="1" s="1"/>
  <c r="AE133" i="1" s="1"/>
  <c r="D123" i="1"/>
  <c r="D124" i="1" s="1"/>
  <c r="E79" i="1"/>
  <c r="E80" i="1" s="1"/>
  <c r="G138" i="1"/>
  <c r="F138" i="1"/>
  <c r="H101" i="1"/>
  <c r="G79" i="1"/>
  <c r="G80" i="1" s="1"/>
  <c r="D79" i="1"/>
  <c r="D80" i="1" s="1"/>
  <c r="AA87" i="1"/>
  <c r="AA130" i="1" s="1"/>
  <c r="L1" i="1"/>
  <c r="L3" i="1" s="1"/>
  <c r="G1" i="1"/>
  <c r="G3" i="1" s="1"/>
  <c r="AE41" i="1"/>
  <c r="I28" i="1"/>
  <c r="I61" i="1"/>
  <c r="AD36" i="1"/>
  <c r="E138" i="1"/>
  <c r="AB4" i="1"/>
  <c r="AE113" i="1"/>
  <c r="E112" i="1"/>
  <c r="E113" i="1" s="1"/>
  <c r="O1" i="1"/>
  <c r="O3" i="1" s="1"/>
  <c r="N1" i="1"/>
  <c r="N3" i="1" s="1"/>
  <c r="M1" i="1"/>
  <c r="M3" i="1" s="1"/>
  <c r="E131" i="1"/>
  <c r="J138" i="1"/>
  <c r="F79" i="1"/>
  <c r="F80" i="1" s="1"/>
  <c r="D3" i="1"/>
  <c r="I1" i="1"/>
  <c r="AC113" i="1"/>
  <c r="H1" i="1"/>
  <c r="H3" i="1" s="1"/>
  <c r="AC87" i="1"/>
  <c r="AC130" i="1" s="1"/>
  <c r="AC133" i="1" s="1"/>
  <c r="AE35" i="1"/>
  <c r="AD130" i="1"/>
  <c r="AD133" i="1" s="1"/>
  <c r="AB81" i="1"/>
  <c r="AA1" i="1"/>
  <c r="AA3" i="1" s="1"/>
  <c r="AY2" i="1"/>
  <c r="AF85" i="1"/>
  <c r="AF86" i="1" s="1"/>
  <c r="AZ2" i="1"/>
  <c r="D9" i="1"/>
  <c r="D61" i="1" s="1"/>
  <c r="G28" i="1"/>
  <c r="G61" i="1"/>
  <c r="G101" i="1"/>
  <c r="N131" i="1"/>
  <c r="M112" i="1"/>
  <c r="M113" i="1" s="1"/>
  <c r="M131" i="1"/>
  <c r="F28" i="1"/>
  <c r="F61" i="1"/>
  <c r="J49" i="1"/>
  <c r="J50" i="1"/>
  <c r="I101" i="1"/>
  <c r="H100" i="1"/>
  <c r="I79" i="1"/>
  <c r="I80" i="1" s="1"/>
  <c r="O132" i="1"/>
  <c r="H79" i="1"/>
  <c r="H80" i="1" s="1"/>
  <c r="H28" i="1"/>
  <c r="H61" i="1"/>
  <c r="N112" i="1"/>
  <c r="N113" i="1" s="1"/>
  <c r="L61" i="1"/>
  <c r="L81" i="1" s="1"/>
  <c r="L28" i="1"/>
  <c r="L34" i="1"/>
  <c r="I138" i="1"/>
  <c r="F101" i="1"/>
  <c r="K81" i="1"/>
  <c r="K87" i="1" s="1"/>
  <c r="K130" i="1" s="1"/>
  <c r="K131" i="1"/>
  <c r="O34" i="1"/>
  <c r="O28" i="1"/>
  <c r="O101" i="1"/>
  <c r="M61" i="1"/>
  <c r="M81" i="1" s="1"/>
  <c r="M36" i="1" s="1"/>
  <c r="M34" i="1"/>
  <c r="M101" i="1"/>
  <c r="J28" i="1"/>
  <c r="J101" i="1"/>
  <c r="L50" i="1"/>
  <c r="M132" i="1"/>
  <c r="O39" i="1"/>
  <c r="K50" i="1"/>
  <c r="M50" i="1"/>
  <c r="N49" i="1"/>
  <c r="J112" i="1"/>
  <c r="J113" i="1" s="1"/>
  <c r="J61" i="1"/>
  <c r="N34" i="1"/>
  <c r="N61" i="1"/>
  <c r="N81" i="1" s="1"/>
  <c r="N101" i="1"/>
  <c r="N28" i="1"/>
  <c r="L39" i="1"/>
  <c r="J80" i="1"/>
  <c r="N32" i="1"/>
  <c r="N33" i="1" s="1"/>
  <c r="K101" i="1"/>
  <c r="K28" i="1"/>
  <c r="M32" i="1"/>
  <c r="M33" i="1" s="1"/>
  <c r="O32" i="1"/>
  <c r="O33" i="1" s="1"/>
  <c r="L32" i="1"/>
  <c r="L33" i="1" s="1"/>
  <c r="M39" i="1"/>
  <c r="N39" i="1"/>
  <c r="J131" i="1"/>
  <c r="N132" i="1"/>
  <c r="L131" i="1"/>
  <c r="K112" i="1"/>
  <c r="K113" i="1" s="1"/>
  <c r="O61" i="1"/>
  <c r="O81" i="1" s="1"/>
  <c r="M28" i="1"/>
  <c r="Y61" i="1"/>
  <c r="Y81" i="1" s="1"/>
  <c r="Z61" i="1"/>
  <c r="Z112" i="1"/>
  <c r="Y112" i="1"/>
  <c r="Y28" i="1"/>
  <c r="Y101" i="1"/>
  <c r="S79" i="1"/>
  <c r="S80" i="1" s="1"/>
  <c r="T79" i="1"/>
  <c r="U79" i="1"/>
  <c r="U80" i="1" s="1"/>
  <c r="V80" i="1"/>
  <c r="X30" i="1"/>
  <c r="X80" i="1"/>
  <c r="X85" i="1"/>
  <c r="X86" i="1" s="1"/>
  <c r="X96" i="1"/>
  <c r="X100" i="1"/>
  <c r="X111" i="1"/>
  <c r="X117" i="1"/>
  <c r="X9" i="1"/>
  <c r="X34" i="1" s="1"/>
  <c r="X37" i="1" s="1"/>
  <c r="R79" i="1"/>
  <c r="P79" i="1"/>
  <c r="W9" i="1"/>
  <c r="W34" i="1" s="1"/>
  <c r="W37" i="1" s="1"/>
  <c r="W85" i="1"/>
  <c r="W86" i="1" s="1"/>
  <c r="W96" i="1"/>
  <c r="W100" i="1"/>
  <c r="W111" i="1"/>
  <c r="V16" i="1"/>
  <c r="AC32" i="1" s="1"/>
  <c r="U16" i="1"/>
  <c r="T16" i="1"/>
  <c r="S16" i="1"/>
  <c r="R16" i="1"/>
  <c r="Q16" i="1"/>
  <c r="P16" i="1"/>
  <c r="V15" i="1"/>
  <c r="U15" i="1"/>
  <c r="T15" i="1"/>
  <c r="S15" i="1"/>
  <c r="R15" i="1"/>
  <c r="Q15" i="1"/>
  <c r="P15" i="1"/>
  <c r="V111" i="1"/>
  <c r="U111" i="1"/>
  <c r="T111" i="1"/>
  <c r="S111" i="1"/>
  <c r="R111" i="1"/>
  <c r="Q111" i="1"/>
  <c r="P111" i="1"/>
  <c r="V7" i="1"/>
  <c r="V9" i="1" s="1"/>
  <c r="U7" i="1"/>
  <c r="U9" i="1" s="1"/>
  <c r="U28" i="1" s="1"/>
  <c r="S7" i="1"/>
  <c r="S96" i="1"/>
  <c r="T96" i="1"/>
  <c r="U96" i="1"/>
  <c r="V96" i="1"/>
  <c r="S100" i="1"/>
  <c r="T100" i="1"/>
  <c r="U100" i="1"/>
  <c r="V100" i="1"/>
  <c r="S117" i="1"/>
  <c r="T117" i="1"/>
  <c r="U117" i="1"/>
  <c r="V117" i="1"/>
  <c r="T85" i="1"/>
  <c r="T86" i="1" s="1"/>
  <c r="U85" i="1"/>
  <c r="U86" i="1" s="1"/>
  <c r="V85" i="1"/>
  <c r="V86" i="1" s="1"/>
  <c r="S85" i="1"/>
  <c r="S86" i="1" s="1"/>
  <c r="T7" i="1"/>
  <c r="T9" i="1" s="1"/>
  <c r="T28" i="1" s="1"/>
  <c r="BB78" i="1" l="1"/>
  <c r="BA79" i="1"/>
  <c r="C24" i="24"/>
  <c r="K3" i="1"/>
  <c r="I3" i="1"/>
  <c r="AD41" i="1"/>
  <c r="AA32" i="1"/>
  <c r="AA33" i="1" s="1"/>
  <c r="AA35" i="1" s="1"/>
  <c r="Z32" i="1"/>
  <c r="Z33" i="1" s="1"/>
  <c r="AB32" i="1"/>
  <c r="AB33" i="1" s="1"/>
  <c r="AB35" i="1" s="1"/>
  <c r="Y32" i="1"/>
  <c r="Y33" i="1" s="1"/>
  <c r="Y35" i="1" s="1"/>
  <c r="W32" i="1"/>
  <c r="W33" i="1" s="1"/>
  <c r="X32" i="1"/>
  <c r="X33" i="1" s="1"/>
  <c r="S14" i="1"/>
  <c r="V14" i="1"/>
  <c r="P14" i="1"/>
  <c r="Q14" i="1"/>
  <c r="R14" i="1"/>
  <c r="T14" i="1"/>
  <c r="U14" i="1"/>
  <c r="BN2" i="1"/>
  <c r="BB15" i="1"/>
  <c r="BG2" i="1"/>
  <c r="AU15" i="1"/>
  <c r="BE2" i="1"/>
  <c r="AS15" i="1"/>
  <c r="BJ2" i="1"/>
  <c r="AX15" i="1"/>
  <c r="BH2" i="1"/>
  <c r="AV15" i="1"/>
  <c r="BL2" i="1"/>
  <c r="AZ15" i="1"/>
  <c r="BO2" i="1"/>
  <c r="BC15" i="1"/>
  <c r="BM2" i="1"/>
  <c r="BA15" i="1"/>
  <c r="BK2" i="1"/>
  <c r="AY15" i="1"/>
  <c r="BI2" i="1"/>
  <c r="AW15" i="1"/>
  <c r="BP2" i="1"/>
  <c r="BD15" i="1"/>
  <c r="BF2" i="1"/>
  <c r="AT15" i="1"/>
  <c r="AD33" i="1"/>
  <c r="AD35" i="1" s="1"/>
  <c r="AC33" i="1"/>
  <c r="AC35" i="1" s="1"/>
  <c r="D144" i="1"/>
  <c r="F81" i="1"/>
  <c r="F87" i="1" s="1"/>
  <c r="F130" i="1" s="1"/>
  <c r="F133" i="1" s="1"/>
  <c r="F140" i="1" s="1"/>
  <c r="AA133" i="1"/>
  <c r="X61" i="1"/>
  <c r="X81" i="1" s="1"/>
  <c r="X87" i="1" s="1"/>
  <c r="X59" i="1"/>
  <c r="X58" i="1"/>
  <c r="K133" i="1"/>
  <c r="K140" i="1" s="1"/>
  <c r="E101" i="1"/>
  <c r="W58" i="1"/>
  <c r="W59" i="1"/>
  <c r="E61" i="1"/>
  <c r="E81" i="1" s="1"/>
  <c r="E87" i="1" s="1"/>
  <c r="D126" i="1"/>
  <c r="I81" i="1"/>
  <c r="I87" i="1" s="1"/>
  <c r="I130" i="1" s="1"/>
  <c r="D81" i="1"/>
  <c r="D87" i="1" s="1"/>
  <c r="D130" i="1" s="1"/>
  <c r="D133" i="1" s="1"/>
  <c r="D140" i="1" s="1"/>
  <c r="G81" i="1"/>
  <c r="G87" i="1" s="1"/>
  <c r="G130" i="1" s="1"/>
  <c r="G133" i="1" s="1"/>
  <c r="G140" i="1" s="1"/>
  <c r="L87" i="1"/>
  <c r="L130" i="1" s="1"/>
  <c r="L133" i="1" s="1"/>
  <c r="L140" i="1" s="1"/>
  <c r="L36" i="1"/>
  <c r="L41" i="1" s="1"/>
  <c r="L35" i="1"/>
  <c r="AC4" i="1"/>
  <c r="O35" i="1"/>
  <c r="Y113" i="1"/>
  <c r="H81" i="1"/>
  <c r="H87" i="1" s="1"/>
  <c r="H130" i="1" s="1"/>
  <c r="Z113" i="1"/>
  <c r="AC140" i="1"/>
  <c r="AE140" i="1"/>
  <c r="AD140" i="1"/>
  <c r="AB36" i="1"/>
  <c r="AB87" i="1"/>
  <c r="AB122" i="1" s="1"/>
  <c r="AB1" i="1"/>
  <c r="AB3" i="1" s="1"/>
  <c r="M35" i="1"/>
  <c r="AF132" i="1"/>
  <c r="H131" i="1"/>
  <c r="H112" i="1"/>
  <c r="H113" i="1" s="1"/>
  <c r="M87" i="1"/>
  <c r="M130" i="1" s="1"/>
  <c r="M133" i="1" s="1"/>
  <c r="M140" i="1" s="1"/>
  <c r="I131" i="1"/>
  <c r="M41" i="1"/>
  <c r="J81" i="1"/>
  <c r="J87" i="1" s="1"/>
  <c r="J130" i="1" s="1"/>
  <c r="J133" i="1" s="1"/>
  <c r="J140" i="1" s="1"/>
  <c r="N36" i="1"/>
  <c r="N41" i="1" s="1"/>
  <c r="N87" i="1"/>
  <c r="N130" i="1" s="1"/>
  <c r="N133" i="1" s="1"/>
  <c r="N140" i="1" s="1"/>
  <c r="N35" i="1"/>
  <c r="O36" i="1"/>
  <c r="O87" i="1"/>
  <c r="O130" i="1" s="1"/>
  <c r="O133" i="1" s="1"/>
  <c r="O140" i="1" s="1"/>
  <c r="W61" i="1"/>
  <c r="V28" i="1"/>
  <c r="V61" i="1"/>
  <c r="V81" i="1" s="1"/>
  <c r="P32" i="1"/>
  <c r="P33" i="1" s="1"/>
  <c r="V32" i="1"/>
  <c r="V33" i="1" s="1"/>
  <c r="Q32" i="1"/>
  <c r="Q33" i="1" s="1"/>
  <c r="R32" i="1"/>
  <c r="R33" i="1" s="1"/>
  <c r="S32" i="1"/>
  <c r="S33" i="1" s="1"/>
  <c r="T32" i="1"/>
  <c r="T33" i="1" s="1"/>
  <c r="U32" i="1"/>
  <c r="U33" i="1" s="1"/>
  <c r="X112" i="1"/>
  <c r="W80" i="1"/>
  <c r="Y36" i="1"/>
  <c r="Y87" i="1"/>
  <c r="X101" i="1"/>
  <c r="W28" i="1"/>
  <c r="X28" i="1"/>
  <c r="T39" i="1"/>
  <c r="Q79" i="1"/>
  <c r="S39" i="1" s="1"/>
  <c r="W117" i="1"/>
  <c r="W132" i="1" s="1"/>
  <c r="W112" i="1"/>
  <c r="T80" i="1"/>
  <c r="V39" i="1"/>
  <c r="U39" i="1"/>
  <c r="V34" i="1"/>
  <c r="T34" i="1"/>
  <c r="U34" i="1"/>
  <c r="W101" i="1"/>
  <c r="T132" i="1"/>
  <c r="S9" i="1"/>
  <c r="V132" i="1"/>
  <c r="U132" i="1"/>
  <c r="S112" i="1"/>
  <c r="S113" i="1" s="1"/>
  <c r="U112" i="1"/>
  <c r="V112" i="1"/>
  <c r="T112" i="1"/>
  <c r="U61" i="1"/>
  <c r="U81" i="1" s="1"/>
  <c r="T61" i="1"/>
  <c r="V101" i="1"/>
  <c r="U101" i="1"/>
  <c r="T101" i="1"/>
  <c r="P138" i="1"/>
  <c r="R80" i="1"/>
  <c r="R85" i="1"/>
  <c r="R86" i="1" s="1"/>
  <c r="R96" i="1"/>
  <c r="R100" i="1"/>
  <c r="R117" i="1"/>
  <c r="S132" i="1" s="1"/>
  <c r="R7" i="1"/>
  <c r="Q7" i="1"/>
  <c r="Q85" i="1"/>
  <c r="Q86" i="1" s="1"/>
  <c r="Q96" i="1"/>
  <c r="Q100" i="1"/>
  <c r="Q117" i="1"/>
  <c r="P96" i="1"/>
  <c r="P117" i="1"/>
  <c r="P85" i="1"/>
  <c r="P86" i="1" s="1"/>
  <c r="P80" i="1"/>
  <c r="P7" i="1"/>
  <c r="BC78" i="1" l="1"/>
  <c r="BB79" i="1"/>
  <c r="BR2" i="1"/>
  <c r="BF15" i="1"/>
  <c r="BY2" i="1"/>
  <c r="BM15" i="1"/>
  <c r="BV2" i="1"/>
  <c r="BJ15" i="1"/>
  <c r="CB2" i="1"/>
  <c r="BP15" i="1"/>
  <c r="CA2" i="1"/>
  <c r="BO15" i="1"/>
  <c r="BQ2" i="1"/>
  <c r="BE15" i="1"/>
  <c r="BU2" i="1"/>
  <c r="BI15" i="1"/>
  <c r="BX2" i="1"/>
  <c r="BL15" i="1"/>
  <c r="BS2" i="1"/>
  <c r="BG15" i="1"/>
  <c r="BW2" i="1"/>
  <c r="BK15" i="1"/>
  <c r="BT2" i="1"/>
  <c r="BH15" i="1"/>
  <c r="BZ2" i="1"/>
  <c r="BN15" i="1"/>
  <c r="AA140" i="1"/>
  <c r="I133" i="1"/>
  <c r="I140" i="1" s="1"/>
  <c r="H133" i="1"/>
  <c r="H140" i="1" s="1"/>
  <c r="L38" i="1"/>
  <c r="L40" i="1" s="1"/>
  <c r="E130" i="1"/>
  <c r="E133" i="1" s="1"/>
  <c r="E140" i="1" s="1"/>
  <c r="E143" i="1" s="1"/>
  <c r="M38" i="1"/>
  <c r="M40" i="1" s="1"/>
  <c r="AD4" i="1"/>
  <c r="T113" i="1"/>
  <c r="X113" i="1"/>
  <c r="G53" i="24"/>
  <c r="V113" i="1"/>
  <c r="E53" i="24"/>
  <c r="W113" i="1"/>
  <c r="F53" i="24"/>
  <c r="U113" i="1"/>
  <c r="D53" i="24"/>
  <c r="AB130" i="1"/>
  <c r="AB133" i="1" s="1"/>
  <c r="AB41" i="1"/>
  <c r="AC1" i="1"/>
  <c r="AC3" i="1" s="1"/>
  <c r="O38" i="1"/>
  <c r="O40" i="1" s="1"/>
  <c r="O41" i="1"/>
  <c r="N38" i="1"/>
  <c r="N40" i="1" s="1"/>
  <c r="W35" i="1"/>
  <c r="V35" i="1"/>
  <c r="Y41" i="1"/>
  <c r="X35" i="1"/>
  <c r="T81" i="1"/>
  <c r="T87" i="1" s="1"/>
  <c r="Q80" i="1"/>
  <c r="R39" i="1"/>
  <c r="U87" i="1"/>
  <c r="V87" i="1"/>
  <c r="S101" i="1"/>
  <c r="S34" i="1"/>
  <c r="S35" i="1" s="1"/>
  <c r="U35" i="1"/>
  <c r="T35" i="1"/>
  <c r="S61" i="1"/>
  <c r="S81" i="1" s="1"/>
  <c r="Q9" i="1"/>
  <c r="Q34" i="1" s="1"/>
  <c r="Q35" i="1" s="1"/>
  <c r="P9" i="1"/>
  <c r="Q132" i="1"/>
  <c r="R9" i="1"/>
  <c r="R132" i="1"/>
  <c r="X132" i="1"/>
  <c r="Q112" i="1"/>
  <c r="Q113" i="1" s="1"/>
  <c r="R112" i="1"/>
  <c r="R113" i="1" s="1"/>
  <c r="BC79" i="1" l="1"/>
  <c r="BD78" i="1"/>
  <c r="CL2" i="1"/>
  <c r="BZ15" i="1"/>
  <c r="CJ2" i="1"/>
  <c r="BX15" i="1"/>
  <c r="CN2" i="1"/>
  <c r="CB15" i="1"/>
  <c r="CF2" i="1"/>
  <c r="BT15" i="1"/>
  <c r="CG2" i="1"/>
  <c r="BU15" i="1"/>
  <c r="CH2" i="1"/>
  <c r="BV15" i="1"/>
  <c r="CI2" i="1"/>
  <c r="BW15" i="1"/>
  <c r="CC2" i="1"/>
  <c r="BQ15" i="1"/>
  <c r="CK2" i="1"/>
  <c r="BY15" i="1"/>
  <c r="CE2" i="1"/>
  <c r="BS15" i="1"/>
  <c r="CM2" i="1"/>
  <c r="CA15" i="1"/>
  <c r="CD2" i="1"/>
  <c r="BR15" i="1"/>
  <c r="V38" i="1"/>
  <c r="E123" i="1"/>
  <c r="E124" i="1" s="1"/>
  <c r="E126" i="1" s="1"/>
  <c r="F142" i="1"/>
  <c r="F143" i="1" s="1"/>
  <c r="E144" i="1"/>
  <c r="AE4" i="1"/>
  <c r="AB140" i="1"/>
  <c r="AD1" i="1"/>
  <c r="AD3" i="1" s="1"/>
  <c r="T41" i="1"/>
  <c r="P61" i="1"/>
  <c r="P81" i="1" s="1"/>
  <c r="P34" i="1"/>
  <c r="P35" i="1" s="1"/>
  <c r="R101" i="1"/>
  <c r="R34" i="1"/>
  <c r="R35" i="1" s="1"/>
  <c r="S87" i="1"/>
  <c r="U41" i="1"/>
  <c r="R61" i="1"/>
  <c r="R81" i="1" s="1"/>
  <c r="R28" i="1"/>
  <c r="P28" i="1"/>
  <c r="K18" i="19"/>
  <c r="P132" i="1"/>
  <c r="BD79" i="1" l="1"/>
  <c r="BE78" i="1"/>
  <c r="CP2" i="1"/>
  <c r="CD15" i="1"/>
  <c r="CR2" i="1"/>
  <c r="CF15" i="1"/>
  <c r="CY2" i="1"/>
  <c r="CY15" i="1" s="1"/>
  <c r="CM15" i="1"/>
  <c r="CU2" i="1"/>
  <c r="CI15" i="1"/>
  <c r="CZ2" i="1"/>
  <c r="CZ15" i="1" s="1"/>
  <c r="CN15" i="1"/>
  <c r="CO2" i="1"/>
  <c r="CC15" i="1"/>
  <c r="CQ2" i="1"/>
  <c r="CE15" i="1"/>
  <c r="CT2" i="1"/>
  <c r="CH15" i="1"/>
  <c r="CV2" i="1"/>
  <c r="CV15" i="1" s="1"/>
  <c r="CJ15" i="1"/>
  <c r="CW2" i="1"/>
  <c r="CW15" i="1" s="1"/>
  <c r="CK15" i="1"/>
  <c r="CS2" i="1"/>
  <c r="CG15" i="1"/>
  <c r="CX2" i="1"/>
  <c r="CX15" i="1" s="1"/>
  <c r="CL15" i="1"/>
  <c r="F144" i="1"/>
  <c r="G142" i="1"/>
  <c r="G143" i="1" s="1"/>
  <c r="F123" i="1"/>
  <c r="F124" i="1" s="1"/>
  <c r="F126" i="1" s="1"/>
  <c r="AF4" i="1"/>
  <c r="AE1" i="1"/>
  <c r="AE3" i="1" s="1"/>
  <c r="U38" i="1"/>
  <c r="U40" i="1" s="1"/>
  <c r="S41" i="1"/>
  <c r="Q39" i="1"/>
  <c r="P39" i="1"/>
  <c r="P87" i="1"/>
  <c r="P36" i="1"/>
  <c r="R87" i="1"/>
  <c r="T38" i="1"/>
  <c r="T40" i="1" s="1"/>
  <c r="BE79" i="1" l="1"/>
  <c r="BF78" i="1"/>
  <c r="DG2" i="1"/>
  <c r="DG15" i="1" s="1"/>
  <c r="CU15" i="1"/>
  <c r="DE2" i="1"/>
  <c r="DE15" i="1" s="1"/>
  <c r="CS15" i="1"/>
  <c r="DA2" i="1"/>
  <c r="DA15" i="1" s="1"/>
  <c r="CO15" i="1"/>
  <c r="DD2" i="1"/>
  <c r="DD15" i="1" s="1"/>
  <c r="CR15" i="1"/>
  <c r="DF2" i="1"/>
  <c r="DF15" i="1" s="1"/>
  <c r="CT15" i="1"/>
  <c r="DC2" i="1"/>
  <c r="DC15" i="1" s="1"/>
  <c r="CQ15" i="1"/>
  <c r="DB2" i="1"/>
  <c r="DB15" i="1" s="1"/>
  <c r="CP15" i="1"/>
  <c r="AM58" i="1"/>
  <c r="AM59" i="1"/>
  <c r="G123" i="1"/>
  <c r="G124" i="1" s="1"/>
  <c r="G126" i="1" s="1"/>
  <c r="G144" i="1"/>
  <c r="H142" i="1"/>
  <c r="H143" i="1" s="1"/>
  <c r="AG4" i="1"/>
  <c r="AF1" i="1"/>
  <c r="AF3" i="1" s="1"/>
  <c r="R41" i="1"/>
  <c r="P123" i="1"/>
  <c r="P130" i="1"/>
  <c r="P41" i="1"/>
  <c r="C45" i="18"/>
  <c r="B34" i="18"/>
  <c r="C34" i="18" s="1"/>
  <c r="B12" i="18"/>
  <c r="C12" i="18" s="1"/>
  <c r="E3" i="18"/>
  <c r="C2" i="18"/>
  <c r="K27" i="16"/>
  <c r="AM121" i="1"/>
  <c r="AN121" i="1" s="1"/>
  <c r="AO121" i="1" s="1"/>
  <c r="AP121" i="1" s="1"/>
  <c r="AQ121" i="1" s="1"/>
  <c r="AR121" i="1" s="1"/>
  <c r="AS121" i="1" s="1"/>
  <c r="AT121" i="1" s="1"/>
  <c r="AU121" i="1" s="1"/>
  <c r="AV121" i="1" s="1"/>
  <c r="AW121" i="1" s="1"/>
  <c r="AX121" i="1" s="1"/>
  <c r="AY121" i="1" s="1"/>
  <c r="AZ121" i="1" s="1"/>
  <c r="BA121" i="1" s="1"/>
  <c r="BB121" i="1" s="1"/>
  <c r="BC121" i="1" s="1"/>
  <c r="BD121" i="1" s="1"/>
  <c r="BE121" i="1" s="1"/>
  <c r="BF121" i="1" s="1"/>
  <c r="BG121" i="1" s="1"/>
  <c r="BH121" i="1" s="1"/>
  <c r="BI121" i="1" s="1"/>
  <c r="BJ121" i="1" s="1"/>
  <c r="BK121" i="1" s="1"/>
  <c r="BL121" i="1" s="1"/>
  <c r="BM121" i="1" s="1"/>
  <c r="BN121" i="1" s="1"/>
  <c r="BO121" i="1" s="1"/>
  <c r="BP121" i="1" s="1"/>
  <c r="BQ121" i="1" s="1"/>
  <c r="BR121" i="1" s="1"/>
  <c r="BS121" i="1" s="1"/>
  <c r="BT121" i="1" s="1"/>
  <c r="BU121" i="1" s="1"/>
  <c r="BV121" i="1" s="1"/>
  <c r="BW121" i="1" s="1"/>
  <c r="BX121" i="1" s="1"/>
  <c r="BY121" i="1" s="1"/>
  <c r="BZ121" i="1" s="1"/>
  <c r="CA121" i="1" s="1"/>
  <c r="CB121" i="1" s="1"/>
  <c r="CC121" i="1" s="1"/>
  <c r="CD121" i="1" s="1"/>
  <c r="CE121" i="1" s="1"/>
  <c r="CF121" i="1" s="1"/>
  <c r="CG121" i="1" s="1"/>
  <c r="CH121" i="1" s="1"/>
  <c r="CI121" i="1" s="1"/>
  <c r="CJ121" i="1" s="1"/>
  <c r="CK121" i="1" s="1"/>
  <c r="CL121" i="1" s="1"/>
  <c r="CM121" i="1" s="1"/>
  <c r="CN121" i="1" s="1"/>
  <c r="CO121" i="1" s="1"/>
  <c r="CP121" i="1" s="1"/>
  <c r="CQ121" i="1" s="1"/>
  <c r="CR121" i="1" s="1"/>
  <c r="CS121" i="1" s="1"/>
  <c r="CT121" i="1" s="1"/>
  <c r="CU121" i="1" s="1"/>
  <c r="CV121" i="1" s="1"/>
  <c r="CW121" i="1" s="1"/>
  <c r="CX121" i="1" s="1"/>
  <c r="CY121" i="1" s="1"/>
  <c r="CZ121" i="1" s="1"/>
  <c r="DA121" i="1" s="1"/>
  <c r="DB121" i="1" s="1"/>
  <c r="DC121" i="1" s="1"/>
  <c r="DD121" i="1" s="1"/>
  <c r="DE121" i="1" s="1"/>
  <c r="DF121" i="1" s="1"/>
  <c r="DG121" i="1" s="1"/>
  <c r="BG78" i="1" l="1"/>
  <c r="BF79" i="1"/>
  <c r="AN58" i="1"/>
  <c r="AN59" i="1"/>
  <c r="H123" i="1"/>
  <c r="H124" i="1" s="1"/>
  <c r="H126" i="1" s="1"/>
  <c r="I123" i="1"/>
  <c r="I124" i="1" s="1"/>
  <c r="I126" i="1" s="1"/>
  <c r="H144" i="1"/>
  <c r="I142" i="1"/>
  <c r="I143" i="1" s="1"/>
  <c r="I144" i="1" s="1"/>
  <c r="AH4" i="1"/>
  <c r="N10" i="15"/>
  <c r="M10" i="15"/>
  <c r="L10" i="15"/>
  <c r="K10" i="15"/>
  <c r="J10" i="15"/>
  <c r="I10" i="15"/>
  <c r="H10" i="15"/>
  <c r="G10" i="15"/>
  <c r="F10" i="15"/>
  <c r="E10" i="15"/>
  <c r="D10" i="15"/>
  <c r="C10" i="15"/>
  <c r="C10" i="6"/>
  <c r="D10" i="6"/>
  <c r="E10" i="6"/>
  <c r="F10" i="6"/>
  <c r="G10" i="6"/>
  <c r="H10" i="6"/>
  <c r="I10" i="6"/>
  <c r="J10" i="6"/>
  <c r="K10" i="6"/>
  <c r="L10" i="6"/>
  <c r="M10" i="6"/>
  <c r="N10" i="6"/>
  <c r="P1" i="1"/>
  <c r="Q1" i="1"/>
  <c r="Q3" i="1" s="1"/>
  <c r="R1" i="1"/>
  <c r="S1" i="1"/>
  <c r="T1" i="1"/>
  <c r="T3" i="1" s="1"/>
  <c r="U1" i="1"/>
  <c r="U3" i="1" s="1"/>
  <c r="V1" i="1"/>
  <c r="W1" i="1"/>
  <c r="W3" i="1" s="1"/>
  <c r="X1" i="1"/>
  <c r="X3" i="1" s="1"/>
  <c r="Y1" i="1"/>
  <c r="Y3" i="1" s="1"/>
  <c r="Z1" i="1"/>
  <c r="Z3" i="1" s="1"/>
  <c r="AG1" i="1"/>
  <c r="AG3" i="1" s="1"/>
  <c r="E7" i="13"/>
  <c r="J7" i="13" s="1"/>
  <c r="E6" i="13"/>
  <c r="J6" i="13" s="1"/>
  <c r="E5" i="13"/>
  <c r="J5" i="13" s="1"/>
  <c r="E4" i="13"/>
  <c r="J4" i="13" s="1"/>
  <c r="E3" i="13"/>
  <c r="J3" i="13" s="1"/>
  <c r="E2" i="13"/>
  <c r="J2" i="13" s="1"/>
  <c r="J18" i="12"/>
  <c r="K43" i="11"/>
  <c r="BH78" i="1" l="1"/>
  <c r="BG79" i="1"/>
  <c r="AH24" i="1"/>
  <c r="AH25" i="1" s="1"/>
  <c r="J10" i="13"/>
  <c r="AO58" i="1"/>
  <c r="J142" i="1"/>
  <c r="J143" i="1" s="1"/>
  <c r="J144" i="1" s="1"/>
  <c r="J123" i="1"/>
  <c r="J124" i="1" s="1"/>
  <c r="J126" i="1" s="1"/>
  <c r="AO59" i="1"/>
  <c r="AH1" i="1"/>
  <c r="AH3" i="1" s="1"/>
  <c r="AI4" i="1"/>
  <c r="AI24" i="1" s="1"/>
  <c r="AI25" i="1" s="1"/>
  <c r="AI42" i="1" s="1"/>
  <c r="V3" i="1"/>
  <c r="S3" i="1"/>
  <c r="R3" i="1"/>
  <c r="P3" i="1"/>
  <c r="E17" i="5"/>
  <c r="B21" i="9"/>
  <c r="B31" i="9" s="1"/>
  <c r="B41" i="9" s="1"/>
  <c r="B51" i="9" s="1"/>
  <c r="B61" i="9" s="1"/>
  <c r="B19" i="9"/>
  <c r="B29" i="9" s="1"/>
  <c r="B39" i="9" s="1"/>
  <c r="B49" i="9" s="1"/>
  <c r="B59" i="9" s="1"/>
  <c r="B18" i="9"/>
  <c r="B28" i="9" s="1"/>
  <c r="B38" i="9" s="1"/>
  <c r="B48" i="9" s="1"/>
  <c r="B58" i="9" s="1"/>
  <c r="B17" i="9"/>
  <c r="B27" i="9" s="1"/>
  <c r="B37" i="9" s="1"/>
  <c r="B47" i="9" s="1"/>
  <c r="B57" i="9" s="1"/>
  <c r="B16" i="9"/>
  <c r="B26" i="9" s="1"/>
  <c r="B36" i="9" s="1"/>
  <c r="B46" i="9" s="1"/>
  <c r="B56" i="9" s="1"/>
  <c r="B15" i="9"/>
  <c r="B25" i="9" s="1"/>
  <c r="B35" i="9" s="1"/>
  <c r="B45" i="9" s="1"/>
  <c r="B55" i="9" s="1"/>
  <c r="B14" i="9"/>
  <c r="B24" i="9" s="1"/>
  <c r="B34" i="9" s="1"/>
  <c r="B44" i="9" s="1"/>
  <c r="B54" i="9" s="1"/>
  <c r="B13" i="9"/>
  <c r="B23" i="9" s="1"/>
  <c r="B33" i="9" s="1"/>
  <c r="B43" i="9" s="1"/>
  <c r="B53" i="9" s="1"/>
  <c r="B12" i="9"/>
  <c r="B22" i="9" s="1"/>
  <c r="B32" i="9" s="1"/>
  <c r="B42" i="9" s="1"/>
  <c r="B52" i="9" s="1"/>
  <c r="B62" i="9" s="1"/>
  <c r="B10" i="9"/>
  <c r="BH79" i="1" l="1"/>
  <c r="BI78" i="1"/>
  <c r="AH42" i="1"/>
  <c r="AT25" i="1"/>
  <c r="BF25" i="1" s="1"/>
  <c r="BR25" i="1" s="1"/>
  <c r="CD25" i="1" s="1"/>
  <c r="CP25" i="1" s="1"/>
  <c r="DB25" i="1" s="1"/>
  <c r="AJ4" i="1"/>
  <c r="B20" i="9"/>
  <c r="B30" i="9" s="1"/>
  <c r="B40" i="9" s="1"/>
  <c r="B50" i="9" s="1"/>
  <c r="B60" i="9" s="1"/>
  <c r="K142" i="1"/>
  <c r="K143" i="1" s="1"/>
  <c r="L142" i="1" s="1"/>
  <c r="L143" i="1" s="1"/>
  <c r="AP58" i="1"/>
  <c r="AP59" i="1"/>
  <c r="AI1" i="1"/>
  <c r="K123" i="1"/>
  <c r="K124" i="1" s="1"/>
  <c r="K126" i="1" s="1"/>
  <c r="F17" i="5"/>
  <c r="BJ78" i="1" l="1"/>
  <c r="BI79" i="1"/>
  <c r="AJ24" i="1"/>
  <c r="AJ25" i="1" s="1"/>
  <c r="AJ42" i="1" s="1"/>
  <c r="AK4" i="1"/>
  <c r="AG24" i="1"/>
  <c r="AG25" i="1" s="1"/>
  <c r="AG42" i="1" s="1"/>
  <c r="AB24" i="1"/>
  <c r="AB25" i="1" s="1"/>
  <c r="AB42" i="1" s="1"/>
  <c r="Q24" i="1"/>
  <c r="Q25" i="1" s="1"/>
  <c r="Q42" i="1" s="1"/>
  <c r="O24" i="1"/>
  <c r="O25" i="1" s="1"/>
  <c r="O42" i="1" s="1"/>
  <c r="V24" i="1"/>
  <c r="V25" i="1" s="1"/>
  <c r="V42" i="1" s="1"/>
  <c r="R24" i="1"/>
  <c r="R25" i="1" s="1"/>
  <c r="R42" i="1" s="1"/>
  <c r="N24" i="1"/>
  <c r="N25" i="1" s="1"/>
  <c r="N42" i="1" s="1"/>
  <c r="K24" i="1"/>
  <c r="K25" i="1" s="1"/>
  <c r="K42" i="1" s="1"/>
  <c r="Z24" i="1"/>
  <c r="Z25" i="1" s="1"/>
  <c r="AE24" i="1"/>
  <c r="AE25" i="1" s="1"/>
  <c r="F24" i="1"/>
  <c r="F25" i="1" s="1"/>
  <c r="F42" i="1" s="1"/>
  <c r="L24" i="1"/>
  <c r="L25" i="1" s="1"/>
  <c r="L42" i="1" s="1"/>
  <c r="X24" i="1"/>
  <c r="X25" i="1" s="1"/>
  <c r="I24" i="1"/>
  <c r="I25" i="1" s="1"/>
  <c r="I42" i="1" s="1"/>
  <c r="AD24" i="1"/>
  <c r="AD25" i="1" s="1"/>
  <c r="T24" i="1"/>
  <c r="T25" i="1" s="1"/>
  <c r="T42" i="1" s="1"/>
  <c r="U24" i="1"/>
  <c r="U25" i="1" s="1"/>
  <c r="U42" i="1" s="1"/>
  <c r="H24" i="1"/>
  <c r="H25" i="1" s="1"/>
  <c r="H42" i="1" s="1"/>
  <c r="AF24" i="1"/>
  <c r="AF25" i="1" s="1"/>
  <c r="S24" i="1"/>
  <c r="S25" i="1" s="1"/>
  <c r="S42" i="1" s="1"/>
  <c r="AC24" i="1"/>
  <c r="AC25" i="1" s="1"/>
  <c r="W24" i="1"/>
  <c r="W25" i="1" s="1"/>
  <c r="G24" i="1"/>
  <c r="G25" i="1" s="1"/>
  <c r="G42" i="1" s="1"/>
  <c r="E24" i="1"/>
  <c r="E25" i="1" s="1"/>
  <c r="E42" i="1" s="1"/>
  <c r="M24" i="1"/>
  <c r="M25" i="1" s="1"/>
  <c r="M42" i="1" s="1"/>
  <c r="J24" i="1"/>
  <c r="J25" i="1" s="1"/>
  <c r="J42" i="1" s="1"/>
  <c r="P24" i="1"/>
  <c r="P25" i="1" s="1"/>
  <c r="P42" i="1" s="1"/>
  <c r="AA24" i="1"/>
  <c r="AA25" i="1" s="1"/>
  <c r="Y24" i="1"/>
  <c r="Y25" i="1" s="1"/>
  <c r="K144" i="1"/>
  <c r="AQ58" i="1"/>
  <c r="AQ59" i="1"/>
  <c r="AI3" i="1"/>
  <c r="AJ1" i="1"/>
  <c r="L144" i="1"/>
  <c r="M142" i="1"/>
  <c r="M143" i="1" s="1"/>
  <c r="L123" i="1"/>
  <c r="L124" i="1" s="1"/>
  <c r="L126" i="1" s="1"/>
  <c r="W81" i="1"/>
  <c r="W36" i="1" s="1"/>
  <c r="G17" i="5"/>
  <c r="BK78" i="1" l="1"/>
  <c r="BJ79" i="1"/>
  <c r="AK24" i="1"/>
  <c r="AK25" i="1" s="1"/>
  <c r="AK42" i="1" s="1"/>
  <c r="AN25" i="1"/>
  <c r="AZ25" i="1" s="1"/>
  <c r="BL25" i="1" s="1"/>
  <c r="BX25" i="1" s="1"/>
  <c r="CJ25" i="1" s="1"/>
  <c r="CV25" i="1" s="1"/>
  <c r="AL4" i="1"/>
  <c r="AL24" i="1" s="1"/>
  <c r="AS25" i="1"/>
  <c r="BE25" i="1" s="1"/>
  <c r="BQ25" i="1" s="1"/>
  <c r="CC25" i="1" s="1"/>
  <c r="CO25" i="1" s="1"/>
  <c r="AP25" i="1"/>
  <c r="BB25" i="1" s="1"/>
  <c r="BN25" i="1" s="1"/>
  <c r="BZ25" i="1" s="1"/>
  <c r="CL25" i="1" s="1"/>
  <c r="CX25" i="1" s="1"/>
  <c r="AD42" i="1"/>
  <c r="AX25" i="1"/>
  <c r="BJ25" i="1" s="1"/>
  <c r="BV25" i="1" s="1"/>
  <c r="CH25" i="1" s="1"/>
  <c r="Z42" i="1"/>
  <c r="AV25" i="1"/>
  <c r="BH25" i="1" s="1"/>
  <c r="BT25" i="1" s="1"/>
  <c r="CF25" i="1" s="1"/>
  <c r="CR25" i="1" s="1"/>
  <c r="X42" i="1"/>
  <c r="AO25" i="1"/>
  <c r="BA25" i="1" s="1"/>
  <c r="BM25" i="1" s="1"/>
  <c r="BY25" i="1" s="1"/>
  <c r="CK25" i="1" s="1"/>
  <c r="CW25" i="1" s="1"/>
  <c r="AC42" i="1"/>
  <c r="AM25" i="1"/>
  <c r="AY25" i="1" s="1"/>
  <c r="BK25" i="1" s="1"/>
  <c r="BW25" i="1" s="1"/>
  <c r="CI25" i="1" s="1"/>
  <c r="AA42" i="1"/>
  <c r="AF42" i="1"/>
  <c r="AR25" i="1"/>
  <c r="BD25" i="1" s="1"/>
  <c r="BP25" i="1" s="1"/>
  <c r="CB25" i="1" s="1"/>
  <c r="CN25" i="1" s="1"/>
  <c r="CZ25" i="1" s="1"/>
  <c r="Y42" i="1"/>
  <c r="AU25" i="1"/>
  <c r="BG25" i="1" s="1"/>
  <c r="BS25" i="1" s="1"/>
  <c r="CE25" i="1" s="1"/>
  <c r="CQ25" i="1" s="1"/>
  <c r="W42" i="1"/>
  <c r="AQ25" i="1"/>
  <c r="BC25" i="1" s="1"/>
  <c r="BO25" i="1" s="1"/>
  <c r="CA25" i="1" s="1"/>
  <c r="CM25" i="1" s="1"/>
  <c r="CY25" i="1" s="1"/>
  <c r="AE42" i="1"/>
  <c r="AR58" i="1"/>
  <c r="AR59" i="1"/>
  <c r="AK1" i="1"/>
  <c r="AJ3" i="1"/>
  <c r="M123" i="1"/>
  <c r="M124" i="1" s="1"/>
  <c r="M126" i="1" s="1"/>
  <c r="N142" i="1"/>
  <c r="N143" i="1" s="1"/>
  <c r="M144" i="1"/>
  <c r="W87" i="1"/>
  <c r="W131" i="1"/>
  <c r="H17" i="5"/>
  <c r="BK79" i="1" l="1"/>
  <c r="BL78" i="1"/>
  <c r="AW25" i="1"/>
  <c r="BI25" i="1" s="1"/>
  <c r="BU25" i="1" s="1"/>
  <c r="CG25" i="1" s="1"/>
  <c r="DC25" i="1"/>
  <c r="DD25" i="1"/>
  <c r="DA25" i="1"/>
  <c r="AM4" i="1"/>
  <c r="CS25" i="1"/>
  <c r="DE25" i="1" s="1"/>
  <c r="CT25" i="1"/>
  <c r="DF25" i="1" s="1"/>
  <c r="CU25" i="1"/>
  <c r="DG25" i="1" s="1"/>
  <c r="AS58" i="1"/>
  <c r="AS59" i="1"/>
  <c r="AK3" i="1"/>
  <c r="AL1" i="1"/>
  <c r="O142" i="1"/>
  <c r="O143" i="1" s="1"/>
  <c r="O144" i="1" s="1"/>
  <c r="N144" i="1"/>
  <c r="O123" i="1"/>
  <c r="O124" i="1" s="1"/>
  <c r="O126" i="1" s="1"/>
  <c r="N123" i="1"/>
  <c r="N124" i="1" s="1"/>
  <c r="N126" i="1" s="1"/>
  <c r="W38" i="1"/>
  <c r="W40" i="1" s="1"/>
  <c r="W41" i="1"/>
  <c r="W130" i="1"/>
  <c r="W133" i="1" s="1"/>
  <c r="I17" i="5"/>
  <c r="BM78" i="1" l="1"/>
  <c r="BL79" i="1"/>
  <c r="AN4" i="1"/>
  <c r="AT58" i="1"/>
  <c r="AT59" i="1"/>
  <c r="W140" i="1"/>
  <c r="AL3" i="1"/>
  <c r="AM24" i="1"/>
  <c r="AM1" i="1"/>
  <c r="Y132" i="1"/>
  <c r="J17" i="5"/>
  <c r="BM79" i="1" l="1"/>
  <c r="BN78" i="1"/>
  <c r="AN24" i="1"/>
  <c r="AM3" i="1"/>
  <c r="AO4" i="1"/>
  <c r="AU58" i="1"/>
  <c r="AU59" i="1"/>
  <c r="AN1" i="1"/>
  <c r="Z132" i="1"/>
  <c r="K17" i="5"/>
  <c r="BN79" i="1" l="1"/>
  <c r="BO78" i="1"/>
  <c r="AL32" i="1"/>
  <c r="AL33" i="1" s="1"/>
  <c r="AN69" i="1"/>
  <c r="AN74" i="1"/>
  <c r="AN76" i="1"/>
  <c r="AN70" i="1"/>
  <c r="AO70" i="1" s="1"/>
  <c r="AP70" i="1" s="1"/>
  <c r="AQ70" i="1" s="1"/>
  <c r="AR70" i="1" s="1"/>
  <c r="AS70" i="1" s="1"/>
  <c r="AT70" i="1" s="1"/>
  <c r="AU70" i="1" s="1"/>
  <c r="AV70" i="1" s="1"/>
  <c r="AW70" i="1" s="1"/>
  <c r="AX70" i="1" s="1"/>
  <c r="AY70" i="1" s="1"/>
  <c r="AZ70" i="1" s="1"/>
  <c r="BA70" i="1" s="1"/>
  <c r="BB70" i="1" s="1"/>
  <c r="BC70" i="1" s="1"/>
  <c r="BD70" i="1" s="1"/>
  <c r="BE70" i="1" s="1"/>
  <c r="BF70" i="1" s="1"/>
  <c r="BG70" i="1" s="1"/>
  <c r="BH70" i="1" s="1"/>
  <c r="BI70" i="1" s="1"/>
  <c r="BJ70" i="1" s="1"/>
  <c r="BK70" i="1" s="1"/>
  <c r="BL70" i="1" s="1"/>
  <c r="BM70" i="1" s="1"/>
  <c r="BN70" i="1" s="1"/>
  <c r="BO70" i="1" s="1"/>
  <c r="BP70" i="1" s="1"/>
  <c r="BQ70" i="1" s="1"/>
  <c r="BR70" i="1" s="1"/>
  <c r="BS70" i="1" s="1"/>
  <c r="BT70" i="1" s="1"/>
  <c r="BU70" i="1" s="1"/>
  <c r="BV70" i="1" s="1"/>
  <c r="BW70" i="1" s="1"/>
  <c r="BX70" i="1" s="1"/>
  <c r="BY70" i="1" s="1"/>
  <c r="BZ70" i="1" s="1"/>
  <c r="CA70" i="1" s="1"/>
  <c r="CB70" i="1" s="1"/>
  <c r="CC70" i="1" s="1"/>
  <c r="CD70" i="1" s="1"/>
  <c r="CE70" i="1" s="1"/>
  <c r="CF70" i="1" s="1"/>
  <c r="CG70" i="1" s="1"/>
  <c r="CH70" i="1" s="1"/>
  <c r="CI70" i="1" s="1"/>
  <c r="CJ70" i="1" s="1"/>
  <c r="CK70" i="1" s="1"/>
  <c r="CL70" i="1" s="1"/>
  <c r="CM70" i="1" s="1"/>
  <c r="CN70" i="1" s="1"/>
  <c r="CO70" i="1" s="1"/>
  <c r="CP70" i="1" s="1"/>
  <c r="CQ70" i="1" s="1"/>
  <c r="CR70" i="1" s="1"/>
  <c r="CS70" i="1" s="1"/>
  <c r="CT70" i="1" s="1"/>
  <c r="CU70" i="1" s="1"/>
  <c r="CV70" i="1" s="1"/>
  <c r="CW70" i="1" s="1"/>
  <c r="CX70" i="1" s="1"/>
  <c r="CY70" i="1" s="1"/>
  <c r="CZ70" i="1" s="1"/>
  <c r="DA70" i="1" s="1"/>
  <c r="DB70" i="1" s="1"/>
  <c r="DC70" i="1" s="1"/>
  <c r="DD70" i="1" s="1"/>
  <c r="DE70" i="1" s="1"/>
  <c r="DF70" i="1" s="1"/>
  <c r="DG70" i="1" s="1"/>
  <c r="AN64" i="1"/>
  <c r="AN65" i="1" s="1"/>
  <c r="AO24" i="1"/>
  <c r="AP4" i="1"/>
  <c r="AV58" i="1"/>
  <c r="AV59" i="1"/>
  <c r="AN3" i="1"/>
  <c r="AO1" i="1"/>
  <c r="BO79" i="1" l="1"/>
  <c r="BP78" i="1"/>
  <c r="AL16" i="1"/>
  <c r="AL14" i="1" s="1"/>
  <c r="AL18" i="1" s="1"/>
  <c r="AL12" i="1" s="1"/>
  <c r="AO76" i="1"/>
  <c r="AO69" i="1"/>
  <c r="AO74" i="1"/>
  <c r="AO64" i="1"/>
  <c r="AP24" i="1"/>
  <c r="AO3" i="1"/>
  <c r="AQ4" i="1"/>
  <c r="AW58" i="1"/>
  <c r="AW59" i="1"/>
  <c r="AP1" i="1"/>
  <c r="AM103" i="1"/>
  <c r="BP79" i="1" l="1"/>
  <c r="BQ78" i="1"/>
  <c r="AL11" i="1"/>
  <c r="AL20" i="1"/>
  <c r="AL13" i="1" s="1"/>
  <c r="AP64" i="1"/>
  <c r="AO65" i="1"/>
  <c r="AP74" i="1"/>
  <c r="AP69" i="1"/>
  <c r="AP76" i="1"/>
  <c r="AQ24" i="1"/>
  <c r="AR4" i="1"/>
  <c r="AM109" i="1"/>
  <c r="AX58" i="1"/>
  <c r="AX59" i="1"/>
  <c r="AP3" i="1"/>
  <c r="AQ1" i="1"/>
  <c r="AN103" i="1"/>
  <c r="BR78" i="1" l="1"/>
  <c r="BQ79" i="1"/>
  <c r="AL26" i="1"/>
  <c r="AL17" i="1"/>
  <c r="AL27" i="1" s="1"/>
  <c r="AQ76" i="1"/>
  <c r="AQ69" i="1"/>
  <c r="AQ74" i="1"/>
  <c r="AQ64" i="1"/>
  <c r="AP65" i="1"/>
  <c r="AR24" i="1"/>
  <c r="AQ3" i="1"/>
  <c r="AS4" i="1"/>
  <c r="AS24" i="1" s="1"/>
  <c r="AN109" i="1"/>
  <c r="AY58" i="1"/>
  <c r="AY59" i="1"/>
  <c r="AR1" i="1"/>
  <c r="AO103" i="1"/>
  <c r="AI136" i="1"/>
  <c r="BS78" i="1" l="1"/>
  <c r="BR79" i="1"/>
  <c r="AL30" i="1"/>
  <c r="AL7" i="1"/>
  <c r="AR76" i="1"/>
  <c r="AR74" i="1"/>
  <c r="AR69" i="1"/>
  <c r="AR64" i="1"/>
  <c r="AQ65" i="1"/>
  <c r="AT4" i="1"/>
  <c r="AU4" i="1" s="1"/>
  <c r="AV4" i="1" s="1"/>
  <c r="AW4" i="1" s="1"/>
  <c r="AX4" i="1" s="1"/>
  <c r="AY4" i="1" s="1"/>
  <c r="AZ4" i="1" s="1"/>
  <c r="BA4" i="1" s="1"/>
  <c r="BB4" i="1" s="1"/>
  <c r="BC4" i="1" s="1"/>
  <c r="BD4" i="1" s="1"/>
  <c r="BE4" i="1" s="1"/>
  <c r="BF4" i="1" s="1"/>
  <c r="BG4" i="1" s="1"/>
  <c r="BH4" i="1" s="1"/>
  <c r="BI4" i="1" s="1"/>
  <c r="BJ4" i="1" s="1"/>
  <c r="BK4" i="1" s="1"/>
  <c r="BL4" i="1" s="1"/>
  <c r="BM4" i="1" s="1"/>
  <c r="BN4" i="1" s="1"/>
  <c r="BO4" i="1" s="1"/>
  <c r="BP4" i="1" s="1"/>
  <c r="BQ4" i="1" s="1"/>
  <c r="BR4" i="1" s="1"/>
  <c r="BS4" i="1" s="1"/>
  <c r="BT4" i="1" s="1"/>
  <c r="BU4" i="1" s="1"/>
  <c r="BV4" i="1" s="1"/>
  <c r="BW4" i="1" s="1"/>
  <c r="BX4" i="1" s="1"/>
  <c r="BY4" i="1" s="1"/>
  <c r="BZ4" i="1" s="1"/>
  <c r="CA4" i="1" s="1"/>
  <c r="CB4" i="1" s="1"/>
  <c r="CC4" i="1" s="1"/>
  <c r="CD4" i="1" s="1"/>
  <c r="CE4" i="1" s="1"/>
  <c r="CF4" i="1" s="1"/>
  <c r="CG4" i="1" s="1"/>
  <c r="CH4" i="1" s="1"/>
  <c r="CI4" i="1" s="1"/>
  <c r="CJ4" i="1" s="1"/>
  <c r="CK4" i="1" s="1"/>
  <c r="CL4" i="1" s="1"/>
  <c r="CM4" i="1" s="1"/>
  <c r="CN4" i="1" s="1"/>
  <c r="CO4" i="1" s="1"/>
  <c r="CP4" i="1" s="1"/>
  <c r="CQ4" i="1" s="1"/>
  <c r="CR4" i="1" s="1"/>
  <c r="CS4" i="1" s="1"/>
  <c r="CT4" i="1" s="1"/>
  <c r="CU4" i="1" s="1"/>
  <c r="CV4" i="1" s="1"/>
  <c r="CW4" i="1" s="1"/>
  <c r="CX4" i="1" s="1"/>
  <c r="CY4" i="1" s="1"/>
  <c r="CZ4" i="1" s="1"/>
  <c r="DA4" i="1" s="1"/>
  <c r="DB4" i="1" s="1"/>
  <c r="DC4" i="1" s="1"/>
  <c r="DD4" i="1" s="1"/>
  <c r="DE4" i="1" s="1"/>
  <c r="DF4" i="1" s="1"/>
  <c r="DG4" i="1" s="1"/>
  <c r="O53" i="27" s="1"/>
  <c r="AO109" i="1"/>
  <c r="AZ58" i="1"/>
  <c r="AZ59" i="1"/>
  <c r="AS1" i="1"/>
  <c r="AR3" i="1"/>
  <c r="AP103" i="1"/>
  <c r="AJ136" i="1"/>
  <c r="BT78" i="1" l="1"/>
  <c r="BS79" i="1"/>
  <c r="AL99" i="1"/>
  <c r="AL100" i="1" s="1"/>
  <c r="AL9" i="1"/>
  <c r="AL54" i="1"/>
  <c r="AL55" i="1"/>
  <c r="AS76" i="1"/>
  <c r="AS64" i="1"/>
  <c r="AR65" i="1"/>
  <c r="AS69" i="1"/>
  <c r="O47" i="27"/>
  <c r="Q47" i="27" s="1"/>
  <c r="O42" i="27"/>
  <c r="O51" i="27"/>
  <c r="Q51" i="27" s="1"/>
  <c r="O21" i="27"/>
  <c r="Q21" i="27" s="1"/>
  <c r="O43" i="27"/>
  <c r="Q43" i="27" s="1"/>
  <c r="N34" i="24"/>
  <c r="O49" i="27"/>
  <c r="Q49" i="27" s="1"/>
  <c r="L34" i="24"/>
  <c r="O25" i="27"/>
  <c r="Q25" i="27" s="1"/>
  <c r="O57" i="27"/>
  <c r="Q57" i="27" s="1"/>
  <c r="O16" i="27"/>
  <c r="O46" i="27"/>
  <c r="Q46" i="27" s="1"/>
  <c r="O17" i="27"/>
  <c r="Q17" i="27" s="1"/>
  <c r="O20" i="27"/>
  <c r="Q20" i="27" s="1"/>
  <c r="O45" i="27"/>
  <c r="Q45" i="27" s="1"/>
  <c r="J34" i="24"/>
  <c r="O28" i="27"/>
  <c r="Q28" i="27" s="1"/>
  <c r="O52" i="27"/>
  <c r="Q52" i="27" s="1"/>
  <c r="O23" i="27"/>
  <c r="Q23" i="27" s="1"/>
  <c r="O24" i="27"/>
  <c r="Q24" i="27" s="1"/>
  <c r="O27" i="27"/>
  <c r="Q27" i="27" s="1"/>
  <c r="K34" i="24"/>
  <c r="D34" i="24"/>
  <c r="H34" i="24"/>
  <c r="O22" i="27"/>
  <c r="Q22" i="27" s="1"/>
  <c r="O26" i="27"/>
  <c r="Q26" i="27" s="1"/>
  <c r="O19" i="27"/>
  <c r="Q19" i="27" s="1"/>
  <c r="C35" i="24"/>
  <c r="C36" i="24" s="1"/>
  <c r="O34" i="27"/>
  <c r="O29" i="27"/>
  <c r="Q29" i="27" s="1"/>
  <c r="M34" i="24"/>
  <c r="O35" i="27"/>
  <c r="Q35" i="27" s="1"/>
  <c r="G34" i="24"/>
  <c r="O44" i="27"/>
  <c r="Q44" i="27" s="1"/>
  <c r="I34" i="24"/>
  <c r="E34" i="24"/>
  <c r="O18" i="27"/>
  <c r="Q18" i="27" s="1"/>
  <c r="C34" i="24"/>
  <c r="O48" i="27"/>
  <c r="Q48" i="27" s="1"/>
  <c r="O50" i="27"/>
  <c r="Q50" i="27" s="1"/>
  <c r="O31" i="27"/>
  <c r="Q31" i="27" s="1"/>
  <c r="F34" i="24"/>
  <c r="AS74" i="1"/>
  <c r="F41" i="24"/>
  <c r="AT24" i="1"/>
  <c r="C29" i="24"/>
  <c r="F29" i="24"/>
  <c r="G21" i="24"/>
  <c r="D21" i="24"/>
  <c r="M41" i="24"/>
  <c r="D35" i="24"/>
  <c r="D36" i="24" s="1"/>
  <c r="F35" i="24"/>
  <c r="F36" i="24" s="1"/>
  <c r="H21" i="24"/>
  <c r="F20" i="24"/>
  <c r="G29" i="24"/>
  <c r="F48" i="24"/>
  <c r="J41" i="24"/>
  <c r="E35" i="24"/>
  <c r="E36" i="24" s="1"/>
  <c r="L41" i="24"/>
  <c r="C20" i="24"/>
  <c r="D29" i="24"/>
  <c r="E21" i="24"/>
  <c r="C48" i="24"/>
  <c r="E29" i="24"/>
  <c r="F21" i="24"/>
  <c r="H41" i="24"/>
  <c r="D28" i="24"/>
  <c r="D20" i="24"/>
  <c r="E48" i="24"/>
  <c r="G20" i="24"/>
  <c r="I41" i="24"/>
  <c r="D41" i="24"/>
  <c r="AS3" i="1"/>
  <c r="G41" i="24"/>
  <c r="K41" i="24"/>
  <c r="C41" i="24"/>
  <c r="E28" i="24"/>
  <c r="G28" i="24"/>
  <c r="N41" i="24"/>
  <c r="C21" i="24"/>
  <c r="F28" i="24"/>
  <c r="G35" i="24"/>
  <c r="G36" i="24" s="1"/>
  <c r="D48" i="24"/>
  <c r="E20" i="24"/>
  <c r="C28" i="24"/>
  <c r="E41" i="24"/>
  <c r="AP109" i="1"/>
  <c r="BA58" i="1"/>
  <c r="BA59" i="1"/>
  <c r="AT1" i="1"/>
  <c r="AQ103" i="1"/>
  <c r="AK136" i="1"/>
  <c r="BT79" i="1" l="1"/>
  <c r="BU78" i="1"/>
  <c r="AT74" i="1"/>
  <c r="AT76" i="1"/>
  <c r="AL34" i="1"/>
  <c r="AT69" i="1"/>
  <c r="O54" i="27"/>
  <c r="Q54" i="27" s="1"/>
  <c r="Q16" i="27"/>
  <c r="Q42" i="27"/>
  <c r="P34" i="24"/>
  <c r="Q34" i="27"/>
  <c r="O37" i="27"/>
  <c r="Q37" i="27" s="1"/>
  <c r="AT64" i="1"/>
  <c r="AS65" i="1"/>
  <c r="D22" i="24"/>
  <c r="C22" i="24"/>
  <c r="G30" i="24"/>
  <c r="E30" i="24"/>
  <c r="C30" i="24"/>
  <c r="F30" i="24"/>
  <c r="P41" i="24"/>
  <c r="D30" i="24"/>
  <c r="F22" i="24"/>
  <c r="E22" i="24"/>
  <c r="AQ109" i="1"/>
  <c r="BB58" i="1"/>
  <c r="BB59" i="1"/>
  <c r="AV24" i="1"/>
  <c r="AU1" i="1"/>
  <c r="AT3" i="1"/>
  <c r="AU24" i="1"/>
  <c r="AR103" i="1"/>
  <c r="AL136" i="1"/>
  <c r="AG132" i="1"/>
  <c r="BU79" i="1" l="1"/>
  <c r="BV78" i="1"/>
  <c r="AU76" i="1"/>
  <c r="AL35" i="1"/>
  <c r="AL37" i="1"/>
  <c r="O38" i="27"/>
  <c r="Q38" i="27" s="1"/>
  <c r="AU69" i="1"/>
  <c r="O39" i="27"/>
  <c r="Q39" i="27" s="1"/>
  <c r="AU64" i="1"/>
  <c r="AT65" i="1"/>
  <c r="AU74" i="1"/>
  <c r="D32" i="24"/>
  <c r="D33" i="24" s="1"/>
  <c r="C32" i="24"/>
  <c r="C38" i="24" s="1"/>
  <c r="E32" i="24"/>
  <c r="E38" i="24" s="1"/>
  <c r="F32" i="24"/>
  <c r="F38" i="24" s="1"/>
  <c r="AR109" i="1"/>
  <c r="BC58" i="1"/>
  <c r="BC59" i="1"/>
  <c r="AS103" i="1"/>
  <c r="AU3" i="1"/>
  <c r="AW24" i="1"/>
  <c r="AV1" i="1"/>
  <c r="AM119" i="1"/>
  <c r="AM136" i="1" s="1"/>
  <c r="AH132" i="1"/>
  <c r="O55" i="27" l="1"/>
  <c r="Q55" i="27" s="1"/>
  <c r="BV79" i="1"/>
  <c r="BW78" i="1"/>
  <c r="AV76" i="1"/>
  <c r="AV74" i="1"/>
  <c r="AV64" i="1"/>
  <c r="AU65" i="1"/>
  <c r="AV69" i="1"/>
  <c r="D38" i="24"/>
  <c r="D42" i="24" s="1"/>
  <c r="D43" i="24" s="1"/>
  <c r="C33" i="24"/>
  <c r="E33" i="24"/>
  <c r="F33" i="24"/>
  <c r="F42" i="24"/>
  <c r="F43" i="24" s="1"/>
  <c r="F39" i="24"/>
  <c r="E39" i="24"/>
  <c r="E42" i="24"/>
  <c r="E43" i="24" s="1"/>
  <c r="C39" i="24"/>
  <c r="C42" i="24"/>
  <c r="C43" i="24" s="1"/>
  <c r="AS109" i="1"/>
  <c r="BD58" i="1"/>
  <c r="BD59" i="1"/>
  <c r="AT103" i="1"/>
  <c r="AV3" i="1"/>
  <c r="AX24" i="1"/>
  <c r="AW1" i="1"/>
  <c r="AW76" i="1" s="1"/>
  <c r="AN119" i="1"/>
  <c r="AN136" i="1" s="1"/>
  <c r="AI132" i="1"/>
  <c r="O61" i="27" l="1"/>
  <c r="Q61" i="27" s="1"/>
  <c r="O56" i="27"/>
  <c r="Q56" i="27" s="1"/>
  <c r="BW79" i="1"/>
  <c r="BX78" i="1"/>
  <c r="AW69" i="1"/>
  <c r="AW64" i="1"/>
  <c r="AV65" i="1"/>
  <c r="AW74" i="1"/>
  <c r="AW3" i="1"/>
  <c r="D39" i="24"/>
  <c r="AT109" i="1"/>
  <c r="BE58" i="1"/>
  <c r="BE59" i="1"/>
  <c r="AU103" i="1"/>
  <c r="AY24" i="1"/>
  <c r="AX1" i="1"/>
  <c r="AX76" i="1" s="1"/>
  <c r="AO119" i="1"/>
  <c r="AO136" i="1" s="1"/>
  <c r="AJ132" i="1"/>
  <c r="I21" i="24"/>
  <c r="BY78" i="1" l="1"/>
  <c r="BX79" i="1"/>
  <c r="AX74" i="1"/>
  <c r="AX69" i="1"/>
  <c r="AX64" i="1"/>
  <c r="AW65" i="1"/>
  <c r="AU109" i="1"/>
  <c r="BF58" i="1"/>
  <c r="BF59" i="1"/>
  <c r="AV103" i="1"/>
  <c r="AX3" i="1"/>
  <c r="AZ24" i="1"/>
  <c r="AY1" i="1"/>
  <c r="AY3" i="1" s="1"/>
  <c r="AP119" i="1"/>
  <c r="AP136" i="1" s="1"/>
  <c r="AK132" i="1"/>
  <c r="J21" i="24"/>
  <c r="BZ78" i="1" l="1"/>
  <c r="BY79" i="1"/>
  <c r="AY64" i="1"/>
  <c r="AX65" i="1"/>
  <c r="AY69" i="1"/>
  <c r="AY74" i="1"/>
  <c r="AY76" i="1"/>
  <c r="AV109" i="1"/>
  <c r="BG58" i="1"/>
  <c r="BG59" i="1"/>
  <c r="AW103" i="1"/>
  <c r="BA24" i="1"/>
  <c r="AZ1" i="1"/>
  <c r="AQ119" i="1"/>
  <c r="AQ136" i="1" s="1"/>
  <c r="AM116" i="1"/>
  <c r="AL132" i="1"/>
  <c r="K21" i="24"/>
  <c r="CA78" i="1" l="1"/>
  <c r="BZ79" i="1"/>
  <c r="AZ76" i="1"/>
  <c r="AZ69" i="1"/>
  <c r="AZ74" i="1"/>
  <c r="AZ64" i="1"/>
  <c r="AY65" i="1"/>
  <c r="AW109" i="1"/>
  <c r="BH58" i="1"/>
  <c r="BH59" i="1"/>
  <c r="AX103" i="1"/>
  <c r="AZ3" i="1"/>
  <c r="BB24" i="1"/>
  <c r="BA1" i="1"/>
  <c r="BA3" i="1" s="1"/>
  <c r="AR119" i="1"/>
  <c r="AR136" i="1" s="1"/>
  <c r="AM117" i="1"/>
  <c r="AM132" i="1" s="1"/>
  <c r="AN116" i="1"/>
  <c r="L21" i="24"/>
  <c r="CB78" i="1" l="1"/>
  <c r="CA79" i="1"/>
  <c r="BA64" i="1"/>
  <c r="AZ65" i="1"/>
  <c r="BA74" i="1"/>
  <c r="BA69" i="1"/>
  <c r="BA76" i="1"/>
  <c r="BB76" i="1" s="1"/>
  <c r="AX109" i="1"/>
  <c r="BI58" i="1"/>
  <c r="BI59" i="1"/>
  <c r="AY103" i="1"/>
  <c r="BC24" i="1"/>
  <c r="BB1" i="1"/>
  <c r="AS119" i="1"/>
  <c r="AS136" i="1" s="1"/>
  <c r="AO116" i="1"/>
  <c r="AN117" i="1"/>
  <c r="AN132" i="1" s="1"/>
  <c r="AM101" i="1"/>
  <c r="M21" i="24"/>
  <c r="CC78" i="1" l="1"/>
  <c r="CB79" i="1"/>
  <c r="BB69" i="1"/>
  <c r="BB74" i="1"/>
  <c r="BB64" i="1"/>
  <c r="BA65" i="1"/>
  <c r="AY109" i="1"/>
  <c r="BJ58" i="1"/>
  <c r="BJ59" i="1"/>
  <c r="AZ103" i="1"/>
  <c r="BB3" i="1"/>
  <c r="BD24" i="1"/>
  <c r="BC1" i="1"/>
  <c r="BC3" i="1" s="1"/>
  <c r="AT119" i="1"/>
  <c r="AT136" i="1" s="1"/>
  <c r="AP116" i="1"/>
  <c r="AO117" i="1"/>
  <c r="AO132" i="1" s="1"/>
  <c r="AN101" i="1"/>
  <c r="AM8" i="1"/>
  <c r="N21" i="24" s="1"/>
  <c r="P21" i="24" s="1"/>
  <c r="CC79" i="1" l="1"/>
  <c r="CD78" i="1"/>
  <c r="BC64" i="1"/>
  <c r="BB65" i="1"/>
  <c r="BC74" i="1"/>
  <c r="BC69" i="1"/>
  <c r="BC76" i="1"/>
  <c r="AZ109" i="1"/>
  <c r="BK58" i="1"/>
  <c r="BK59" i="1"/>
  <c r="BA103" i="1"/>
  <c r="BE24" i="1"/>
  <c r="BD1" i="1"/>
  <c r="BD3" i="1" s="1"/>
  <c r="AU119" i="1"/>
  <c r="AU136" i="1" s="1"/>
  <c r="AP117" i="1"/>
  <c r="AP132" i="1" s="1"/>
  <c r="AQ116" i="1"/>
  <c r="AM68" i="1"/>
  <c r="AO101" i="1"/>
  <c r="AN8" i="1"/>
  <c r="CD79" i="1" l="1"/>
  <c r="CE78" i="1"/>
  <c r="BD76" i="1"/>
  <c r="BD69" i="1"/>
  <c r="BD74" i="1"/>
  <c r="BD64" i="1"/>
  <c r="BC65" i="1"/>
  <c r="AN68" i="1"/>
  <c r="AM80" i="1"/>
  <c r="BA109" i="1"/>
  <c r="BL58" i="1"/>
  <c r="BL59" i="1"/>
  <c r="BB103" i="1"/>
  <c r="BF24" i="1"/>
  <c r="BE1" i="1"/>
  <c r="BE76" i="1" s="1"/>
  <c r="AV119" i="1"/>
  <c r="AV136" i="1" s="1"/>
  <c r="AR116" i="1"/>
  <c r="AQ117" i="1"/>
  <c r="AQ132" i="1" s="1"/>
  <c r="AP101" i="1"/>
  <c r="AM84" i="1"/>
  <c r="AO8" i="1"/>
  <c r="CF78" i="1" l="1"/>
  <c r="CE79" i="1"/>
  <c r="AN80" i="1"/>
  <c r="BE64" i="1"/>
  <c r="BD65" i="1"/>
  <c r="BE74" i="1"/>
  <c r="BE69" i="1"/>
  <c r="BE3" i="1"/>
  <c r="BB109" i="1"/>
  <c r="BM58" i="1"/>
  <c r="BM59" i="1"/>
  <c r="BC103" i="1"/>
  <c r="BG24" i="1"/>
  <c r="BF1" i="1"/>
  <c r="BF76" i="1" s="1"/>
  <c r="AW119" i="1"/>
  <c r="AW136" i="1" s="1"/>
  <c r="AR117" i="1"/>
  <c r="AR132" i="1" s="1"/>
  <c r="AS116" i="1"/>
  <c r="AO68" i="1"/>
  <c r="AQ101" i="1"/>
  <c r="AP8" i="1"/>
  <c r="AN84" i="1"/>
  <c r="AM85" i="1"/>
  <c r="AM86" i="1" s="1"/>
  <c r="CG78" i="1" l="1"/>
  <c r="CF79" i="1"/>
  <c r="AO80" i="1"/>
  <c r="BF69" i="1"/>
  <c r="BF74" i="1"/>
  <c r="BF64" i="1"/>
  <c r="BE65" i="1"/>
  <c r="BC109" i="1"/>
  <c r="BN58" i="1"/>
  <c r="BN59" i="1"/>
  <c r="BD103" i="1"/>
  <c r="BF3" i="1"/>
  <c r="BG1" i="1"/>
  <c r="BG3" i="1" s="1"/>
  <c r="AX119" i="1"/>
  <c r="AX136" i="1" s="1"/>
  <c r="AS117" i="1"/>
  <c r="AS132" i="1" s="1"/>
  <c r="AT116" i="1"/>
  <c r="AP68" i="1"/>
  <c r="AR101" i="1"/>
  <c r="AO84" i="1"/>
  <c r="AN85" i="1"/>
  <c r="AN86" i="1" s="1"/>
  <c r="AQ8" i="1"/>
  <c r="CH78" i="1" l="1"/>
  <c r="CG79" i="1"/>
  <c r="AP80" i="1"/>
  <c r="BG69" i="1"/>
  <c r="BG76" i="1"/>
  <c r="BG64" i="1"/>
  <c r="BF65" i="1"/>
  <c r="BG74" i="1"/>
  <c r="BD109" i="1"/>
  <c r="BO58" i="1"/>
  <c r="BO59" i="1"/>
  <c r="BE103" i="1"/>
  <c r="BF103" i="1" s="1"/>
  <c r="BI24" i="1"/>
  <c r="BH1" i="1"/>
  <c r="BH24" i="1"/>
  <c r="AY119" i="1"/>
  <c r="AY136" i="1" s="1"/>
  <c r="AT117" i="1"/>
  <c r="AT132" i="1" s="1"/>
  <c r="AU116" i="1"/>
  <c r="AQ68" i="1"/>
  <c r="AS101" i="1"/>
  <c r="AR8" i="1"/>
  <c r="AP84" i="1"/>
  <c r="AO85" i="1"/>
  <c r="AO86" i="1" s="1"/>
  <c r="CI78" i="1" l="1"/>
  <c r="CH79" i="1"/>
  <c r="AQ80" i="1"/>
  <c r="BH74" i="1"/>
  <c r="BH64" i="1"/>
  <c r="BG65" i="1"/>
  <c r="BH76" i="1"/>
  <c r="BH69" i="1"/>
  <c r="BF109" i="1"/>
  <c r="BE109" i="1"/>
  <c r="BP58" i="1"/>
  <c r="BP59" i="1"/>
  <c r="BH3" i="1"/>
  <c r="BI1" i="1"/>
  <c r="BI3" i="1" s="1"/>
  <c r="BG103" i="1"/>
  <c r="AZ119" i="1"/>
  <c r="AZ136" i="1" s="1"/>
  <c r="AU117" i="1"/>
  <c r="AU132" i="1" s="1"/>
  <c r="AV116" i="1"/>
  <c r="AR68" i="1"/>
  <c r="AT101" i="1"/>
  <c r="AQ84" i="1"/>
  <c r="AP85" i="1"/>
  <c r="AP86" i="1" s="1"/>
  <c r="AS8" i="1"/>
  <c r="CI79" i="1" l="1"/>
  <c r="CJ78" i="1"/>
  <c r="AR80" i="1"/>
  <c r="BI69" i="1"/>
  <c r="BI64" i="1"/>
  <c r="BH65" i="1"/>
  <c r="BI76" i="1"/>
  <c r="BI74" i="1"/>
  <c r="BG109" i="1"/>
  <c r="BQ58" i="1"/>
  <c r="BQ59" i="1"/>
  <c r="BK24" i="1"/>
  <c r="BJ1" i="1"/>
  <c r="BJ3" i="1" s="1"/>
  <c r="BJ24" i="1"/>
  <c r="BH103" i="1"/>
  <c r="BA119" i="1"/>
  <c r="BA136" i="1" s="1"/>
  <c r="AV117" i="1"/>
  <c r="AV132" i="1" s="1"/>
  <c r="AW116" i="1"/>
  <c r="AS68" i="1"/>
  <c r="AU101" i="1"/>
  <c r="AT8" i="1"/>
  <c r="AR84" i="1"/>
  <c r="AQ85" i="1"/>
  <c r="AQ86" i="1" s="1"/>
  <c r="CJ79" i="1" l="1"/>
  <c r="CK78" i="1"/>
  <c r="AS80" i="1"/>
  <c r="BJ69" i="1"/>
  <c r="BJ74" i="1"/>
  <c r="BJ76" i="1"/>
  <c r="BJ64" i="1"/>
  <c r="BI65" i="1"/>
  <c r="BH109" i="1"/>
  <c r="BR58" i="1"/>
  <c r="BR59" i="1"/>
  <c r="BL24" i="1"/>
  <c r="BK1" i="1"/>
  <c r="BK3" i="1" s="1"/>
  <c r="BI103" i="1"/>
  <c r="BB119" i="1"/>
  <c r="BB136" i="1" s="1"/>
  <c r="AW117" i="1"/>
  <c r="AW132" i="1" s="1"/>
  <c r="AX116" i="1"/>
  <c r="AT68" i="1"/>
  <c r="AV101" i="1"/>
  <c r="AS84" i="1"/>
  <c r="AR85" i="1"/>
  <c r="AR86" i="1" s="1"/>
  <c r="AU8" i="1"/>
  <c r="CK79" i="1" l="1"/>
  <c r="CL78" i="1"/>
  <c r="AT80" i="1"/>
  <c r="BK64" i="1"/>
  <c r="BJ65" i="1"/>
  <c r="BK76" i="1"/>
  <c r="BK74" i="1"/>
  <c r="BK69" i="1"/>
  <c r="BI109" i="1"/>
  <c r="BS59" i="1"/>
  <c r="BS58" i="1"/>
  <c r="BL1" i="1"/>
  <c r="BJ103" i="1"/>
  <c r="BC119" i="1"/>
  <c r="BC136" i="1" s="1"/>
  <c r="AY116" i="1"/>
  <c r="AX117" i="1"/>
  <c r="AX132" i="1" s="1"/>
  <c r="AU68" i="1"/>
  <c r="AW101" i="1"/>
  <c r="AT84" i="1"/>
  <c r="AS85" i="1"/>
  <c r="AS86" i="1" s="1"/>
  <c r="AV8" i="1"/>
  <c r="CM78" i="1" l="1"/>
  <c r="CL79" i="1"/>
  <c r="BL74" i="1"/>
  <c r="AU80" i="1"/>
  <c r="BL76" i="1"/>
  <c r="BL69" i="1"/>
  <c r="BL64" i="1"/>
  <c r="BK65" i="1"/>
  <c r="BL3" i="1"/>
  <c r="BJ109" i="1"/>
  <c r="BT58" i="1"/>
  <c r="BT59" i="1"/>
  <c r="BN24" i="1"/>
  <c r="BM1" i="1"/>
  <c r="BM3" i="1" s="1"/>
  <c r="BM24" i="1"/>
  <c r="BK103" i="1"/>
  <c r="BD119" i="1"/>
  <c r="BD136" i="1" s="1"/>
  <c r="AZ116" i="1"/>
  <c r="AY117" i="1"/>
  <c r="AY132" i="1" s="1"/>
  <c r="AV68" i="1"/>
  <c r="AX101" i="1"/>
  <c r="AW8" i="1"/>
  <c r="AU84" i="1"/>
  <c r="AT85" i="1"/>
  <c r="AT86" i="1" s="1"/>
  <c r="CN78" i="1" l="1"/>
  <c r="CM79" i="1"/>
  <c r="AV80" i="1"/>
  <c r="BM64" i="1"/>
  <c r="BL65" i="1"/>
  <c r="BM76" i="1"/>
  <c r="BM74" i="1"/>
  <c r="BM69" i="1"/>
  <c r="BK109" i="1"/>
  <c r="BU59" i="1"/>
  <c r="BU58" i="1"/>
  <c r="BO24" i="1"/>
  <c r="BN1" i="1"/>
  <c r="BN3" i="1" s="1"/>
  <c r="BL103" i="1"/>
  <c r="BE119" i="1"/>
  <c r="BE136" i="1" s="1"/>
  <c r="AZ117" i="1"/>
  <c r="AZ132" i="1" s="1"/>
  <c r="BA116" i="1"/>
  <c r="AW68" i="1"/>
  <c r="AY101" i="1"/>
  <c r="AX8" i="1"/>
  <c r="AV84" i="1"/>
  <c r="AU85" i="1"/>
  <c r="AU86" i="1" s="1"/>
  <c r="CO78" i="1" l="1"/>
  <c r="CN79" i="1"/>
  <c r="AW80" i="1"/>
  <c r="BN74" i="1"/>
  <c r="BN69" i="1"/>
  <c r="BN76" i="1"/>
  <c r="BN64" i="1"/>
  <c r="BM65" i="1"/>
  <c r="BL109" i="1"/>
  <c r="BV58" i="1"/>
  <c r="BV59" i="1"/>
  <c r="BP24" i="1"/>
  <c r="BO1" i="1"/>
  <c r="BO3" i="1" s="1"/>
  <c r="BM103" i="1"/>
  <c r="BF119" i="1"/>
  <c r="BF136" i="1" s="1"/>
  <c r="BA117" i="1"/>
  <c r="BA132" i="1" s="1"/>
  <c r="BB116" i="1"/>
  <c r="AX68" i="1"/>
  <c r="AZ101" i="1"/>
  <c r="AW84" i="1"/>
  <c r="AV85" i="1"/>
  <c r="AV86" i="1" s="1"/>
  <c r="AY8" i="1"/>
  <c r="CP78" i="1" l="1"/>
  <c r="CO79" i="1"/>
  <c r="AX80" i="1"/>
  <c r="BO76" i="1"/>
  <c r="BO74" i="1"/>
  <c r="BO64" i="1"/>
  <c r="BN65" i="1"/>
  <c r="BO69" i="1"/>
  <c r="BM109" i="1"/>
  <c r="BW59" i="1"/>
  <c r="BW58" i="1"/>
  <c r="BQ24" i="1"/>
  <c r="BP1" i="1"/>
  <c r="BP3" i="1" s="1"/>
  <c r="BN103" i="1"/>
  <c r="BG119" i="1"/>
  <c r="BG136" i="1" s="1"/>
  <c r="BC116" i="1"/>
  <c r="BB117" i="1"/>
  <c r="BB132" i="1" s="1"/>
  <c r="AY68" i="1"/>
  <c r="BA101" i="1"/>
  <c r="AZ8" i="1"/>
  <c r="AX84" i="1"/>
  <c r="AW85" i="1"/>
  <c r="AW86" i="1" s="1"/>
  <c r="CQ78" i="1" l="1"/>
  <c r="CP79" i="1"/>
  <c r="AY80" i="1"/>
  <c r="BP69" i="1"/>
  <c r="BP64" i="1"/>
  <c r="BO65" i="1"/>
  <c r="BP74" i="1"/>
  <c r="BQ74" i="1" s="1"/>
  <c r="BP76" i="1"/>
  <c r="BQ76" i="1" s="1"/>
  <c r="BN109" i="1"/>
  <c r="BX58" i="1"/>
  <c r="BX59" i="1"/>
  <c r="BR24" i="1"/>
  <c r="BQ1" i="1"/>
  <c r="BQ3" i="1" s="1"/>
  <c r="BO103" i="1"/>
  <c r="BH119" i="1"/>
  <c r="BH136" i="1" s="1"/>
  <c r="BD116" i="1"/>
  <c r="BC117" i="1"/>
  <c r="BC132" i="1" s="1"/>
  <c r="AZ68" i="1"/>
  <c r="BB101" i="1"/>
  <c r="AY84" i="1"/>
  <c r="AX85" i="1"/>
  <c r="AX86" i="1" s="1"/>
  <c r="BA8" i="1"/>
  <c r="CQ79" i="1" l="1"/>
  <c r="CR78" i="1"/>
  <c r="AZ80" i="1"/>
  <c r="BQ64" i="1"/>
  <c r="BP65" i="1"/>
  <c r="BQ69" i="1"/>
  <c r="BO109" i="1"/>
  <c r="BY59" i="1"/>
  <c r="BY58" i="1"/>
  <c r="BS24" i="1"/>
  <c r="BR1" i="1"/>
  <c r="BR76" i="1" s="1"/>
  <c r="BP103" i="1"/>
  <c r="BI119" i="1"/>
  <c r="BI136" i="1" s="1"/>
  <c r="BD117" i="1"/>
  <c r="BD132" i="1" s="1"/>
  <c r="BE116" i="1"/>
  <c r="BA68" i="1"/>
  <c r="BC101" i="1"/>
  <c r="BB8" i="1"/>
  <c r="AZ84" i="1"/>
  <c r="AY85" i="1"/>
  <c r="AY86" i="1" s="1"/>
  <c r="CR79" i="1" l="1"/>
  <c r="CS78" i="1"/>
  <c r="BA80" i="1"/>
  <c r="BR74" i="1"/>
  <c r="BR69" i="1"/>
  <c r="BR64" i="1"/>
  <c r="BQ65" i="1"/>
  <c r="BP109" i="1"/>
  <c r="BZ58" i="1"/>
  <c r="BZ59" i="1"/>
  <c r="BT24" i="1"/>
  <c r="BS1" i="1"/>
  <c r="BS3" i="1" s="1"/>
  <c r="BR3" i="1"/>
  <c r="BQ103" i="1"/>
  <c r="BJ119" i="1"/>
  <c r="BJ136" i="1" s="1"/>
  <c r="BF116" i="1"/>
  <c r="BE117" i="1"/>
  <c r="BE132" i="1" s="1"/>
  <c r="BB68" i="1"/>
  <c r="BD101" i="1"/>
  <c r="BA84" i="1"/>
  <c r="AZ85" i="1"/>
  <c r="AZ86" i="1" s="1"/>
  <c r="BC8" i="1"/>
  <c r="CS79" i="1" l="1"/>
  <c r="CT78" i="1"/>
  <c r="BS74" i="1"/>
  <c r="BB80" i="1"/>
  <c r="BS64" i="1"/>
  <c r="BR65" i="1"/>
  <c r="BS69" i="1"/>
  <c r="BS76" i="1"/>
  <c r="BT76" i="1" s="1"/>
  <c r="BQ109" i="1"/>
  <c r="CA59" i="1"/>
  <c r="CA58" i="1"/>
  <c r="BU24" i="1"/>
  <c r="BT1" i="1"/>
  <c r="BT3" i="1" s="1"/>
  <c r="BR103" i="1"/>
  <c r="BK119" i="1"/>
  <c r="BK136" i="1" s="1"/>
  <c r="BG116" i="1"/>
  <c r="BF117" i="1"/>
  <c r="BF132" i="1" s="1"/>
  <c r="BC68" i="1"/>
  <c r="BE101" i="1"/>
  <c r="BD8" i="1"/>
  <c r="BB84" i="1"/>
  <c r="BA85" i="1"/>
  <c r="BA86" i="1" s="1"/>
  <c r="CT79" i="1" l="1"/>
  <c r="CU78" i="1"/>
  <c r="BC80" i="1"/>
  <c r="BT69" i="1"/>
  <c r="BT74" i="1"/>
  <c r="BT64" i="1"/>
  <c r="BS65" i="1"/>
  <c r="BR109" i="1"/>
  <c r="CB58" i="1"/>
  <c r="CB59" i="1"/>
  <c r="BV24" i="1"/>
  <c r="BU1" i="1"/>
  <c r="BU3" i="1" s="1"/>
  <c r="BS103" i="1"/>
  <c r="BL119" i="1"/>
  <c r="BL136" i="1" s="1"/>
  <c r="BH116" i="1"/>
  <c r="BG117" i="1"/>
  <c r="BG132" i="1" s="1"/>
  <c r="BD68" i="1"/>
  <c r="BF101" i="1"/>
  <c r="BC84" i="1"/>
  <c r="BB85" i="1"/>
  <c r="BB86" i="1" s="1"/>
  <c r="BE8" i="1"/>
  <c r="CU79" i="1" l="1"/>
  <c r="CV78" i="1"/>
  <c r="BU74" i="1"/>
  <c r="BD80" i="1"/>
  <c r="BU64" i="1"/>
  <c r="BT65" i="1"/>
  <c r="BU76" i="1"/>
  <c r="BU69" i="1"/>
  <c r="BS109" i="1"/>
  <c r="CC59" i="1"/>
  <c r="CC58" i="1"/>
  <c r="BW24" i="1"/>
  <c r="BV1" i="1"/>
  <c r="BV3" i="1" s="1"/>
  <c r="BT103" i="1"/>
  <c r="BM119" i="1"/>
  <c r="BM136" i="1" s="1"/>
  <c r="BH117" i="1"/>
  <c r="BH132" i="1" s="1"/>
  <c r="BI116" i="1"/>
  <c r="BE68" i="1"/>
  <c r="BG101" i="1"/>
  <c r="BF8" i="1"/>
  <c r="BD84" i="1"/>
  <c r="BC85" i="1"/>
  <c r="BC86" i="1" s="1"/>
  <c r="CV79" i="1" l="1"/>
  <c r="CW78" i="1"/>
  <c r="BE80" i="1"/>
  <c r="BV69" i="1"/>
  <c r="BV76" i="1"/>
  <c r="BV74" i="1"/>
  <c r="BV64" i="1"/>
  <c r="BU65" i="1"/>
  <c r="BT109" i="1"/>
  <c r="CD58" i="1"/>
  <c r="CD59" i="1"/>
  <c r="BX24" i="1"/>
  <c r="BW1" i="1"/>
  <c r="BW3" i="1" s="1"/>
  <c r="BU103" i="1"/>
  <c r="BN119" i="1"/>
  <c r="BN136" i="1" s="1"/>
  <c r="BI117" i="1"/>
  <c r="BI132" i="1" s="1"/>
  <c r="BJ116" i="1"/>
  <c r="BF68" i="1"/>
  <c r="BH101" i="1"/>
  <c r="BE84" i="1"/>
  <c r="BD85" i="1"/>
  <c r="BD86" i="1" s="1"/>
  <c r="BG8" i="1"/>
  <c r="CX78" i="1" l="1"/>
  <c r="CW79" i="1"/>
  <c r="BF80" i="1"/>
  <c r="BW64" i="1"/>
  <c r="BV65" i="1"/>
  <c r="BW69" i="1"/>
  <c r="BW74" i="1"/>
  <c r="BX74" i="1" s="1"/>
  <c r="BW76" i="1"/>
  <c r="BX76" i="1" s="1"/>
  <c r="BU109" i="1"/>
  <c r="CE59" i="1"/>
  <c r="CE58" i="1"/>
  <c r="BY24" i="1"/>
  <c r="BX1" i="1"/>
  <c r="BX3" i="1" s="1"/>
  <c r="BV103" i="1"/>
  <c r="BO119" i="1"/>
  <c r="BO136" i="1" s="1"/>
  <c r="BJ117" i="1"/>
  <c r="BJ132" i="1" s="1"/>
  <c r="BK116" i="1"/>
  <c r="BG68" i="1"/>
  <c r="BI101" i="1"/>
  <c r="BH8" i="1"/>
  <c r="BF84" i="1"/>
  <c r="BE85" i="1"/>
  <c r="BE86" i="1" s="1"/>
  <c r="CY78" i="1" l="1"/>
  <c r="CX79" i="1"/>
  <c r="BG80" i="1"/>
  <c r="BX69" i="1"/>
  <c r="BX64" i="1"/>
  <c r="BW65" i="1"/>
  <c r="BV109" i="1"/>
  <c r="CF58" i="1"/>
  <c r="CF59" i="1"/>
  <c r="BZ24" i="1"/>
  <c r="BY1" i="1"/>
  <c r="BY3" i="1" s="1"/>
  <c r="BW103" i="1"/>
  <c r="BP119" i="1"/>
  <c r="BP136" i="1" s="1"/>
  <c r="BK117" i="1"/>
  <c r="BK132" i="1" s="1"/>
  <c r="BL116" i="1"/>
  <c r="BH68" i="1"/>
  <c r="BJ101" i="1"/>
  <c r="BG84" i="1"/>
  <c r="BF85" i="1"/>
  <c r="BF86" i="1" s="1"/>
  <c r="BI8" i="1"/>
  <c r="CY79" i="1" l="1"/>
  <c r="CZ78" i="1"/>
  <c r="BH80" i="1"/>
  <c r="BY64" i="1"/>
  <c r="BX65" i="1"/>
  <c r="BY74" i="1"/>
  <c r="BY69" i="1"/>
  <c r="BY76" i="1"/>
  <c r="BW109" i="1"/>
  <c r="CG59" i="1"/>
  <c r="CG58" i="1"/>
  <c r="CA24" i="1"/>
  <c r="BZ1" i="1"/>
  <c r="BZ3" i="1" s="1"/>
  <c r="BX103" i="1"/>
  <c r="BQ119" i="1"/>
  <c r="BQ136" i="1" s="1"/>
  <c r="BM116" i="1"/>
  <c r="BL117" i="1"/>
  <c r="BL132" i="1" s="1"/>
  <c r="BI68" i="1"/>
  <c r="BK101" i="1"/>
  <c r="BJ8" i="1"/>
  <c r="BH84" i="1"/>
  <c r="BG85" i="1"/>
  <c r="BG86" i="1" s="1"/>
  <c r="CZ79" i="1" l="1"/>
  <c r="DA78" i="1"/>
  <c r="BI80" i="1"/>
  <c r="BZ69" i="1"/>
  <c r="BZ76" i="1"/>
  <c r="BZ74" i="1"/>
  <c r="BZ64" i="1"/>
  <c r="BY65" i="1"/>
  <c r="BX109" i="1"/>
  <c r="CH58" i="1"/>
  <c r="CH59" i="1"/>
  <c r="CB24" i="1"/>
  <c r="CA1" i="1"/>
  <c r="CA3" i="1" s="1"/>
  <c r="BY103" i="1"/>
  <c r="BR119" i="1"/>
  <c r="BR136" i="1" s="1"/>
  <c r="BN116" i="1"/>
  <c r="BM117" i="1"/>
  <c r="BM132" i="1" s="1"/>
  <c r="BJ68" i="1"/>
  <c r="BL101" i="1"/>
  <c r="BI84" i="1"/>
  <c r="BH85" i="1"/>
  <c r="BH86" i="1" s="1"/>
  <c r="BK8" i="1"/>
  <c r="DA79" i="1" l="1"/>
  <c r="DB78" i="1"/>
  <c r="BJ80" i="1"/>
  <c r="CA69" i="1"/>
  <c r="CA74" i="1"/>
  <c r="CA64" i="1"/>
  <c r="BZ65" i="1"/>
  <c r="CA76" i="1"/>
  <c r="BY109" i="1"/>
  <c r="CI59" i="1"/>
  <c r="CI58" i="1"/>
  <c r="CC24" i="1"/>
  <c r="CB1" i="1"/>
  <c r="CB3" i="1" s="1"/>
  <c r="BZ103" i="1"/>
  <c r="BS119" i="1"/>
  <c r="BS136" i="1" s="1"/>
  <c r="BN117" i="1"/>
  <c r="BN132" i="1" s="1"/>
  <c r="BO116" i="1"/>
  <c r="BK68" i="1"/>
  <c r="BM101" i="1"/>
  <c r="BL8" i="1"/>
  <c r="BJ84" i="1"/>
  <c r="BI85" i="1"/>
  <c r="BI86" i="1" s="1"/>
  <c r="DB79" i="1" l="1"/>
  <c r="DC78" i="1"/>
  <c r="BK80" i="1"/>
  <c r="CB76" i="1"/>
  <c r="CB64" i="1"/>
  <c r="CA65" i="1"/>
  <c r="CB74" i="1"/>
  <c r="CC74" i="1" s="1"/>
  <c r="CB69" i="1"/>
  <c r="BZ109" i="1"/>
  <c r="CJ58" i="1"/>
  <c r="CJ59" i="1"/>
  <c r="CD24" i="1"/>
  <c r="CC1" i="1"/>
  <c r="CC3" i="1" s="1"/>
  <c r="CA103" i="1"/>
  <c r="BT119" i="1"/>
  <c r="BT136" i="1" s="1"/>
  <c r="BO117" i="1"/>
  <c r="BO132" i="1" s="1"/>
  <c r="BP116" i="1"/>
  <c r="BL68" i="1"/>
  <c r="BN101" i="1"/>
  <c r="BM8" i="1"/>
  <c r="BK84" i="1"/>
  <c r="BJ85" i="1"/>
  <c r="BJ86" i="1" s="1"/>
  <c r="DC79" i="1" l="1"/>
  <c r="DD78" i="1"/>
  <c r="BL80" i="1"/>
  <c r="CC69" i="1"/>
  <c r="CC64" i="1"/>
  <c r="CB65" i="1"/>
  <c r="CC76" i="1"/>
  <c r="CD76" i="1" s="1"/>
  <c r="CA109" i="1"/>
  <c r="CK59" i="1"/>
  <c r="CK58" i="1"/>
  <c r="CE24" i="1"/>
  <c r="CD1" i="1"/>
  <c r="CB103" i="1"/>
  <c r="BU119" i="1"/>
  <c r="BU136" i="1" s="1"/>
  <c r="BP117" i="1"/>
  <c r="BP132" i="1" s="1"/>
  <c r="BQ116" i="1"/>
  <c r="BM68" i="1"/>
  <c r="BO101" i="1"/>
  <c r="BL84" i="1"/>
  <c r="BK85" i="1"/>
  <c r="BK86" i="1" s="1"/>
  <c r="BN8" i="1"/>
  <c r="DD79" i="1" l="1"/>
  <c r="DE78" i="1"/>
  <c r="BM80" i="1"/>
  <c r="CD69" i="1"/>
  <c r="CD64" i="1"/>
  <c r="CC65" i="1"/>
  <c r="CD74" i="1"/>
  <c r="CB109" i="1"/>
  <c r="CL58" i="1"/>
  <c r="CL59" i="1"/>
  <c r="CF24" i="1"/>
  <c r="CE1" i="1"/>
  <c r="CE3" i="1" s="1"/>
  <c r="CD3" i="1"/>
  <c r="CC103" i="1"/>
  <c r="BV119" i="1"/>
  <c r="BV136" i="1" s="1"/>
  <c r="BQ117" i="1"/>
  <c r="BQ132" i="1" s="1"/>
  <c r="BR116" i="1"/>
  <c r="BN68" i="1"/>
  <c r="BP101" i="1"/>
  <c r="BO8" i="1"/>
  <c r="BM84" i="1"/>
  <c r="BL85" i="1"/>
  <c r="BL86" i="1" s="1"/>
  <c r="DF78" i="1" l="1"/>
  <c r="DE79" i="1"/>
  <c r="BN80" i="1"/>
  <c r="CE74" i="1"/>
  <c r="CE64" i="1"/>
  <c r="CD65" i="1"/>
  <c r="CE76" i="1"/>
  <c r="CF76" i="1" s="1"/>
  <c r="CE69" i="1"/>
  <c r="CC109" i="1"/>
  <c r="CM59" i="1"/>
  <c r="CM58" i="1"/>
  <c r="CG24" i="1"/>
  <c r="CF1" i="1"/>
  <c r="CF3" i="1" s="1"/>
  <c r="CD103" i="1"/>
  <c r="BW119" i="1"/>
  <c r="BW136" i="1" s="1"/>
  <c r="BR117" i="1"/>
  <c r="BR132" i="1" s="1"/>
  <c r="BS116" i="1"/>
  <c r="BO68" i="1"/>
  <c r="BQ101" i="1"/>
  <c r="BP8" i="1"/>
  <c r="BN84" i="1"/>
  <c r="BM85" i="1"/>
  <c r="BM86" i="1" s="1"/>
  <c r="DG78" i="1" l="1"/>
  <c r="DG79" i="1" s="1"/>
  <c r="DF79" i="1"/>
  <c r="BO80" i="1"/>
  <c r="CF69" i="1"/>
  <c r="CF64" i="1"/>
  <c r="CE65" i="1"/>
  <c r="CF74" i="1"/>
  <c r="CD109" i="1"/>
  <c r="CN58" i="1"/>
  <c r="CN59" i="1"/>
  <c r="CH24" i="1"/>
  <c r="CG1" i="1"/>
  <c r="CG3" i="1" s="1"/>
  <c r="CE103" i="1"/>
  <c r="BX119" i="1"/>
  <c r="BX136" i="1" s="1"/>
  <c r="BT116" i="1"/>
  <c r="BS117" i="1"/>
  <c r="BS132" i="1" s="1"/>
  <c r="BP68" i="1"/>
  <c r="BR101" i="1"/>
  <c r="BO84" i="1"/>
  <c r="BN85" i="1"/>
  <c r="BN86" i="1" s="1"/>
  <c r="BQ8" i="1"/>
  <c r="BP80" i="1" l="1"/>
  <c r="CG74" i="1"/>
  <c r="CG64" i="1"/>
  <c r="CF65" i="1"/>
  <c r="CG76" i="1"/>
  <c r="CG69" i="1"/>
  <c r="CE109" i="1"/>
  <c r="CO59" i="1"/>
  <c r="CO58" i="1"/>
  <c r="CI24" i="1"/>
  <c r="CH1" i="1"/>
  <c r="CH3" i="1" s="1"/>
  <c r="CF103" i="1"/>
  <c r="BY119" i="1"/>
  <c r="BY136" i="1" s="1"/>
  <c r="BT117" i="1"/>
  <c r="BT132" i="1" s="1"/>
  <c r="BU116" i="1"/>
  <c r="BQ68" i="1"/>
  <c r="BS101" i="1"/>
  <c r="BP84" i="1"/>
  <c r="BO85" i="1"/>
  <c r="BO86" i="1" s="1"/>
  <c r="BR8" i="1"/>
  <c r="BQ80" i="1" l="1"/>
  <c r="CH69" i="1"/>
  <c r="CH76" i="1"/>
  <c r="CH64" i="1"/>
  <c r="CG65" i="1"/>
  <c r="CH74" i="1"/>
  <c r="CF109" i="1"/>
  <c r="CP58" i="1"/>
  <c r="CP59" i="1"/>
  <c r="CI1" i="1"/>
  <c r="CI3" i="1" s="1"/>
  <c r="CG103" i="1"/>
  <c r="BZ119" i="1"/>
  <c r="BZ136" i="1" s="1"/>
  <c r="BV116" i="1"/>
  <c r="BU117" i="1"/>
  <c r="BU132" i="1" s="1"/>
  <c r="BR68" i="1"/>
  <c r="BT101" i="1"/>
  <c r="BS8" i="1"/>
  <c r="BQ84" i="1"/>
  <c r="BP85" i="1"/>
  <c r="BP86" i="1" s="1"/>
  <c r="BR80" i="1" l="1"/>
  <c r="CI74" i="1"/>
  <c r="CI76" i="1"/>
  <c r="CJ76" i="1" s="1"/>
  <c r="CI64" i="1"/>
  <c r="CH65" i="1"/>
  <c r="CI69" i="1"/>
  <c r="CG109" i="1"/>
  <c r="CQ59" i="1"/>
  <c r="CQ58" i="1"/>
  <c r="CK24" i="1"/>
  <c r="CJ1" i="1"/>
  <c r="CJ3" i="1" s="1"/>
  <c r="CJ24" i="1"/>
  <c r="CH103" i="1"/>
  <c r="CA119" i="1"/>
  <c r="CA136" i="1" s="1"/>
  <c r="BV117" i="1"/>
  <c r="BV132" i="1" s="1"/>
  <c r="BW116" i="1"/>
  <c r="BS68" i="1"/>
  <c r="BU101" i="1"/>
  <c r="BR84" i="1"/>
  <c r="BQ85" i="1"/>
  <c r="BQ86" i="1" s="1"/>
  <c r="BT8" i="1"/>
  <c r="BS80" i="1" l="1"/>
  <c r="CJ69" i="1"/>
  <c r="CJ64" i="1"/>
  <c r="CI65" i="1"/>
  <c r="CJ74" i="1"/>
  <c r="CH109" i="1"/>
  <c r="CR58" i="1"/>
  <c r="CR59" i="1"/>
  <c r="CL24" i="1"/>
  <c r="CK1" i="1"/>
  <c r="CK3" i="1" s="1"/>
  <c r="CI103" i="1"/>
  <c r="CB119" i="1"/>
  <c r="CB136" i="1" s="1"/>
  <c r="BX116" i="1"/>
  <c r="BW117" i="1"/>
  <c r="BW132" i="1" s="1"/>
  <c r="BT68" i="1"/>
  <c r="BV101" i="1"/>
  <c r="BU8" i="1"/>
  <c r="BS84" i="1"/>
  <c r="BR85" i="1"/>
  <c r="BR86" i="1" s="1"/>
  <c r="BT80" i="1" l="1"/>
  <c r="CK74" i="1"/>
  <c r="CK64" i="1"/>
  <c r="CJ65" i="1"/>
  <c r="CK69" i="1"/>
  <c r="CK76" i="1"/>
  <c r="CL76" i="1" s="1"/>
  <c r="CI109" i="1"/>
  <c r="CS59" i="1"/>
  <c r="CS58" i="1"/>
  <c r="CM24" i="1"/>
  <c r="CL1" i="1"/>
  <c r="CL3" i="1" s="1"/>
  <c r="CJ103" i="1"/>
  <c r="CC119" i="1"/>
  <c r="CC136" i="1" s="1"/>
  <c r="BX117" i="1"/>
  <c r="BX132" i="1" s="1"/>
  <c r="BY116" i="1"/>
  <c r="BU68" i="1"/>
  <c r="BW101" i="1"/>
  <c r="BV8" i="1"/>
  <c r="BT84" i="1"/>
  <c r="BS85" i="1"/>
  <c r="BS86" i="1" s="1"/>
  <c r="BU80" i="1" l="1"/>
  <c r="CL69" i="1"/>
  <c r="CL64" i="1"/>
  <c r="CK65" i="1"/>
  <c r="CL74" i="1"/>
  <c r="CM74" i="1" s="1"/>
  <c r="CJ109" i="1"/>
  <c r="CT58" i="1"/>
  <c r="CT59" i="1"/>
  <c r="CN24" i="1"/>
  <c r="CM1" i="1"/>
  <c r="CM3" i="1" s="1"/>
  <c r="CK103" i="1"/>
  <c r="CD119" i="1"/>
  <c r="CD136" i="1" s="1"/>
  <c r="BY117" i="1"/>
  <c r="BY132" i="1" s="1"/>
  <c r="BZ116" i="1"/>
  <c r="BV68" i="1"/>
  <c r="BX101" i="1"/>
  <c r="BU84" i="1"/>
  <c r="BT85" i="1"/>
  <c r="BT86" i="1" s="1"/>
  <c r="BW8" i="1"/>
  <c r="BV80" i="1" l="1"/>
  <c r="CM64" i="1"/>
  <c r="CL65" i="1"/>
  <c r="CM76" i="1"/>
  <c r="CM69" i="1"/>
  <c r="CK109" i="1"/>
  <c r="CU58" i="1"/>
  <c r="CU59" i="1"/>
  <c r="CO24" i="1"/>
  <c r="CN1" i="1"/>
  <c r="CN3" i="1" s="1"/>
  <c r="CL103" i="1"/>
  <c r="CE119" i="1"/>
  <c r="CE136" i="1" s="1"/>
  <c r="BZ117" i="1"/>
  <c r="BZ132" i="1" s="1"/>
  <c r="CA116" i="1"/>
  <c r="BW68" i="1"/>
  <c r="BY101" i="1"/>
  <c r="BV84" i="1"/>
  <c r="BU85" i="1"/>
  <c r="BU86" i="1" s="1"/>
  <c r="BX8" i="1"/>
  <c r="BW80" i="1" l="1"/>
  <c r="CN69" i="1"/>
  <c r="CN76" i="1"/>
  <c r="CN64" i="1"/>
  <c r="CM65" i="1"/>
  <c r="CN74" i="1"/>
  <c r="CO74" i="1" s="1"/>
  <c r="CL109" i="1"/>
  <c r="CV58" i="1"/>
  <c r="CV59" i="1"/>
  <c r="CP24" i="1"/>
  <c r="CO1" i="1"/>
  <c r="CO3" i="1" s="1"/>
  <c r="CM103" i="1"/>
  <c r="CF119" i="1"/>
  <c r="CF136" i="1" s="1"/>
  <c r="CB116" i="1"/>
  <c r="CA117" i="1"/>
  <c r="CA132" i="1" s="1"/>
  <c r="BX68" i="1"/>
  <c r="BZ101" i="1"/>
  <c r="BY8" i="1"/>
  <c r="BW84" i="1"/>
  <c r="BV85" i="1"/>
  <c r="BV86" i="1" s="1"/>
  <c r="BX80" i="1" l="1"/>
  <c r="CO64" i="1"/>
  <c r="CN65" i="1"/>
  <c r="CO76" i="1"/>
  <c r="CO69" i="1"/>
  <c r="CM109" i="1"/>
  <c r="CW58" i="1"/>
  <c r="CW59" i="1"/>
  <c r="CQ24" i="1"/>
  <c r="CP1" i="1"/>
  <c r="CP74" i="1" s="1"/>
  <c r="CN103" i="1"/>
  <c r="CG119" i="1"/>
  <c r="CG136" i="1" s="1"/>
  <c r="CB117" i="1"/>
  <c r="CB132" i="1" s="1"/>
  <c r="CC116" i="1"/>
  <c r="BY68" i="1"/>
  <c r="CA101" i="1"/>
  <c r="BZ8" i="1"/>
  <c r="BX84" i="1"/>
  <c r="BW85" i="1"/>
  <c r="BW86" i="1" s="1"/>
  <c r="BY80" i="1" l="1"/>
  <c r="CP69" i="1"/>
  <c r="CP76" i="1"/>
  <c r="CP64" i="1"/>
  <c r="CO65" i="1"/>
  <c r="CN109" i="1"/>
  <c r="CX58" i="1"/>
  <c r="CX59" i="1"/>
  <c r="CP3" i="1"/>
  <c r="CR24" i="1"/>
  <c r="CQ1" i="1"/>
  <c r="CQ3" i="1" s="1"/>
  <c r="CO103" i="1"/>
  <c r="CH119" i="1"/>
  <c r="CH136" i="1" s="1"/>
  <c r="CD116" i="1"/>
  <c r="CC117" i="1"/>
  <c r="CC132" i="1" s="1"/>
  <c r="BZ68" i="1"/>
  <c r="CB101" i="1"/>
  <c r="BY84" i="1"/>
  <c r="BX85" i="1"/>
  <c r="BX86" i="1" s="1"/>
  <c r="CA8" i="1"/>
  <c r="BZ80" i="1" l="1"/>
  <c r="CQ64" i="1"/>
  <c r="CP65" i="1"/>
  <c r="CQ76" i="1"/>
  <c r="CQ69" i="1"/>
  <c r="CQ74" i="1"/>
  <c r="CR74" i="1" s="1"/>
  <c r="CO109" i="1"/>
  <c r="CY58" i="1"/>
  <c r="CY59" i="1"/>
  <c r="CS24" i="1"/>
  <c r="CR1" i="1"/>
  <c r="CR3" i="1" s="1"/>
  <c r="CP103" i="1"/>
  <c r="CI119" i="1"/>
  <c r="CI136" i="1" s="1"/>
  <c r="CD117" i="1"/>
  <c r="CD132" i="1" s="1"/>
  <c r="CE116" i="1"/>
  <c r="CA68" i="1"/>
  <c r="CC101" i="1"/>
  <c r="CB8" i="1"/>
  <c r="BZ84" i="1"/>
  <c r="BY85" i="1"/>
  <c r="BY86" i="1" s="1"/>
  <c r="CR76" i="1" l="1"/>
  <c r="CA80" i="1"/>
  <c r="CR69" i="1"/>
  <c r="CR64" i="1"/>
  <c r="CQ65" i="1"/>
  <c r="CP109" i="1"/>
  <c r="CZ58" i="1"/>
  <c r="CZ59" i="1"/>
  <c r="CT24" i="1"/>
  <c r="CS1" i="1"/>
  <c r="CS3" i="1" s="1"/>
  <c r="CQ103" i="1"/>
  <c r="CJ119" i="1"/>
  <c r="CJ136" i="1" s="1"/>
  <c r="CF116" i="1"/>
  <c r="CE117" i="1"/>
  <c r="CE132" i="1" s="1"/>
  <c r="CB68" i="1"/>
  <c r="CD101" i="1"/>
  <c r="CA84" i="1"/>
  <c r="BZ85" i="1"/>
  <c r="BZ86" i="1" s="1"/>
  <c r="CC8" i="1"/>
  <c r="CB80" i="1" l="1"/>
  <c r="CS69" i="1"/>
  <c r="CS64" i="1"/>
  <c r="CR65" i="1"/>
  <c r="CS76" i="1"/>
  <c r="CT76" i="1" s="1"/>
  <c r="CS74" i="1"/>
  <c r="CT74" i="1" s="1"/>
  <c r="CQ109" i="1"/>
  <c r="DA58" i="1"/>
  <c r="DA59" i="1"/>
  <c r="CU24" i="1"/>
  <c r="CT1" i="1"/>
  <c r="CT3" i="1" s="1"/>
  <c r="CR103" i="1"/>
  <c r="CK119" i="1"/>
  <c r="CK136" i="1" s="1"/>
  <c r="CF117" i="1"/>
  <c r="CF132" i="1" s="1"/>
  <c r="CG116" i="1"/>
  <c r="CC68" i="1"/>
  <c r="CE101" i="1"/>
  <c r="CD8" i="1"/>
  <c r="CB84" i="1"/>
  <c r="CA85" i="1"/>
  <c r="CA86" i="1" s="1"/>
  <c r="CT69" i="1" l="1"/>
  <c r="CC80" i="1"/>
  <c r="CT64" i="1"/>
  <c r="CS65" i="1"/>
  <c r="CR109" i="1"/>
  <c r="DB59" i="1"/>
  <c r="DB58" i="1"/>
  <c r="CU1" i="1"/>
  <c r="CU3" i="1" s="1"/>
  <c r="CS103" i="1"/>
  <c r="CL119" i="1"/>
  <c r="CL136" i="1" s="1"/>
  <c r="CG117" i="1"/>
  <c r="CG132" i="1" s="1"/>
  <c r="CH116" i="1"/>
  <c r="CD68" i="1"/>
  <c r="CF101" i="1"/>
  <c r="CC84" i="1"/>
  <c r="CB85" i="1"/>
  <c r="CB86" i="1" s="1"/>
  <c r="CE8" i="1"/>
  <c r="CD80" i="1" l="1"/>
  <c r="CU64" i="1"/>
  <c r="CT65" i="1"/>
  <c r="CU74" i="1"/>
  <c r="CU69" i="1"/>
  <c r="CU76" i="1"/>
  <c r="CV76" i="1" s="1"/>
  <c r="CS109" i="1"/>
  <c r="DC58" i="1"/>
  <c r="DC59" i="1"/>
  <c r="CW24" i="1"/>
  <c r="CV1" i="1"/>
  <c r="CV3" i="1" s="1"/>
  <c r="CV24" i="1"/>
  <c r="CT103" i="1"/>
  <c r="CM119" i="1"/>
  <c r="CM136" i="1" s="1"/>
  <c r="CH117" i="1"/>
  <c r="CH132" i="1" s="1"/>
  <c r="CI116" i="1"/>
  <c r="CE68" i="1"/>
  <c r="CG101" i="1"/>
  <c r="CF8" i="1"/>
  <c r="CD84" i="1"/>
  <c r="CC85" i="1"/>
  <c r="CC86" i="1" s="1"/>
  <c r="CE80" i="1" l="1"/>
  <c r="CV74" i="1"/>
  <c r="CV69" i="1"/>
  <c r="CV64" i="1"/>
  <c r="CU65" i="1"/>
  <c r="CT109" i="1"/>
  <c r="DD59" i="1"/>
  <c r="DD58" i="1"/>
  <c r="CX24" i="1"/>
  <c r="CW1" i="1"/>
  <c r="CW3" i="1" s="1"/>
  <c r="CU103" i="1"/>
  <c r="CN119" i="1"/>
  <c r="CN136" i="1" s="1"/>
  <c r="CI117" i="1"/>
  <c r="CI132" i="1" s="1"/>
  <c r="CJ116" i="1"/>
  <c r="CF68" i="1"/>
  <c r="CH101" i="1"/>
  <c r="CE84" i="1"/>
  <c r="CD85" i="1"/>
  <c r="CD86" i="1" s="1"/>
  <c r="CG8" i="1"/>
  <c r="CF80" i="1" l="1"/>
  <c r="CW64" i="1"/>
  <c r="CV65" i="1"/>
  <c r="CW74" i="1"/>
  <c r="CW69" i="1"/>
  <c r="CW76" i="1"/>
  <c r="CX76" i="1" s="1"/>
  <c r="CU109" i="1"/>
  <c r="DE58" i="1"/>
  <c r="DE59" i="1"/>
  <c r="CY24" i="1"/>
  <c r="CX1" i="1"/>
  <c r="CX3" i="1" s="1"/>
  <c r="CV103" i="1"/>
  <c r="CO119" i="1"/>
  <c r="CO136" i="1" s="1"/>
  <c r="CJ117" i="1"/>
  <c r="CJ132" i="1" s="1"/>
  <c r="CK116" i="1"/>
  <c r="CG68" i="1"/>
  <c r="CI101" i="1"/>
  <c r="CH8" i="1"/>
  <c r="CF84" i="1"/>
  <c r="CE85" i="1"/>
  <c r="CE86" i="1" s="1"/>
  <c r="CG80" i="1" l="1"/>
  <c r="CX69" i="1"/>
  <c r="CX74" i="1"/>
  <c r="CX64" i="1"/>
  <c r="CW65" i="1"/>
  <c r="CV109" i="1"/>
  <c r="DF59" i="1"/>
  <c r="DF58" i="1"/>
  <c r="CZ24" i="1"/>
  <c r="CY1" i="1"/>
  <c r="CY3" i="1" s="1"/>
  <c r="CW103" i="1"/>
  <c r="CP119" i="1"/>
  <c r="CP136" i="1" s="1"/>
  <c r="CL116" i="1"/>
  <c r="CK117" i="1"/>
  <c r="CK132" i="1" s="1"/>
  <c r="CH68" i="1"/>
  <c r="CJ101" i="1"/>
  <c r="CG84" i="1"/>
  <c r="CF85" i="1"/>
  <c r="CF86" i="1" s="1"/>
  <c r="CI8" i="1"/>
  <c r="CH80" i="1" l="1"/>
  <c r="CY74" i="1"/>
  <c r="CY64" i="1"/>
  <c r="CX65" i="1"/>
  <c r="CZ74" i="1"/>
  <c r="CY76" i="1"/>
  <c r="CZ76" i="1" s="1"/>
  <c r="CY69" i="1"/>
  <c r="CW109" i="1"/>
  <c r="DG58" i="1"/>
  <c r="DG59" i="1"/>
  <c r="DA24" i="1"/>
  <c r="CZ1" i="1"/>
  <c r="CZ3" i="1" s="1"/>
  <c r="CX103" i="1"/>
  <c r="CQ119" i="1"/>
  <c r="CQ136" i="1" s="1"/>
  <c r="CM116" i="1"/>
  <c r="CL117" i="1"/>
  <c r="CL132" i="1" s="1"/>
  <c r="CI68" i="1"/>
  <c r="CK101" i="1"/>
  <c r="CJ8" i="1"/>
  <c r="CH84" i="1"/>
  <c r="CG85" i="1"/>
  <c r="CG86" i="1" s="1"/>
  <c r="CI80" i="1" l="1"/>
  <c r="CZ69" i="1"/>
  <c r="CZ64" i="1"/>
  <c r="CY65" i="1"/>
  <c r="CX109" i="1"/>
  <c r="DB24" i="1"/>
  <c r="DA1" i="1"/>
  <c r="DA3" i="1" s="1"/>
  <c r="CY103" i="1"/>
  <c r="CR119" i="1"/>
  <c r="CR136" i="1" s="1"/>
  <c r="CN116" i="1"/>
  <c r="CM117" i="1"/>
  <c r="CM132" i="1" s="1"/>
  <c r="CJ68" i="1"/>
  <c r="CL101" i="1"/>
  <c r="CI84" i="1"/>
  <c r="CH85" i="1"/>
  <c r="CH86" i="1" s="1"/>
  <c r="CK8" i="1"/>
  <c r="CJ80" i="1" l="1"/>
  <c r="DA76" i="1"/>
  <c r="DA64" i="1"/>
  <c r="CZ65" i="1"/>
  <c r="DA74" i="1"/>
  <c r="DA69" i="1"/>
  <c r="CY109" i="1"/>
  <c r="DC24" i="1"/>
  <c r="DB1" i="1"/>
  <c r="DB3" i="1" s="1"/>
  <c r="CZ103" i="1"/>
  <c r="CS119" i="1"/>
  <c r="CS136" i="1" s="1"/>
  <c r="CN117" i="1"/>
  <c r="CN132" i="1" s="1"/>
  <c r="CO116" i="1"/>
  <c r="CK68" i="1"/>
  <c r="CM101" i="1"/>
  <c r="CJ84" i="1"/>
  <c r="CI85" i="1"/>
  <c r="CI86" i="1" s="1"/>
  <c r="CL8" i="1"/>
  <c r="CK80" i="1" l="1"/>
  <c r="DB69" i="1"/>
  <c r="DB74" i="1"/>
  <c r="DB64" i="1"/>
  <c r="DA65" i="1"/>
  <c r="DB76" i="1"/>
  <c r="CZ109" i="1"/>
  <c r="DC1" i="1"/>
  <c r="DC3" i="1" s="1"/>
  <c r="DA103" i="1"/>
  <c r="CT119" i="1"/>
  <c r="CT136" i="1" s="1"/>
  <c r="CP116" i="1"/>
  <c r="CO117" i="1"/>
  <c r="CO132" i="1" s="1"/>
  <c r="CL68" i="1"/>
  <c r="CN101" i="1"/>
  <c r="CM8" i="1"/>
  <c r="CK84" i="1"/>
  <c r="CJ85" i="1"/>
  <c r="CJ86" i="1" s="1"/>
  <c r="CL80" i="1" l="1"/>
  <c r="DC64" i="1"/>
  <c r="DB65" i="1"/>
  <c r="DC76" i="1"/>
  <c r="DC74" i="1"/>
  <c r="DC69" i="1"/>
  <c r="DA109" i="1"/>
  <c r="DE24" i="1"/>
  <c r="DD1" i="1"/>
  <c r="DD3" i="1" s="1"/>
  <c r="DD24" i="1"/>
  <c r="DB103" i="1"/>
  <c r="CU119" i="1"/>
  <c r="CU136" i="1" s="1"/>
  <c r="CP117" i="1"/>
  <c r="CP132" i="1" s="1"/>
  <c r="CQ116" i="1"/>
  <c r="CM68" i="1"/>
  <c r="CO101" i="1"/>
  <c r="CL84" i="1"/>
  <c r="CK85" i="1"/>
  <c r="CK86" i="1" s="1"/>
  <c r="CN8" i="1"/>
  <c r="CM80" i="1" l="1"/>
  <c r="DD74" i="1"/>
  <c r="DD69" i="1"/>
  <c r="DD76" i="1"/>
  <c r="DD64" i="1"/>
  <c r="DC65" i="1"/>
  <c r="DB109" i="1"/>
  <c r="DF24" i="1"/>
  <c r="DE1" i="1"/>
  <c r="DE3" i="1" s="1"/>
  <c r="DC103" i="1"/>
  <c r="CV119" i="1"/>
  <c r="CV136" i="1" s="1"/>
  <c r="CR116" i="1"/>
  <c r="CQ117" i="1"/>
  <c r="CQ132" i="1" s="1"/>
  <c r="CN68" i="1"/>
  <c r="CP101" i="1"/>
  <c r="CO8" i="1"/>
  <c r="CM84" i="1"/>
  <c r="CL85" i="1"/>
  <c r="CL86" i="1" s="1"/>
  <c r="CN80" i="1" l="1"/>
  <c r="DE64" i="1"/>
  <c r="DD65" i="1"/>
  <c r="DE76" i="1"/>
  <c r="DE69" i="1"/>
  <c r="DE74" i="1"/>
  <c r="DC109" i="1"/>
  <c r="DG24" i="1"/>
  <c r="DF1" i="1"/>
  <c r="DF3" i="1" s="1"/>
  <c r="DD103" i="1"/>
  <c r="CW119" i="1"/>
  <c r="CW136" i="1" s="1"/>
  <c r="CR117" i="1"/>
  <c r="CR132" i="1" s="1"/>
  <c r="CS116" i="1"/>
  <c r="CO68" i="1"/>
  <c r="CQ101" i="1"/>
  <c r="CN84" i="1"/>
  <c r="CM85" i="1"/>
  <c r="CM86" i="1" s="1"/>
  <c r="CP8" i="1"/>
  <c r="CO80" i="1" l="1"/>
  <c r="DF69" i="1"/>
  <c r="DF74" i="1"/>
  <c r="DF76" i="1"/>
  <c r="DF64" i="1"/>
  <c r="DE65" i="1"/>
  <c r="DD109" i="1"/>
  <c r="DG1" i="1"/>
  <c r="H25" i="15"/>
  <c r="I25" i="15"/>
  <c r="G25" i="15"/>
  <c r="C19" i="6"/>
  <c r="J25" i="15"/>
  <c r="D25" i="15"/>
  <c r="C25" i="15"/>
  <c r="E25" i="15"/>
  <c r="F25" i="15"/>
  <c r="K25" i="15"/>
  <c r="C30" i="6"/>
  <c r="C31" i="6"/>
  <c r="C19" i="15"/>
  <c r="C20" i="6"/>
  <c r="E20" i="6"/>
  <c r="K20" i="6"/>
  <c r="I20" i="6"/>
  <c r="L20" i="6"/>
  <c r="N20" i="6"/>
  <c r="D20" i="6"/>
  <c r="J20" i="6"/>
  <c r="H20" i="6"/>
  <c r="M20" i="6"/>
  <c r="F20" i="6"/>
  <c r="G20" i="6"/>
  <c r="K26" i="6"/>
  <c r="K12" i="6"/>
  <c r="J13" i="6"/>
  <c r="K13" i="6"/>
  <c r="L12" i="6"/>
  <c r="M13" i="6"/>
  <c r="C13" i="15"/>
  <c r="F13" i="15"/>
  <c r="L13" i="6"/>
  <c r="L26" i="6"/>
  <c r="J12" i="6"/>
  <c r="N13" i="6"/>
  <c r="D13" i="15"/>
  <c r="J26" i="6"/>
  <c r="N26" i="6"/>
  <c r="E13" i="15"/>
  <c r="M26" i="6"/>
  <c r="G13" i="15"/>
  <c r="H13" i="15"/>
  <c r="I13" i="15"/>
  <c r="K13" i="15"/>
  <c r="J13" i="15"/>
  <c r="M13" i="15"/>
  <c r="L13" i="15"/>
  <c r="L25" i="15"/>
  <c r="N13" i="15"/>
  <c r="M25" i="15"/>
  <c r="N25" i="15"/>
  <c r="DE103" i="1"/>
  <c r="CX119" i="1"/>
  <c r="CX136" i="1" s="1"/>
  <c r="CT116" i="1"/>
  <c r="CS117" i="1"/>
  <c r="CS132" i="1" s="1"/>
  <c r="CP68" i="1"/>
  <c r="CR101" i="1"/>
  <c r="CQ8" i="1"/>
  <c r="CO84" i="1"/>
  <c r="CN85" i="1"/>
  <c r="CN86" i="1" s="1"/>
  <c r="AK47" i="1" l="1"/>
  <c r="AK48" i="1"/>
  <c r="AK46" i="1"/>
  <c r="CP80" i="1"/>
  <c r="F35" i="5"/>
  <c r="E35" i="5"/>
  <c r="G35" i="5"/>
  <c r="H35" i="5"/>
  <c r="J35" i="5"/>
  <c r="I35" i="5"/>
  <c r="DG64" i="1"/>
  <c r="DG65" i="1" s="1"/>
  <c r="DF65" i="1"/>
  <c r="K35" i="5" s="1"/>
  <c r="DG76" i="1"/>
  <c r="DG74" i="1"/>
  <c r="DG69" i="1"/>
  <c r="AJ48" i="1"/>
  <c r="AJ47" i="1"/>
  <c r="AJ46" i="1"/>
  <c r="AI47" i="1"/>
  <c r="AI48" i="1"/>
  <c r="AI46" i="1"/>
  <c r="D29" i="5"/>
  <c r="AH47" i="1"/>
  <c r="AH46" i="1"/>
  <c r="AH48" i="1"/>
  <c r="D22" i="5"/>
  <c r="D23" i="5"/>
  <c r="D24" i="5"/>
  <c r="AG47" i="1"/>
  <c r="AG48" i="1"/>
  <c r="AG46" i="1"/>
  <c r="E42" i="5"/>
  <c r="D42" i="5"/>
  <c r="F42" i="5"/>
  <c r="G42" i="5"/>
  <c r="H42" i="5"/>
  <c r="I42" i="5"/>
  <c r="DE109" i="1"/>
  <c r="J14" i="6"/>
  <c r="J16" i="6" s="1"/>
  <c r="J17" i="6" s="1"/>
  <c r="L14" i="6"/>
  <c r="L16" i="6" s="1"/>
  <c r="L17" i="6" s="1"/>
  <c r="D27" i="5"/>
  <c r="D28" i="5"/>
  <c r="P20" i="6"/>
  <c r="K14" i="6"/>
  <c r="K16" i="6" s="1"/>
  <c r="K17" i="6" s="1"/>
  <c r="P25" i="15"/>
  <c r="DG3" i="1"/>
  <c r="F47" i="1"/>
  <c r="F46" i="1"/>
  <c r="G46" i="1"/>
  <c r="Q46" i="1"/>
  <c r="G48" i="1"/>
  <c r="F48" i="1"/>
  <c r="R48" i="1"/>
  <c r="DF103" i="1"/>
  <c r="CY119" i="1"/>
  <c r="CY136" i="1" s="1"/>
  <c r="CU116" i="1"/>
  <c r="CT117" i="1"/>
  <c r="CT132" i="1" s="1"/>
  <c r="CQ68" i="1"/>
  <c r="CS101" i="1"/>
  <c r="CP84" i="1"/>
  <c r="CO85" i="1"/>
  <c r="CO86" i="1" s="1"/>
  <c r="CR8" i="1"/>
  <c r="AK45" i="1" l="1"/>
  <c r="AK49" i="1" s="1"/>
  <c r="CQ80" i="1"/>
  <c r="H25" i="26"/>
  <c r="F25" i="26"/>
  <c r="C25" i="26"/>
  <c r="D25" i="26"/>
  <c r="E25" i="26" s="1"/>
  <c r="AJ45" i="1"/>
  <c r="AJ49" i="1" s="1"/>
  <c r="AI45" i="1"/>
  <c r="AI49" i="1" s="1"/>
  <c r="D30" i="5"/>
  <c r="AH45" i="1"/>
  <c r="AH50" i="1" s="1"/>
  <c r="AG45" i="1"/>
  <c r="AG50" i="1" s="1"/>
  <c r="D26" i="26"/>
  <c r="D14" i="26"/>
  <c r="C26" i="26"/>
  <c r="C27" i="26" s="1"/>
  <c r="D15" i="26"/>
  <c r="D32" i="26"/>
  <c r="F32" i="26"/>
  <c r="C16" i="26"/>
  <c r="C37" i="26"/>
  <c r="D16" i="26"/>
  <c r="D12" i="26"/>
  <c r="H32" i="26"/>
  <c r="C19" i="26"/>
  <c r="C12" i="26"/>
  <c r="C13" i="26" s="1"/>
  <c r="C18" i="26"/>
  <c r="C14" i="26"/>
  <c r="C15" i="26"/>
  <c r="D18" i="26"/>
  <c r="D19" i="26"/>
  <c r="C32" i="26"/>
  <c r="DF109" i="1"/>
  <c r="F45" i="1"/>
  <c r="F49" i="1" s="1"/>
  <c r="DG103" i="1"/>
  <c r="CZ119" i="1"/>
  <c r="CZ136" i="1" s="1"/>
  <c r="CV116" i="1"/>
  <c r="CU117" i="1"/>
  <c r="CU132" i="1" s="1"/>
  <c r="CR68" i="1"/>
  <c r="CT101" i="1"/>
  <c r="CS8" i="1"/>
  <c r="CQ84" i="1"/>
  <c r="CP85" i="1"/>
  <c r="CP86" i="1" s="1"/>
  <c r="AK50" i="1" l="1"/>
  <c r="CR80" i="1"/>
  <c r="G25" i="26"/>
  <c r="K25" i="26"/>
  <c r="AJ50" i="1"/>
  <c r="AI50" i="1"/>
  <c r="AG49" i="1"/>
  <c r="AH49" i="1"/>
  <c r="E19" i="26"/>
  <c r="C20" i="26"/>
  <c r="C22" i="26" s="1"/>
  <c r="C23" i="26" s="1"/>
  <c r="G32" i="26"/>
  <c r="K32" i="26"/>
  <c r="I32" i="26"/>
  <c r="E32" i="26"/>
  <c r="E15" i="26"/>
  <c r="D13" i="26"/>
  <c r="E13" i="26" s="1"/>
  <c r="E12" i="26"/>
  <c r="E14" i="26"/>
  <c r="E18" i="26"/>
  <c r="D20" i="26"/>
  <c r="E16" i="26"/>
  <c r="E26" i="26"/>
  <c r="E27" i="26" s="1"/>
  <c r="D27" i="26"/>
  <c r="F50" i="1"/>
  <c r="DG109" i="1"/>
  <c r="DA119" i="1"/>
  <c r="DA136" i="1" s="1"/>
  <c r="CW116" i="1"/>
  <c r="CV117" i="1"/>
  <c r="CV132" i="1" s="1"/>
  <c r="CS68" i="1"/>
  <c r="CU101" i="1"/>
  <c r="CR84" i="1"/>
  <c r="CQ85" i="1"/>
  <c r="CQ86" i="1" s="1"/>
  <c r="CT8" i="1"/>
  <c r="CS80" i="1" l="1"/>
  <c r="E20" i="26"/>
  <c r="C29" i="26"/>
  <c r="C33" i="26" s="1"/>
  <c r="C34" i="26" s="1"/>
  <c r="D22" i="26"/>
  <c r="G47" i="1"/>
  <c r="DB119" i="1"/>
  <c r="DB136" i="1" s="1"/>
  <c r="CW117" i="1"/>
  <c r="CW132" i="1" s="1"/>
  <c r="CX116" i="1"/>
  <c r="CT68" i="1"/>
  <c r="CV101" i="1"/>
  <c r="CU8" i="1"/>
  <c r="CS84" i="1"/>
  <c r="CR85" i="1"/>
  <c r="CR86" i="1" s="1"/>
  <c r="CT80" i="1" l="1"/>
  <c r="C30" i="26"/>
  <c r="D23" i="26"/>
  <c r="E23" i="26" s="1"/>
  <c r="E22" i="26"/>
  <c r="D29" i="26"/>
  <c r="G45" i="1"/>
  <c r="G49" i="1" s="1"/>
  <c r="DC119" i="1"/>
  <c r="DC136" i="1" s="1"/>
  <c r="CX117" i="1"/>
  <c r="CX132" i="1" s="1"/>
  <c r="CY116" i="1"/>
  <c r="CU68" i="1"/>
  <c r="CW101" i="1"/>
  <c r="CT84" i="1"/>
  <c r="CS85" i="1"/>
  <c r="CS86" i="1" s="1"/>
  <c r="CV8" i="1"/>
  <c r="CU80" i="1" l="1"/>
  <c r="D33" i="26"/>
  <c r="D30" i="26"/>
  <c r="E30" i="26" s="1"/>
  <c r="E29" i="26"/>
  <c r="G50" i="1"/>
  <c r="DD119" i="1"/>
  <c r="DD136" i="1" s="1"/>
  <c r="CY117" i="1"/>
  <c r="CY132" i="1" s="1"/>
  <c r="CZ116" i="1"/>
  <c r="CV68" i="1"/>
  <c r="CX101" i="1"/>
  <c r="CW8" i="1"/>
  <c r="CU84" i="1"/>
  <c r="CT85" i="1"/>
  <c r="CT86" i="1" s="1"/>
  <c r="CV80" i="1" l="1"/>
  <c r="D34" i="26"/>
  <c r="E34" i="26" s="1"/>
  <c r="E33" i="26"/>
  <c r="DE119" i="1"/>
  <c r="DE136" i="1" s="1"/>
  <c r="CZ117" i="1"/>
  <c r="CZ132" i="1" s="1"/>
  <c r="DA116" i="1"/>
  <c r="CW68" i="1"/>
  <c r="CY101" i="1"/>
  <c r="CV84" i="1"/>
  <c r="CU85" i="1"/>
  <c r="CU86" i="1" s="1"/>
  <c r="CX8" i="1"/>
  <c r="CW80" i="1" l="1"/>
  <c r="DF119" i="1"/>
  <c r="DF136" i="1" s="1"/>
  <c r="DB116" i="1"/>
  <c r="DA117" i="1"/>
  <c r="DA132" i="1" s="1"/>
  <c r="CX68" i="1"/>
  <c r="CZ101" i="1"/>
  <c r="CY8" i="1"/>
  <c r="CW84" i="1"/>
  <c r="CV85" i="1"/>
  <c r="CV86" i="1" s="1"/>
  <c r="CX80" i="1" l="1"/>
  <c r="DG119" i="1"/>
  <c r="DG136" i="1" s="1"/>
  <c r="DB117" i="1"/>
  <c r="DB132" i="1" s="1"/>
  <c r="DC116" i="1"/>
  <c r="CY68" i="1"/>
  <c r="DA101" i="1"/>
  <c r="CX84" i="1"/>
  <c r="CW85" i="1"/>
  <c r="CW86" i="1" s="1"/>
  <c r="CZ8" i="1"/>
  <c r="CY80" i="1" l="1"/>
  <c r="AF61" i="1"/>
  <c r="DC117" i="1"/>
  <c r="DC132" i="1" s="1"/>
  <c r="DD116" i="1"/>
  <c r="CZ68" i="1"/>
  <c r="DB101" i="1"/>
  <c r="DA8" i="1"/>
  <c r="CY84" i="1"/>
  <c r="CX85" i="1"/>
  <c r="CX86" i="1" s="1"/>
  <c r="CZ80" i="1" l="1"/>
  <c r="AF81" i="1"/>
  <c r="AF36" i="1" s="1"/>
  <c r="AF38" i="1" s="1"/>
  <c r="DD117" i="1"/>
  <c r="DD132" i="1" s="1"/>
  <c r="DE116" i="1"/>
  <c r="DA68" i="1"/>
  <c r="DC101" i="1"/>
  <c r="CZ84" i="1"/>
  <c r="CY85" i="1"/>
  <c r="CY86" i="1" s="1"/>
  <c r="DB8" i="1"/>
  <c r="DA80" i="1" l="1"/>
  <c r="AF41" i="1"/>
  <c r="AF87" i="1"/>
  <c r="AF130" i="1" s="1"/>
  <c r="AF133" i="1" s="1"/>
  <c r="AF140" i="1" s="1"/>
  <c r="AF40" i="1"/>
  <c r="DE117" i="1"/>
  <c r="DE132" i="1" s="1"/>
  <c r="DF116" i="1"/>
  <c r="DB68" i="1"/>
  <c r="DD101" i="1"/>
  <c r="DC8" i="1"/>
  <c r="DA84" i="1"/>
  <c r="CZ85" i="1"/>
  <c r="CZ86" i="1" s="1"/>
  <c r="DB80" i="1" l="1"/>
  <c r="G48" i="24"/>
  <c r="DF117" i="1"/>
  <c r="DF132" i="1" s="1"/>
  <c r="DG116" i="1"/>
  <c r="DG117" i="1" s="1"/>
  <c r="DC68" i="1"/>
  <c r="DE101" i="1"/>
  <c r="DB84" i="1"/>
  <c r="DA85" i="1"/>
  <c r="DA86" i="1" s="1"/>
  <c r="DD8" i="1"/>
  <c r="DC80" i="1" l="1"/>
  <c r="DG132" i="1"/>
  <c r="DD68" i="1"/>
  <c r="DF101" i="1"/>
  <c r="DE8" i="1"/>
  <c r="DC84" i="1"/>
  <c r="DB85" i="1"/>
  <c r="DB86" i="1" s="1"/>
  <c r="DD80" i="1" l="1"/>
  <c r="DE68" i="1"/>
  <c r="DG101" i="1"/>
  <c r="DD84" i="1"/>
  <c r="DC85" i="1"/>
  <c r="DC86" i="1" s="1"/>
  <c r="DF8" i="1"/>
  <c r="DE80" i="1" l="1"/>
  <c r="DF68" i="1"/>
  <c r="DG8" i="1"/>
  <c r="DE84" i="1"/>
  <c r="DD85" i="1"/>
  <c r="DD86" i="1" s="1"/>
  <c r="DF80" i="1" l="1"/>
  <c r="DG68" i="1"/>
  <c r="D20" i="5"/>
  <c r="E20" i="5"/>
  <c r="F20" i="5"/>
  <c r="G20" i="5"/>
  <c r="H20" i="5"/>
  <c r="I20" i="5"/>
  <c r="J20" i="5"/>
  <c r="K20" i="5"/>
  <c r="DF84" i="1"/>
  <c r="DE85" i="1"/>
  <c r="DE86" i="1" s="1"/>
  <c r="DG80" i="1" l="1"/>
  <c r="DG84" i="1"/>
  <c r="DF85" i="1"/>
  <c r="DF86" i="1" s="1"/>
  <c r="DG85" i="1" l="1"/>
  <c r="DG86" i="1" s="1"/>
  <c r="J42" i="5"/>
  <c r="K42" i="5"/>
  <c r="Q138" i="1"/>
  <c r="R138" i="1"/>
  <c r="S138" i="1"/>
  <c r="T138" i="1"/>
  <c r="U138" i="1"/>
  <c r="D13" i="6" l="1"/>
  <c r="E13" i="6"/>
  <c r="F13" i="6"/>
  <c r="G13" i="6"/>
  <c r="H13" i="6"/>
  <c r="I13" i="6"/>
  <c r="C21" i="6" l="1"/>
  <c r="H26" i="6"/>
  <c r="G26" i="6"/>
  <c r="F26" i="6"/>
  <c r="I26" i="6"/>
  <c r="D26" i="6"/>
  <c r="C26" i="6"/>
  <c r="C13" i="6"/>
  <c r="E26" i="6" l="1"/>
  <c r="P26" i="6" s="1"/>
  <c r="H12" i="6"/>
  <c r="H16" i="6" s="1"/>
  <c r="E12" i="6"/>
  <c r="E16" i="6" s="1"/>
  <c r="F12" i="6"/>
  <c r="F16" i="6" s="1"/>
  <c r="G12" i="6"/>
  <c r="G16" i="6" s="1"/>
  <c r="I12" i="6"/>
  <c r="I16" i="6" s="1"/>
  <c r="D12" i="6"/>
  <c r="D16" i="6" s="1"/>
  <c r="C12" i="6"/>
  <c r="C16" i="6" s="1"/>
  <c r="F17" i="6" l="1"/>
  <c r="D17" i="6"/>
  <c r="E17" i="6"/>
  <c r="I17" i="6"/>
  <c r="H17" i="6"/>
  <c r="C23" i="6"/>
  <c r="C24" i="6" s="1"/>
  <c r="C17" i="6"/>
  <c r="G17" i="6"/>
  <c r="Q47" i="1" l="1"/>
  <c r="Q48" i="1"/>
  <c r="C27" i="6"/>
  <c r="C28" i="6" s="1"/>
  <c r="D19" i="6" l="1"/>
  <c r="D19" i="15"/>
  <c r="D30" i="6" l="1"/>
  <c r="D31" i="6" s="1"/>
  <c r="E19" i="15"/>
  <c r="E19" i="6"/>
  <c r="E21" i="6" s="1"/>
  <c r="E23" i="6" s="1"/>
  <c r="E30" i="6"/>
  <c r="D21" i="6"/>
  <c r="D23" i="6" s="1"/>
  <c r="E31" i="6" l="1"/>
  <c r="F19" i="6"/>
  <c r="F19" i="15"/>
  <c r="F30" i="6"/>
  <c r="F31" i="6" s="1"/>
  <c r="D27" i="6"/>
  <c r="D28" i="6" s="1"/>
  <c r="D24" i="6"/>
  <c r="E24" i="6"/>
  <c r="E27" i="6"/>
  <c r="E28" i="6" s="1"/>
  <c r="G19" i="6" l="1"/>
  <c r="G21" i="6" s="1"/>
  <c r="G23" i="6" s="1"/>
  <c r="G19" i="15"/>
  <c r="G30" i="6"/>
  <c r="G31" i="6" s="1"/>
  <c r="F21" i="6"/>
  <c r="F23" i="6" s="1"/>
  <c r="H19" i="15" l="1"/>
  <c r="H19" i="6"/>
  <c r="H21" i="6" s="1"/>
  <c r="H23" i="6" s="1"/>
  <c r="F24" i="6"/>
  <c r="F27" i="6"/>
  <c r="F28" i="6" s="1"/>
  <c r="G24" i="6"/>
  <c r="G27" i="6"/>
  <c r="G28" i="6" s="1"/>
  <c r="H30" i="6"/>
  <c r="H31" i="6" s="1"/>
  <c r="I19" i="6" l="1"/>
  <c r="I21" i="6" s="1"/>
  <c r="I23" i="6" s="1"/>
  <c r="I19" i="15"/>
  <c r="H24" i="6"/>
  <c r="H27" i="6"/>
  <c r="H28" i="6" s="1"/>
  <c r="I30" i="6"/>
  <c r="I31" i="6" s="1"/>
  <c r="J19" i="6" l="1"/>
  <c r="J21" i="6" s="1"/>
  <c r="J23" i="6" s="1"/>
  <c r="J19" i="15"/>
  <c r="I24" i="6"/>
  <c r="I27" i="6"/>
  <c r="I28" i="6" s="1"/>
  <c r="J30" i="6"/>
  <c r="J31" i="6" s="1"/>
  <c r="K19" i="15" l="1"/>
  <c r="K19" i="6"/>
  <c r="K21" i="6" s="1"/>
  <c r="K23" i="6" s="1"/>
  <c r="J27" i="6"/>
  <c r="J28" i="6" s="1"/>
  <c r="J24" i="6"/>
  <c r="K30" i="6"/>
  <c r="K31" i="6" s="1"/>
  <c r="K27" i="6" l="1"/>
  <c r="K28" i="6" s="1"/>
  <c r="K24" i="6"/>
  <c r="L19" i="6"/>
  <c r="L21" i="6" s="1"/>
  <c r="L23" i="6" s="1"/>
  <c r="L19" i="15"/>
  <c r="L30" i="6"/>
  <c r="L31" i="6" s="1"/>
  <c r="M19" i="6" l="1"/>
  <c r="M21" i="6" s="1"/>
  <c r="M19" i="15"/>
  <c r="L27" i="6"/>
  <c r="L28" i="6" s="1"/>
  <c r="L24" i="6"/>
  <c r="N19" i="6" l="1"/>
  <c r="N21" i="6" s="1"/>
  <c r="N19" i="15"/>
  <c r="P19" i="6" l="1"/>
  <c r="P21" i="6" s="1"/>
  <c r="P19" i="15"/>
  <c r="D36" i="5" l="1"/>
  <c r="M12" i="6"/>
  <c r="R46" i="1" l="1"/>
  <c r="M14" i="6"/>
  <c r="M16" i="6" s="1"/>
  <c r="M23" i="6" l="1"/>
  <c r="M17" i="6"/>
  <c r="M24" i="6" l="1"/>
  <c r="M27" i="6"/>
  <c r="M28" i="6" s="1"/>
  <c r="M30" i="6" l="1"/>
  <c r="M31" i="6" s="1"/>
  <c r="N12" i="6" l="1"/>
  <c r="R47" i="1" l="1"/>
  <c r="P12" i="6"/>
  <c r="P14" i="6" s="1"/>
  <c r="P16" i="6" s="1"/>
  <c r="N14" i="6"/>
  <c r="N16" i="6" s="1"/>
  <c r="R45" i="1" l="1"/>
  <c r="R49" i="1" s="1"/>
  <c r="P17" i="6"/>
  <c r="P23" i="6"/>
  <c r="N23" i="6"/>
  <c r="N17" i="6"/>
  <c r="R50" i="1" l="1"/>
  <c r="N27" i="6"/>
  <c r="N28" i="6" s="1"/>
  <c r="N24" i="6"/>
  <c r="P27" i="6"/>
  <c r="P28" i="6" s="1"/>
  <c r="P24" i="6"/>
  <c r="P38" i="1" l="1"/>
  <c r="P40" i="1" s="1"/>
  <c r="N30" i="6" l="1"/>
  <c r="N31" i="6" s="1"/>
  <c r="P142" i="1" l="1"/>
  <c r="C12" i="15" l="1"/>
  <c r="C14" i="15" l="1"/>
  <c r="C16" i="15" s="1"/>
  <c r="C20" i="15"/>
  <c r="C22" i="15" l="1"/>
  <c r="C17" i="15"/>
  <c r="P124" i="1"/>
  <c r="C26" i="15" l="1"/>
  <c r="C27" i="15" s="1"/>
  <c r="C23" i="15"/>
  <c r="D20" i="15" l="1"/>
  <c r="P101" i="1" l="1"/>
  <c r="P100" i="1"/>
  <c r="P112" i="1" l="1"/>
  <c r="P113" i="1" s="1"/>
  <c r="P126" i="1" s="1"/>
  <c r="P131" i="1"/>
  <c r="P133" i="1" s="1"/>
  <c r="Q131" i="1"/>
  <c r="P140" i="1" l="1"/>
  <c r="Q101" i="1"/>
  <c r="D12" i="15"/>
  <c r="Q61" i="1"/>
  <c r="Q81" i="1" s="1"/>
  <c r="Q28" i="1"/>
  <c r="Q38" i="1" l="1"/>
  <c r="Q40" i="1" s="1"/>
  <c r="R38" i="1"/>
  <c r="R40" i="1" s="1"/>
  <c r="S38" i="1"/>
  <c r="S40" i="1" s="1"/>
  <c r="Q41" i="1"/>
  <c r="Q87" i="1"/>
  <c r="R123" i="1" s="1"/>
  <c r="R124" i="1" s="1"/>
  <c r="R126" i="1" s="1"/>
  <c r="P143" i="1"/>
  <c r="C30" i="15"/>
  <c r="E12" i="15"/>
  <c r="E14" i="15" s="1"/>
  <c r="E16" i="15" s="1"/>
  <c r="D14" i="15"/>
  <c r="D16" i="15" s="1"/>
  <c r="S123" i="1" l="1"/>
  <c r="S124" i="1" s="1"/>
  <c r="S126" i="1" s="1"/>
  <c r="Q130" i="1"/>
  <c r="Q133" i="1" s="1"/>
  <c r="Q140" i="1" s="1"/>
  <c r="Q123" i="1"/>
  <c r="Q124" i="1" s="1"/>
  <c r="Q126" i="1" s="1"/>
  <c r="P144" i="1"/>
  <c r="C29" i="15"/>
  <c r="Q142" i="1"/>
  <c r="E17" i="15"/>
  <c r="D17" i="15"/>
  <c r="D22" i="15"/>
  <c r="R131" i="1"/>
  <c r="Q143" i="1" l="1"/>
  <c r="R142" i="1" s="1"/>
  <c r="D30" i="15"/>
  <c r="R130" i="1"/>
  <c r="R133" i="1" s="1"/>
  <c r="R140" i="1" s="1"/>
  <c r="F20" i="15"/>
  <c r="D26" i="15"/>
  <c r="D27" i="15" s="1"/>
  <c r="D23" i="15"/>
  <c r="E20" i="15"/>
  <c r="E22" i="15" s="1"/>
  <c r="Q144" i="1" l="1"/>
  <c r="D29" i="15"/>
  <c r="T123" i="1"/>
  <c r="T124" i="1" s="1"/>
  <c r="T126" i="1" s="1"/>
  <c r="V122" i="1"/>
  <c r="W122" i="1" s="1"/>
  <c r="U123" i="1"/>
  <c r="U124" i="1" s="1"/>
  <c r="U126" i="1" s="1"/>
  <c r="G20" i="15"/>
  <c r="E23" i="15"/>
  <c r="E26" i="15"/>
  <c r="E27" i="15" s="1"/>
  <c r="E30" i="15"/>
  <c r="R143" i="1"/>
  <c r="W123" i="1" l="1"/>
  <c r="W124" i="1" s="1"/>
  <c r="W126" i="1" s="1"/>
  <c r="X122" i="1"/>
  <c r="Y122" i="1" s="1"/>
  <c r="Y123" i="1" s="1"/>
  <c r="Y124" i="1" s="1"/>
  <c r="Y126" i="1" s="1"/>
  <c r="V123" i="1"/>
  <c r="V124" i="1" s="1"/>
  <c r="V126" i="1" s="1"/>
  <c r="R144" i="1"/>
  <c r="S142" i="1"/>
  <c r="E29" i="15"/>
  <c r="H20" i="15"/>
  <c r="X123" i="1" l="1"/>
  <c r="X124" i="1" s="1"/>
  <c r="X126" i="1" s="1"/>
  <c r="I20" i="15"/>
  <c r="J20" i="15" l="1"/>
  <c r="K20" i="15" l="1"/>
  <c r="L20" i="15" l="1"/>
  <c r="M20" i="15" l="1"/>
  <c r="N20" i="15" l="1"/>
  <c r="P20" i="15"/>
  <c r="D37" i="5" l="1"/>
  <c r="S131" i="1"/>
  <c r="F12" i="15"/>
  <c r="F14" i="15" s="1"/>
  <c r="F16" i="15" s="1"/>
  <c r="S28" i="1"/>
  <c r="S130" i="1" l="1"/>
  <c r="S133" i="1" s="1"/>
  <c r="S140" i="1" s="1"/>
  <c r="G12" i="15"/>
  <c r="G14" i="15" s="1"/>
  <c r="G16" i="15" s="1"/>
  <c r="F17" i="15"/>
  <c r="F22" i="15"/>
  <c r="I12" i="15" l="1"/>
  <c r="I14" i="15" s="1"/>
  <c r="I16" i="15" s="1"/>
  <c r="G17" i="15"/>
  <c r="G22" i="15"/>
  <c r="S143" i="1"/>
  <c r="F30" i="15"/>
  <c r="F26" i="15"/>
  <c r="F27" i="15" s="1"/>
  <c r="F23" i="15"/>
  <c r="T130" i="1" l="1"/>
  <c r="G23" i="15"/>
  <c r="G26" i="15"/>
  <c r="G27" i="15" s="1"/>
  <c r="F29" i="15"/>
  <c r="S144" i="1"/>
  <c r="T142" i="1"/>
  <c r="H12" i="15"/>
  <c r="I17" i="15"/>
  <c r="I22" i="15"/>
  <c r="T131" i="1"/>
  <c r="I26" i="15" l="1"/>
  <c r="I27" i="15" s="1"/>
  <c r="I23" i="15"/>
  <c r="V130" i="1"/>
  <c r="H14" i="15"/>
  <c r="H16" i="15" s="1"/>
  <c r="V131" i="1"/>
  <c r="T133" i="1"/>
  <c r="T140" i="1" l="1"/>
  <c r="T143" i="1" s="1"/>
  <c r="V133" i="1"/>
  <c r="U130" i="1"/>
  <c r="U131" i="1"/>
  <c r="H17" i="15"/>
  <c r="H22" i="15"/>
  <c r="G30" i="15" l="1"/>
  <c r="V140" i="1"/>
  <c r="I30" i="15" s="1"/>
  <c r="U142" i="1"/>
  <c r="G29" i="15"/>
  <c r="H26" i="15"/>
  <c r="H27" i="15" s="1"/>
  <c r="H23" i="15"/>
  <c r="U133" i="1"/>
  <c r="T144" i="1"/>
  <c r="U140" i="1" l="1"/>
  <c r="U143" i="1" l="1"/>
  <c r="H30" i="15"/>
  <c r="U144" i="1" l="1"/>
  <c r="H29" i="15"/>
  <c r="V142" i="1"/>
  <c r="V143" i="1" s="1"/>
  <c r="W142" i="1" s="1"/>
  <c r="W143" i="1" s="1"/>
  <c r="W144" i="1" s="1"/>
  <c r="I29" i="15" l="1"/>
  <c r="V144" i="1"/>
  <c r="AM28" i="1" l="1"/>
  <c r="AN28" i="1" s="1"/>
  <c r="AO28" i="1" l="1"/>
  <c r="AP28" i="1" l="1"/>
  <c r="AQ28" i="1" l="1"/>
  <c r="AR28" i="1" l="1"/>
  <c r="AS28" i="1" l="1"/>
  <c r="AT28" i="1" l="1"/>
  <c r="AU28" i="1" l="1"/>
  <c r="AV28" i="1" l="1"/>
  <c r="AW28" i="1" l="1"/>
  <c r="AX28" i="1" l="1"/>
  <c r="AY28" i="1" l="1"/>
  <c r="AZ28" i="1" s="1"/>
  <c r="BA28" i="1" s="1"/>
  <c r="BB28" i="1" s="1"/>
  <c r="BC28" i="1" s="1"/>
  <c r="BD28" i="1" s="1"/>
  <c r="BE28" i="1" s="1"/>
  <c r="BF28" i="1" s="1"/>
  <c r="BG28" i="1" s="1"/>
  <c r="BH28" i="1" s="1"/>
  <c r="BI28" i="1" s="1"/>
  <c r="BJ28" i="1" s="1"/>
  <c r="BK28" i="1" s="1"/>
  <c r="BL28" i="1" s="1"/>
  <c r="BM28" i="1" s="1"/>
  <c r="BN28" i="1" s="1"/>
  <c r="BO28" i="1" s="1"/>
  <c r="BP28" i="1" s="1"/>
  <c r="BQ28" i="1" s="1"/>
  <c r="BR28" i="1" s="1"/>
  <c r="BS28" i="1" s="1"/>
  <c r="BT28" i="1" s="1"/>
  <c r="BU28" i="1" s="1"/>
  <c r="BV28" i="1" s="1"/>
  <c r="BW28" i="1" s="1"/>
  <c r="BX28" i="1" s="1"/>
  <c r="BY28" i="1" s="1"/>
  <c r="BZ28" i="1" s="1"/>
  <c r="CA28" i="1" s="1"/>
  <c r="CB28" i="1" s="1"/>
  <c r="CC28" i="1" s="1"/>
  <c r="CD28" i="1" s="1"/>
  <c r="CE28" i="1" s="1"/>
  <c r="CF28" i="1" s="1"/>
  <c r="CG28" i="1" s="1"/>
  <c r="CH28" i="1" s="1"/>
  <c r="CI28" i="1" s="1"/>
  <c r="CJ28" i="1" s="1"/>
  <c r="CK28" i="1" s="1"/>
  <c r="CL28" i="1" s="1"/>
  <c r="CM28" i="1" s="1"/>
  <c r="CN28" i="1" s="1"/>
  <c r="CO28" i="1" s="1"/>
  <c r="CP28" i="1" s="1"/>
  <c r="CQ28" i="1" s="1"/>
  <c r="CR28" i="1" s="1"/>
  <c r="CS28" i="1" s="1"/>
  <c r="CT28" i="1" s="1"/>
  <c r="CU28" i="1" s="1"/>
  <c r="CV28" i="1" s="1"/>
  <c r="CW28" i="1" s="1"/>
  <c r="CX28" i="1" s="1"/>
  <c r="CY28" i="1" s="1"/>
  <c r="CZ28" i="1" s="1"/>
  <c r="DA28" i="1" s="1"/>
  <c r="DB28" i="1" s="1"/>
  <c r="DC28" i="1" s="1"/>
  <c r="DD28" i="1" s="1"/>
  <c r="DE28" i="1" s="1"/>
  <c r="DF28" i="1" s="1"/>
  <c r="DG28" i="1" s="1"/>
  <c r="J12" i="15" l="1"/>
  <c r="K12" i="15" l="1"/>
  <c r="K14" i="15" s="1"/>
  <c r="K16" i="15" s="1"/>
  <c r="J14" i="15"/>
  <c r="J16" i="15" s="1"/>
  <c r="X131" i="1" l="1"/>
  <c r="K22" i="15"/>
  <c r="K17" i="15"/>
  <c r="J17" i="15"/>
  <c r="J22" i="15"/>
  <c r="X36" i="1" l="1"/>
  <c r="X130" i="1"/>
  <c r="X133" i="1" s="1"/>
  <c r="K26" i="15"/>
  <c r="K27" i="15" s="1"/>
  <c r="K23" i="15"/>
  <c r="J23" i="15"/>
  <c r="J26" i="15"/>
  <c r="J27" i="15" s="1"/>
  <c r="J30" i="15"/>
  <c r="Y38" i="1" l="1"/>
  <c r="Y40" i="1" s="1"/>
  <c r="X38" i="1"/>
  <c r="X40" i="1" s="1"/>
  <c r="X140" i="1"/>
  <c r="X41" i="1"/>
  <c r="J29" i="15"/>
  <c r="X142" i="1"/>
  <c r="K30" i="15" l="1"/>
  <c r="X143" i="1"/>
  <c r="Y142" i="1" l="1"/>
  <c r="X144" i="1"/>
  <c r="K29" i="15"/>
  <c r="Q45" i="1"/>
  <c r="Q50" i="1" s="1"/>
  <c r="Q49" i="1" l="1"/>
  <c r="L12" i="15" l="1"/>
  <c r="L14" i="15" l="1"/>
  <c r="L16" i="15" s="1"/>
  <c r="Y131" i="1" l="1"/>
  <c r="L22" i="15"/>
  <c r="L17" i="15"/>
  <c r="Y130" i="1" l="1"/>
  <c r="Y133" i="1" s="1"/>
  <c r="L26" i="15"/>
  <c r="L27" i="15" s="1"/>
  <c r="L23" i="15"/>
  <c r="Y140" i="1" l="1"/>
  <c r="Y143" i="1" s="1"/>
  <c r="N12" i="15"/>
  <c r="L30" i="15" l="1"/>
  <c r="Y144" i="1"/>
  <c r="L29" i="15"/>
  <c r="Z142" i="1"/>
  <c r="N14" i="15"/>
  <c r="N16" i="15" s="1"/>
  <c r="N22" i="15" s="1"/>
  <c r="N17" i="15" l="1"/>
  <c r="N23" i="15"/>
  <c r="N26" i="15"/>
  <c r="N27" i="15" s="1"/>
  <c r="S48" i="1" l="1"/>
  <c r="AM42" i="1" l="1"/>
  <c r="AN42" i="1" l="1"/>
  <c r="AO42" i="1" l="1"/>
  <c r="AP42" i="1" l="1"/>
  <c r="AQ42" i="1" l="1"/>
  <c r="AR42" i="1" l="1"/>
  <c r="AS42" i="1" l="1"/>
  <c r="AT42" i="1" l="1"/>
  <c r="T48" i="1" l="1"/>
  <c r="AU42" i="1" l="1"/>
  <c r="AV42" i="1" l="1"/>
  <c r="T46" i="1"/>
  <c r="AW42" i="1" l="1"/>
  <c r="AX42" i="1" l="1"/>
  <c r="AY42" i="1" l="1"/>
  <c r="AZ42" i="1" l="1"/>
  <c r="BA42" i="1" l="1"/>
  <c r="BB42" i="1" l="1"/>
  <c r="BC42" i="1" l="1"/>
  <c r="BD42" i="1" l="1"/>
  <c r="BE42" i="1" l="1"/>
  <c r="BF42" i="1" l="1"/>
  <c r="U48" i="1" l="1"/>
  <c r="BG42" i="1" l="1"/>
  <c r="BH42" i="1" l="1"/>
  <c r="U46" i="1"/>
  <c r="U47" i="1"/>
  <c r="U45" i="1" l="1"/>
  <c r="U49" i="1" s="1"/>
  <c r="BI42" i="1"/>
  <c r="U50" i="1" l="1"/>
  <c r="BJ42" i="1" l="1"/>
  <c r="BK42" i="1" l="1"/>
  <c r="BL42" i="1" l="1"/>
  <c r="BM42" i="1" l="1"/>
  <c r="BN42" i="1" l="1"/>
  <c r="BO42" i="1" l="1"/>
  <c r="BP42" i="1" l="1"/>
  <c r="S46" i="1"/>
  <c r="S47" i="1"/>
  <c r="T47" i="1"/>
  <c r="T45" i="1" l="1"/>
  <c r="T49" i="1" s="1"/>
  <c r="S45" i="1"/>
  <c r="S49" i="1" s="1"/>
  <c r="BQ42" i="1" l="1"/>
  <c r="T50" i="1"/>
  <c r="S50" i="1"/>
  <c r="BR42" i="1" l="1"/>
  <c r="V48" i="1" l="1"/>
  <c r="BS42" i="1" l="1"/>
  <c r="V47" i="1" l="1"/>
  <c r="V46" i="1"/>
  <c r="BT42" i="1"/>
  <c r="V45" i="1" l="1"/>
  <c r="V49" i="1" s="1"/>
  <c r="V50" i="1" l="1"/>
  <c r="BU42" i="1"/>
  <c r="BV42" i="1" l="1"/>
  <c r="BW42" i="1" l="1"/>
  <c r="BX42" i="1" l="1"/>
  <c r="BY42" i="1" l="1"/>
  <c r="BZ42" i="1" l="1"/>
  <c r="AA48" i="1" l="1"/>
  <c r="AE48" i="1"/>
  <c r="AC48" i="1"/>
  <c r="AB48" i="1"/>
  <c r="AD48" i="1"/>
  <c r="CA42" i="1"/>
  <c r="Z48" i="1"/>
  <c r="CB42" i="1" l="1"/>
  <c r="CC42" i="1" l="1"/>
  <c r="CD42" i="1" l="1"/>
  <c r="Y48" i="1" l="1"/>
  <c r="CE42" i="1"/>
  <c r="X48" i="1"/>
  <c r="W48" i="1"/>
  <c r="CF42" i="1" l="1"/>
  <c r="AE46" i="1"/>
  <c r="AA46" i="1"/>
  <c r="AC46" i="1"/>
  <c r="Z46" i="1"/>
  <c r="AB46" i="1"/>
  <c r="AD46" i="1"/>
  <c r="CG42" i="1" l="1"/>
  <c r="CH42" i="1" l="1"/>
  <c r="CI42" i="1" l="1"/>
  <c r="CJ42" i="1" l="1"/>
  <c r="CK42" i="1" l="1"/>
  <c r="CL42" i="1" l="1"/>
  <c r="AF48" i="1" l="1"/>
  <c r="CM42" i="1"/>
  <c r="CN42" i="1" l="1"/>
  <c r="CO42" i="1" l="1"/>
  <c r="CP42" i="1" l="1"/>
  <c r="CQ42" i="1" l="1"/>
  <c r="CR42" i="1" l="1"/>
  <c r="AF46" i="1"/>
  <c r="CS42" i="1" l="1"/>
  <c r="CT42" i="1" l="1"/>
  <c r="CU42" i="1" l="1"/>
  <c r="CV42" i="1" l="1"/>
  <c r="CW42" i="1" l="1"/>
  <c r="CX42" i="1" l="1"/>
  <c r="CY42" i="1" l="1"/>
  <c r="CZ42" i="1" l="1"/>
  <c r="DA42" i="1" l="1"/>
  <c r="DB42" i="1" l="1"/>
  <c r="DC42" i="1" l="1"/>
  <c r="DD42" i="1" l="1"/>
  <c r="DE42" i="1" l="1"/>
  <c r="DF42" i="1" l="1"/>
  <c r="G22" i="24" l="1"/>
  <c r="G32" i="24" s="1"/>
  <c r="W46" i="1"/>
  <c r="W47" i="1"/>
  <c r="AA47" i="1" l="1"/>
  <c r="AA45" i="1" s="1"/>
  <c r="AA49" i="1" s="1"/>
  <c r="AB47" i="1"/>
  <c r="AC47" i="1"/>
  <c r="AD47" i="1"/>
  <c r="AE47" i="1"/>
  <c r="Z47" i="1"/>
  <c r="Z45" i="1" s="1"/>
  <c r="Z49" i="1" s="1"/>
  <c r="AF47" i="1"/>
  <c r="Y46" i="1"/>
  <c r="Y47" i="1"/>
  <c r="X46" i="1"/>
  <c r="X47" i="1"/>
  <c r="DG42" i="1"/>
  <c r="W45" i="1"/>
  <c r="W49" i="1" s="1"/>
  <c r="G38" i="24" l="1"/>
  <c r="G33" i="24"/>
  <c r="AE45" i="1"/>
  <c r="AE49" i="1" s="1"/>
  <c r="AD45" i="1"/>
  <c r="AD49" i="1" s="1"/>
  <c r="AC45" i="1"/>
  <c r="AC49" i="1" s="1"/>
  <c r="AB45" i="1"/>
  <c r="AB49" i="1" s="1"/>
  <c r="AA50" i="1"/>
  <c r="AF45" i="1"/>
  <c r="AF49" i="1" s="1"/>
  <c r="H45" i="1"/>
  <c r="H50" i="1" s="1"/>
  <c r="Z50" i="1"/>
  <c r="Y45" i="1"/>
  <c r="Y49" i="1" s="1"/>
  <c r="X45" i="1"/>
  <c r="X49" i="1" s="1"/>
  <c r="W50" i="1"/>
  <c r="H49" i="1" l="1"/>
  <c r="G39" i="24"/>
  <c r="G42" i="24"/>
  <c r="G43" i="24" s="1"/>
  <c r="AC50" i="1"/>
  <c r="AD50" i="1"/>
  <c r="AB50" i="1"/>
  <c r="AE50" i="1"/>
  <c r="AF50" i="1"/>
  <c r="Y50" i="1"/>
  <c r="X50" i="1"/>
  <c r="D19" i="5" l="1"/>
  <c r="D21" i="5" s="1"/>
  <c r="D32" i="5" s="1"/>
  <c r="D33" i="5" s="1"/>
  <c r="M12" i="15"/>
  <c r="P12" i="15" s="1"/>
  <c r="P14" i="15" s="1"/>
  <c r="P16" i="15" s="1"/>
  <c r="Z131" i="1"/>
  <c r="Z28" i="1"/>
  <c r="Z81" i="1"/>
  <c r="Z87" i="1" s="1"/>
  <c r="Z122" i="1" s="1"/>
  <c r="AA122" i="1" s="1"/>
  <c r="Z35" i="1" l="1"/>
  <c r="AA123" i="1"/>
  <c r="AA124" i="1" s="1"/>
  <c r="AA126" i="1" s="1"/>
  <c r="Z123" i="1"/>
  <c r="Z124" i="1" s="1"/>
  <c r="Z126" i="1" s="1"/>
  <c r="Z36" i="1"/>
  <c r="M14" i="15"/>
  <c r="M16" i="15" s="1"/>
  <c r="M22" i="15" s="1"/>
  <c r="M26" i="15" s="1"/>
  <c r="M27" i="15" s="1"/>
  <c r="P17" i="15"/>
  <c r="P22" i="15"/>
  <c r="D39" i="5"/>
  <c r="AE38" i="1" l="1"/>
  <c r="AE40" i="1" s="1"/>
  <c r="AB38" i="1"/>
  <c r="AB40" i="1" s="1"/>
  <c r="AC38" i="1"/>
  <c r="AC40" i="1" s="1"/>
  <c r="AD38" i="1"/>
  <c r="AD40" i="1" s="1"/>
  <c r="AA38" i="1"/>
  <c r="AA40" i="1" s="1"/>
  <c r="AB123" i="1"/>
  <c r="AB124" i="1" s="1"/>
  <c r="AB126" i="1" s="1"/>
  <c r="AC122" i="1"/>
  <c r="N30" i="15"/>
  <c r="M23" i="15"/>
  <c r="Z41" i="1"/>
  <c r="M17" i="15"/>
  <c r="Z38" i="1"/>
  <c r="Z40" i="1" s="1"/>
  <c r="Z130" i="1"/>
  <c r="Z133" i="1" s="1"/>
  <c r="D43" i="5"/>
  <c r="D44" i="5" s="1"/>
  <c r="D40" i="5"/>
  <c r="P23" i="15"/>
  <c r="P26" i="15"/>
  <c r="P27" i="15" s="1"/>
  <c r="Z140" i="1" l="1"/>
  <c r="Z143" i="1" s="1"/>
  <c r="AA142" i="1" s="1"/>
  <c r="AA143" i="1" s="1"/>
  <c r="AC123" i="1"/>
  <c r="AC124" i="1" s="1"/>
  <c r="AC126" i="1" s="1"/>
  <c r="AD122" i="1"/>
  <c r="M30" i="15" l="1"/>
  <c r="AA144" i="1"/>
  <c r="AB142" i="1"/>
  <c r="AB143" i="1" s="1"/>
  <c r="C47" i="24" s="1"/>
  <c r="AD123" i="1"/>
  <c r="AD124" i="1" s="1"/>
  <c r="AD126" i="1" s="1"/>
  <c r="AE122" i="1"/>
  <c r="M29" i="15"/>
  <c r="Z144" i="1"/>
  <c r="C54" i="24" l="1"/>
  <c r="AE123" i="1"/>
  <c r="AE124" i="1" s="1"/>
  <c r="AE126" i="1" s="1"/>
  <c r="AF122" i="1"/>
  <c r="AG122" i="1" s="1"/>
  <c r="AH122" i="1" s="1"/>
  <c r="AB144" i="1"/>
  <c r="AC142" i="1"/>
  <c r="AC143" i="1" s="1"/>
  <c r="D47" i="24" s="1"/>
  <c r="AH123" i="1" l="1"/>
  <c r="AH124" i="1" s="1"/>
  <c r="AH126" i="1" s="1"/>
  <c r="AI122" i="1"/>
  <c r="AG123" i="1"/>
  <c r="AG124" i="1" s="1"/>
  <c r="AG126" i="1" s="1"/>
  <c r="D54" i="24"/>
  <c r="AF123" i="1"/>
  <c r="AF124" i="1" s="1"/>
  <c r="AF126" i="1" s="1"/>
  <c r="AC144" i="1"/>
  <c r="AD142" i="1"/>
  <c r="AD143" i="1" s="1"/>
  <c r="AI123" i="1" l="1"/>
  <c r="AI124" i="1" s="1"/>
  <c r="AI126" i="1" s="1"/>
  <c r="AJ122" i="1"/>
  <c r="E47" i="24"/>
  <c r="E54" i="24" s="1"/>
  <c r="C36" i="26"/>
  <c r="AD144" i="1"/>
  <c r="AE142" i="1"/>
  <c r="AE143" i="1" s="1"/>
  <c r="AJ123" i="1" l="1"/>
  <c r="AJ124" i="1" s="1"/>
  <c r="AJ126" i="1" s="1"/>
  <c r="AK122" i="1"/>
  <c r="AK123" i="1" s="1"/>
  <c r="AK124" i="1" s="1"/>
  <c r="AK126" i="1" s="1"/>
  <c r="AF142" i="1"/>
  <c r="AF143" i="1" s="1"/>
  <c r="G47" i="24" s="1"/>
  <c r="F47" i="24"/>
  <c r="AE144" i="1"/>
  <c r="N29" i="15"/>
  <c r="AF144" i="1" l="1"/>
  <c r="AG142" i="1"/>
  <c r="F54" i="24"/>
  <c r="G54" i="24"/>
  <c r="H23" i="24" l="1"/>
  <c r="H25" i="24" l="1"/>
  <c r="H4" i="25"/>
  <c r="I25" i="24" l="1"/>
  <c r="H35" i="24"/>
  <c r="H36" i="24" s="1"/>
  <c r="H49" i="24" l="1"/>
  <c r="H28" i="24"/>
  <c r="AG131" i="1"/>
  <c r="H20" i="24"/>
  <c r="H29" i="24"/>
  <c r="AG36" i="1" l="1"/>
  <c r="AG38" i="1" s="1"/>
  <c r="H22" i="24"/>
  <c r="H24" i="24"/>
  <c r="H30" i="24"/>
  <c r="AG40" i="1" l="1"/>
  <c r="AG41" i="1"/>
  <c r="AG130" i="1"/>
  <c r="AG133" i="1" s="1"/>
  <c r="H32" i="24"/>
  <c r="H50" i="24" l="1"/>
  <c r="H33" i="24"/>
  <c r="H38" i="24"/>
  <c r="J23" i="24"/>
  <c r="J25" i="24" l="1"/>
  <c r="AG140" i="1"/>
  <c r="D37" i="26" s="1"/>
  <c r="E37" i="26" s="1"/>
  <c r="H42" i="24"/>
  <c r="H43" i="24" s="1"/>
  <c r="H39" i="24"/>
  <c r="H48" i="24" l="1"/>
  <c r="AG143" i="1"/>
  <c r="H45" i="24"/>
  <c r="H47" i="24" l="1"/>
  <c r="H54" i="24" s="1"/>
  <c r="D36" i="26"/>
  <c r="AG144" i="1"/>
  <c r="AH142" i="1"/>
  <c r="J20" i="24"/>
  <c r="J28" i="24"/>
  <c r="H53" i="24"/>
  <c r="J29" i="24"/>
  <c r="J24" i="24" l="1"/>
  <c r="J30" i="24"/>
  <c r="J22" i="24"/>
  <c r="K23" i="24"/>
  <c r="K25" i="24" l="1"/>
  <c r="F16" i="26"/>
  <c r="G16" i="26" s="1"/>
  <c r="J32" i="24"/>
  <c r="J33" i="24" s="1"/>
  <c r="K29" i="24" l="1"/>
  <c r="AJ131" i="1"/>
  <c r="K28" i="24"/>
  <c r="L23" i="24"/>
  <c r="K20" i="24"/>
  <c r="L25" i="24" l="1"/>
  <c r="K30" i="24"/>
  <c r="K22" i="24"/>
  <c r="K24" i="24"/>
  <c r="K32" i="24" l="1"/>
  <c r="K33" i="24" s="1"/>
  <c r="L20" i="24" l="1"/>
  <c r="L29" i="24"/>
  <c r="AK131" i="1"/>
  <c r="L28" i="24"/>
  <c r="M23" i="24" l="1"/>
  <c r="L22" i="24"/>
  <c r="L30" i="24"/>
  <c r="AM32" i="1"/>
  <c r="AM33" i="1" s="1"/>
  <c r="L24" i="24" l="1"/>
  <c r="M25" i="24"/>
  <c r="L32" i="24"/>
  <c r="L33" i="24" s="1"/>
  <c r="AM16" i="1"/>
  <c r="AM14" i="1" l="1"/>
  <c r="AM18" i="1" s="1"/>
  <c r="M29" i="24" l="1"/>
  <c r="AM12" i="1"/>
  <c r="AM11" i="1" s="1"/>
  <c r="AL131" i="1"/>
  <c r="M28" i="24"/>
  <c r="M20" i="24"/>
  <c r="M22" i="24" s="1"/>
  <c r="H14" i="26" l="1"/>
  <c r="AM17" i="1"/>
  <c r="M30" i="24"/>
  <c r="M32" i="24" s="1"/>
  <c r="M33" i="24" s="1"/>
  <c r="AM26" i="1"/>
  <c r="N23" i="24"/>
  <c r="AM20" i="1"/>
  <c r="AM13" i="1" s="1"/>
  <c r="AN32" i="1"/>
  <c r="AN33" i="1" s="1"/>
  <c r="M24" i="24" l="1"/>
  <c r="N25" i="24"/>
  <c r="H16" i="26"/>
  <c r="K16" i="26" s="1"/>
  <c r="AN16" i="1"/>
  <c r="AN14" i="1" s="1"/>
  <c r="AM7" i="1"/>
  <c r="AN18" i="1" l="1"/>
  <c r="AN12" i="1" s="1"/>
  <c r="AM9" i="1"/>
  <c r="AM55" i="1"/>
  <c r="AM54" i="1"/>
  <c r="AM99" i="1"/>
  <c r="AM100" i="1" s="1"/>
  <c r="AN11" i="1" l="1"/>
  <c r="AN26" i="1" s="1"/>
  <c r="AN20" i="1"/>
  <c r="AN13" i="1" s="1"/>
  <c r="H18" i="26"/>
  <c r="H12" i="26"/>
  <c r="H13" i="26" s="1"/>
  <c r="AM34" i="1"/>
  <c r="AM37" i="1" s="1"/>
  <c r="N29" i="24"/>
  <c r="H19" i="26"/>
  <c r="AO32" i="1"/>
  <c r="AO33" i="1" s="1"/>
  <c r="AM131" i="1"/>
  <c r="N28" i="24"/>
  <c r="N20" i="24"/>
  <c r="N30" i="24" l="1"/>
  <c r="AN17" i="1"/>
  <c r="H20" i="26"/>
  <c r="H22" i="26" s="1"/>
  <c r="H23" i="26" s="1"/>
  <c r="AO16" i="1"/>
  <c r="AO14" i="1" s="1"/>
  <c r="AO18" i="1" s="1"/>
  <c r="AO12" i="1" s="1"/>
  <c r="AO11" i="1" s="1"/>
  <c r="AN7" i="1"/>
  <c r="AO19" i="1"/>
  <c r="AM35" i="1"/>
  <c r="N22" i="24"/>
  <c r="N32" i="24" l="1"/>
  <c r="AO17" i="1"/>
  <c r="N24" i="24"/>
  <c r="H15" i="26"/>
  <c r="AN55" i="1"/>
  <c r="AN99" i="1"/>
  <c r="AN100" i="1" s="1"/>
  <c r="AN54" i="1"/>
  <c r="AN9" i="1"/>
  <c r="AN34" i="1" s="1"/>
  <c r="AN37" i="1" s="1"/>
  <c r="AP19" i="1"/>
  <c r="N33" i="24" l="1"/>
  <c r="AO20" i="1"/>
  <c r="AO13" i="1" s="1"/>
  <c r="AP32" i="1"/>
  <c r="AP33" i="1" s="1"/>
  <c r="AQ19" i="1"/>
  <c r="AO26" i="1"/>
  <c r="AO27" i="1"/>
  <c r="AN131" i="1"/>
  <c r="AO30" i="1" l="1"/>
  <c r="AO7" i="1"/>
  <c r="P4" i="25"/>
  <c r="AO56" i="1" s="1"/>
  <c r="AN35" i="1"/>
  <c r="AR19" i="1"/>
  <c r="AP16" i="1"/>
  <c r="AS19" i="1" l="1"/>
  <c r="AP14" i="1"/>
  <c r="AP18" i="1" s="1"/>
  <c r="AP12" i="1" s="1"/>
  <c r="AP11" i="1" s="1"/>
  <c r="AO9" i="1"/>
  <c r="AO34" i="1" s="1"/>
  <c r="AO37" i="1" s="1"/>
  <c r="AO54" i="1"/>
  <c r="AO99" i="1"/>
  <c r="AO100" i="1" s="1"/>
  <c r="AO55" i="1"/>
  <c r="AO57" i="1" l="1"/>
  <c r="AO82" i="1" s="1"/>
  <c r="AP17" i="1"/>
  <c r="AO131" i="1"/>
  <c r="AT19" i="1"/>
  <c r="AO61" i="1" l="1"/>
  <c r="AO81" i="1" s="1"/>
  <c r="AO36" i="1" s="1"/>
  <c r="AU19" i="1"/>
  <c r="AP26" i="1"/>
  <c r="AP27" i="1"/>
  <c r="AO35" i="1"/>
  <c r="AP20" i="1"/>
  <c r="AP13" i="1" s="1"/>
  <c r="AQ32" i="1"/>
  <c r="AQ33" i="1" s="1"/>
  <c r="AP30" i="1" l="1"/>
  <c r="AO87" i="1"/>
  <c r="AQ16" i="1"/>
  <c r="AQ14" i="1" s="1"/>
  <c r="AQ18" i="1" s="1"/>
  <c r="AQ12" i="1" s="1"/>
  <c r="AQ11" i="1" s="1"/>
  <c r="AP7" i="1"/>
  <c r="Q4" i="25"/>
  <c r="AP56" i="1" s="1"/>
  <c r="AV19" i="1"/>
  <c r="AQ17" i="1" l="1"/>
  <c r="AO130" i="1"/>
  <c r="AO133" i="1" s="1"/>
  <c r="AP99" i="1"/>
  <c r="AP100" i="1" s="1"/>
  <c r="AP54" i="1"/>
  <c r="AP55" i="1"/>
  <c r="AP9" i="1"/>
  <c r="AP34" i="1" s="1"/>
  <c r="AP37" i="1" s="1"/>
  <c r="AW19" i="1"/>
  <c r="AP57" i="1" l="1"/>
  <c r="AP82" i="1" s="1"/>
  <c r="AP131" i="1"/>
  <c r="AQ20" i="1"/>
  <c r="AQ13" i="1" s="1"/>
  <c r="AR32" i="1"/>
  <c r="AR33" i="1" s="1"/>
  <c r="AQ26" i="1"/>
  <c r="AQ27" i="1"/>
  <c r="AX19" i="1"/>
  <c r="AQ30" i="1" l="1"/>
  <c r="AP61" i="1"/>
  <c r="AP81" i="1" s="1"/>
  <c r="AP36" i="1" s="1"/>
  <c r="AR16" i="1"/>
  <c r="R4" i="25"/>
  <c r="AQ56" i="1" s="1"/>
  <c r="AQ7" i="1"/>
  <c r="AP35" i="1"/>
  <c r="AY19" i="1"/>
  <c r="AP87" i="1" l="1"/>
  <c r="AP130" i="1" s="1"/>
  <c r="AP133" i="1" s="1"/>
  <c r="AQ54" i="1"/>
  <c r="AQ99" i="1"/>
  <c r="AQ100" i="1" s="1"/>
  <c r="AQ9" i="1"/>
  <c r="AQ34" i="1" s="1"/>
  <c r="AQ37" i="1" s="1"/>
  <c r="AQ55" i="1"/>
  <c r="AR14" i="1"/>
  <c r="AR18" i="1" s="1"/>
  <c r="AR12" i="1" s="1"/>
  <c r="AR11" i="1" s="1"/>
  <c r="AQ57" i="1" l="1"/>
  <c r="AQ82" i="1" s="1"/>
  <c r="AR17" i="1"/>
  <c r="AQ131" i="1"/>
  <c r="BA19" i="1"/>
  <c r="AQ35" i="1" l="1"/>
  <c r="AR26" i="1"/>
  <c r="AR27" i="1"/>
  <c r="BB19" i="1"/>
  <c r="AR20" i="1"/>
  <c r="AR13" i="1" s="1"/>
  <c r="AS32" i="1"/>
  <c r="AS33" i="1" s="1"/>
  <c r="AQ61" i="1"/>
  <c r="AQ81" i="1" s="1"/>
  <c r="AR30" i="1" l="1"/>
  <c r="BC19" i="1"/>
  <c r="AS16" i="1"/>
  <c r="S4" i="25"/>
  <c r="AR56" i="1" s="1"/>
  <c r="AR7" i="1"/>
  <c r="AQ87" i="1"/>
  <c r="AQ36" i="1"/>
  <c r="AR55" i="1" l="1"/>
  <c r="AR9" i="1"/>
  <c r="AR34" i="1" s="1"/>
  <c r="AR37" i="1" s="1"/>
  <c r="AR54" i="1"/>
  <c r="AR99" i="1"/>
  <c r="AR100" i="1" s="1"/>
  <c r="AS14" i="1"/>
  <c r="AS18" i="1" s="1"/>
  <c r="AS12" i="1" s="1"/>
  <c r="AS11" i="1" s="1"/>
  <c r="AQ130" i="1"/>
  <c r="AQ133" i="1" s="1"/>
  <c r="BD19" i="1"/>
  <c r="AR57" i="1" l="1"/>
  <c r="AR82" i="1" s="1"/>
  <c r="AS17" i="1"/>
  <c r="BE19" i="1"/>
  <c r="AR131" i="1"/>
  <c r="AR35" i="1" l="1"/>
  <c r="AR61" i="1"/>
  <c r="AR81" i="1" s="1"/>
  <c r="AS20" i="1"/>
  <c r="AS13" i="1" s="1"/>
  <c r="AT32" i="1"/>
  <c r="AT33" i="1" s="1"/>
  <c r="AS26" i="1"/>
  <c r="AS27" i="1"/>
  <c r="BF19" i="1"/>
  <c r="AS30" i="1" l="1"/>
  <c r="AT16" i="1"/>
  <c r="AT14" i="1" s="1"/>
  <c r="AT18" i="1" s="1"/>
  <c r="AT12" i="1" s="1"/>
  <c r="AT11" i="1" s="1"/>
  <c r="AR36" i="1"/>
  <c r="AR87" i="1"/>
  <c r="T4" i="25"/>
  <c r="AS56" i="1" s="1"/>
  <c r="AS7" i="1"/>
  <c r="BG19" i="1"/>
  <c r="AT17" i="1" l="1"/>
  <c r="AR130" i="1"/>
  <c r="AR133" i="1" s="1"/>
  <c r="AS9" i="1"/>
  <c r="AS34" i="1" s="1"/>
  <c r="AS37" i="1" s="1"/>
  <c r="AS54" i="1"/>
  <c r="AS99" i="1"/>
  <c r="AS100" i="1" s="1"/>
  <c r="AS55" i="1"/>
  <c r="BH19" i="1"/>
  <c r="AS57" i="1" l="1"/>
  <c r="AS82" i="1" s="1"/>
  <c r="AS131" i="1"/>
  <c r="AT26" i="1"/>
  <c r="AT27" i="1"/>
  <c r="AT20" i="1"/>
  <c r="AT13" i="1" s="1"/>
  <c r="AU32" i="1"/>
  <c r="AU33" i="1" s="1"/>
  <c r="BI19" i="1"/>
  <c r="AT30" i="1" l="1"/>
  <c r="BJ19" i="1"/>
  <c r="AS35" i="1"/>
  <c r="AT7" i="1"/>
  <c r="U4" i="25"/>
  <c r="AT56" i="1" s="1"/>
  <c r="AU16" i="1"/>
  <c r="AS61" i="1"/>
  <c r="AS81" i="1" s="1"/>
  <c r="AS87" i="1" l="1"/>
  <c r="AS36" i="1"/>
  <c r="AU14" i="1"/>
  <c r="AU18" i="1" s="1"/>
  <c r="AU12" i="1" s="1"/>
  <c r="AU11" i="1" s="1"/>
  <c r="AT54" i="1"/>
  <c r="AT99" i="1"/>
  <c r="AT100" i="1" s="1"/>
  <c r="AT55" i="1"/>
  <c r="AT9" i="1"/>
  <c r="AT34" i="1" s="1"/>
  <c r="AT37" i="1" s="1"/>
  <c r="BK19" i="1"/>
  <c r="AT57" i="1" l="1"/>
  <c r="AT82" i="1" s="1"/>
  <c r="AU17" i="1"/>
  <c r="AT131" i="1"/>
  <c r="AS130" i="1"/>
  <c r="AS133" i="1" s="1"/>
  <c r="AT39" i="1" l="1"/>
  <c r="AU20" i="1"/>
  <c r="AU13" i="1" s="1"/>
  <c r="AV32" i="1"/>
  <c r="AV33" i="1" s="1"/>
  <c r="AU26" i="1"/>
  <c r="AU27" i="1"/>
  <c r="AT35" i="1"/>
  <c r="BM19" i="1"/>
  <c r="AT61" i="1"/>
  <c r="AT81" i="1" s="1"/>
  <c r="AU30" i="1" l="1"/>
  <c r="AV16" i="1"/>
  <c r="AV14" i="1" s="1"/>
  <c r="AV18" i="1" s="1"/>
  <c r="AV12" i="1" s="1"/>
  <c r="AV11" i="1" s="1"/>
  <c r="BN19" i="1"/>
  <c r="AT36" i="1"/>
  <c r="AT38" i="1" s="1"/>
  <c r="AT87" i="1"/>
  <c r="AU7" i="1"/>
  <c r="V4" i="25"/>
  <c r="AU56" i="1" s="1"/>
  <c r="AV17" i="1" l="1"/>
  <c r="AT40" i="1"/>
  <c r="AT41" i="1"/>
  <c r="BO19" i="1"/>
  <c r="AU54" i="1"/>
  <c r="AU99" i="1"/>
  <c r="AU100" i="1" s="1"/>
  <c r="AU9" i="1"/>
  <c r="AU34" i="1" s="1"/>
  <c r="AU37" i="1" s="1"/>
  <c r="AU55" i="1"/>
  <c r="AT130" i="1"/>
  <c r="AT133" i="1" s="1"/>
  <c r="AU57" i="1" l="1"/>
  <c r="AU82" i="1" s="1"/>
  <c r="AV20" i="1"/>
  <c r="AV13" i="1" s="1"/>
  <c r="AW32" i="1"/>
  <c r="AW33" i="1" s="1"/>
  <c r="AU131" i="1"/>
  <c r="AV26" i="1"/>
  <c r="AV27" i="1"/>
  <c r="BP19" i="1"/>
  <c r="AU39" i="1" l="1"/>
  <c r="AV30" i="1"/>
  <c r="AU35" i="1"/>
  <c r="AU61" i="1"/>
  <c r="AU81" i="1" s="1"/>
  <c r="AW16" i="1"/>
  <c r="AV7" i="1"/>
  <c r="W4" i="25"/>
  <c r="AV56" i="1" s="1"/>
  <c r="BQ19" i="1"/>
  <c r="BR19" i="1" l="1"/>
  <c r="AV99" i="1"/>
  <c r="AV100" i="1" s="1"/>
  <c r="AV9" i="1"/>
  <c r="AV34" i="1" s="1"/>
  <c r="AV37" i="1" s="1"/>
  <c r="AV54" i="1"/>
  <c r="AV55" i="1"/>
  <c r="AW14" i="1"/>
  <c r="AW18" i="1" s="1"/>
  <c r="AW12" i="1" s="1"/>
  <c r="AW11" i="1" s="1"/>
  <c r="AU87" i="1"/>
  <c r="AU36" i="1"/>
  <c r="AU38" i="1" s="1"/>
  <c r="AV57" i="1" l="1"/>
  <c r="AV82" i="1" s="1"/>
  <c r="AW17" i="1"/>
  <c r="AV131" i="1"/>
  <c r="AU130" i="1"/>
  <c r="AU133" i="1" s="1"/>
  <c r="AU40" i="1"/>
  <c r="AU41" i="1"/>
  <c r="BS19" i="1"/>
  <c r="AV39" i="1" l="1"/>
  <c r="AW20" i="1"/>
  <c r="AW13" i="1" s="1"/>
  <c r="AX32" i="1"/>
  <c r="AX33" i="1" s="1"/>
  <c r="AV35" i="1"/>
  <c r="BT19" i="1"/>
  <c r="AV61" i="1"/>
  <c r="AV81" i="1" s="1"/>
  <c r="AW26" i="1"/>
  <c r="AW27" i="1"/>
  <c r="AW30" i="1" l="1"/>
  <c r="AV36" i="1"/>
  <c r="AV38" i="1" s="1"/>
  <c r="AV87" i="1"/>
  <c r="X4" i="25"/>
  <c r="AW56" i="1" s="1"/>
  <c r="AW7" i="1"/>
  <c r="BU19" i="1"/>
  <c r="AX16" i="1"/>
  <c r="BV19" i="1" l="1"/>
  <c r="AW99" i="1"/>
  <c r="AW100" i="1" s="1"/>
  <c r="AW54" i="1"/>
  <c r="AW9" i="1"/>
  <c r="AW34" i="1" s="1"/>
  <c r="AW37" i="1" s="1"/>
  <c r="AW55" i="1"/>
  <c r="AX14" i="1"/>
  <c r="AX18" i="1" s="1"/>
  <c r="AX12" i="1" s="1"/>
  <c r="AX11" i="1" s="1"/>
  <c r="AV130" i="1"/>
  <c r="AV133" i="1" s="1"/>
  <c r="AV40" i="1"/>
  <c r="AV41" i="1"/>
  <c r="AW57" i="1" l="1"/>
  <c r="AW82" i="1" s="1"/>
  <c r="AX17" i="1"/>
  <c r="AW131" i="1"/>
  <c r="BW19" i="1"/>
  <c r="AW39" i="1" l="1"/>
  <c r="AW61" i="1"/>
  <c r="AW81" i="1" s="1"/>
  <c r="AX26" i="1"/>
  <c r="AX27" i="1"/>
  <c r="AW35" i="1"/>
  <c r="AX20" i="1"/>
  <c r="AX13" i="1" s="1"/>
  <c r="AY32" i="1"/>
  <c r="AY33" i="1" s="1"/>
  <c r="AX30" i="1" l="1"/>
  <c r="AY16" i="1"/>
  <c r="AY14" i="1" s="1"/>
  <c r="AY18" i="1" s="1"/>
  <c r="AY12" i="1" s="1"/>
  <c r="AY11" i="1" s="1"/>
  <c r="AW87" i="1"/>
  <c r="AW36" i="1"/>
  <c r="AW38" i="1" s="1"/>
  <c r="BY19" i="1"/>
  <c r="AX7" i="1"/>
  <c r="Y4" i="25"/>
  <c r="AX56" i="1" s="1"/>
  <c r="AY17" i="1" l="1"/>
  <c r="BZ19" i="1"/>
  <c r="AW40" i="1"/>
  <c r="AW41" i="1"/>
  <c r="AX55" i="1"/>
  <c r="AX99" i="1"/>
  <c r="AX100" i="1" s="1"/>
  <c r="AX9" i="1"/>
  <c r="AX34" i="1" s="1"/>
  <c r="AX37" i="1" s="1"/>
  <c r="AX54" i="1"/>
  <c r="AW130" i="1"/>
  <c r="AW133" i="1" s="1"/>
  <c r="AX57" i="1" l="1"/>
  <c r="AX82" i="1" s="1"/>
  <c r="AY26" i="1"/>
  <c r="AY27" i="1"/>
  <c r="AX131" i="1"/>
  <c r="CA19" i="1"/>
  <c r="AY20" i="1"/>
  <c r="AY13" i="1" s="1"/>
  <c r="AZ32" i="1"/>
  <c r="AZ33" i="1" s="1"/>
  <c r="AX39" i="1" l="1"/>
  <c r="AY30" i="1"/>
  <c r="AX61" i="1"/>
  <c r="AX81" i="1" s="1"/>
  <c r="AX87" i="1" s="1"/>
  <c r="AZ16" i="1"/>
  <c r="AZ14" i="1" s="1"/>
  <c r="AZ18" i="1" s="1"/>
  <c r="AZ12" i="1" s="1"/>
  <c r="AZ11" i="1" s="1"/>
  <c r="Z4" i="25"/>
  <c r="AY56" i="1" s="1"/>
  <c r="AY7" i="1"/>
  <c r="CB19" i="1"/>
  <c r="AX35" i="1"/>
  <c r="AZ17" i="1" l="1"/>
  <c r="AX36" i="1"/>
  <c r="AX38" i="1" s="1"/>
  <c r="AX130" i="1"/>
  <c r="AX133" i="1" s="1"/>
  <c r="CC19" i="1"/>
  <c r="AY9" i="1"/>
  <c r="AY34" i="1" s="1"/>
  <c r="AY37" i="1" s="1"/>
  <c r="AY99" i="1"/>
  <c r="AY100" i="1" s="1"/>
  <c r="AY54" i="1"/>
  <c r="AY55" i="1"/>
  <c r="AY57" i="1" l="1"/>
  <c r="AY82" i="1" s="1"/>
  <c r="AX40" i="1"/>
  <c r="AX41" i="1"/>
  <c r="AY131" i="1"/>
  <c r="AZ20" i="1"/>
  <c r="AZ13" i="1" s="1"/>
  <c r="BA32" i="1"/>
  <c r="BA33" i="1" s="1"/>
  <c r="AZ26" i="1"/>
  <c r="AZ27" i="1"/>
  <c r="CD19" i="1"/>
  <c r="AY39" i="1" l="1"/>
  <c r="AZ30" i="1"/>
  <c r="AY61" i="1"/>
  <c r="AY81" i="1" s="1"/>
  <c r="AY36" i="1" s="1"/>
  <c r="BA16" i="1"/>
  <c r="BA14" i="1" s="1"/>
  <c r="BA18" i="1" s="1"/>
  <c r="BA12" i="1" s="1"/>
  <c r="BA11" i="1" s="1"/>
  <c r="CE19" i="1"/>
  <c r="AY35" i="1"/>
  <c r="AA4" i="25"/>
  <c r="AZ56" i="1" s="1"/>
  <c r="AZ7" i="1"/>
  <c r="BA17" i="1" l="1"/>
  <c r="AY38" i="1"/>
  <c r="AY41" i="1"/>
  <c r="AY87" i="1"/>
  <c r="AZ55" i="1"/>
  <c r="AZ9" i="1"/>
  <c r="AZ34" i="1" s="1"/>
  <c r="AZ37" i="1" s="1"/>
  <c r="AZ54" i="1"/>
  <c r="AZ99" i="1"/>
  <c r="AZ100" i="1" s="1"/>
  <c r="CF19" i="1"/>
  <c r="AZ57" i="1" l="1"/>
  <c r="AZ82" i="1" s="1"/>
  <c r="AY40" i="1"/>
  <c r="AY130" i="1"/>
  <c r="AY133" i="1" s="1"/>
  <c r="AZ131" i="1"/>
  <c r="CG19" i="1"/>
  <c r="BA26" i="1"/>
  <c r="BA27" i="1"/>
  <c r="BA20" i="1"/>
  <c r="BA13" i="1" s="1"/>
  <c r="BB32" i="1"/>
  <c r="BB33" i="1" s="1"/>
  <c r="AZ39" i="1" l="1"/>
  <c r="AZ61" i="1"/>
  <c r="AZ81" i="1" s="1"/>
  <c r="AZ87" i="1" s="1"/>
  <c r="BA30" i="1"/>
  <c r="AZ35" i="1"/>
  <c r="BB16" i="1"/>
  <c r="CH19" i="1"/>
  <c r="BA7" i="1"/>
  <c r="AB4" i="25"/>
  <c r="BA56" i="1" s="1"/>
  <c r="AZ36" i="1" l="1"/>
  <c r="AZ38" i="1" s="1"/>
  <c r="BA99" i="1"/>
  <c r="BA100" i="1" s="1"/>
  <c r="BA55" i="1"/>
  <c r="BA54" i="1"/>
  <c r="BA9" i="1"/>
  <c r="BA34" i="1" s="1"/>
  <c r="BA37" i="1" s="1"/>
  <c r="CI19" i="1"/>
  <c r="BB14" i="1"/>
  <c r="BB18" i="1" s="1"/>
  <c r="BB12" i="1" s="1"/>
  <c r="BB11" i="1" s="1"/>
  <c r="AZ130" i="1"/>
  <c r="AZ133" i="1" s="1"/>
  <c r="BA57" i="1" l="1"/>
  <c r="BA82" i="1" s="1"/>
  <c r="BB17" i="1"/>
  <c r="AZ40" i="1"/>
  <c r="AZ41" i="1"/>
  <c r="CJ19" i="1"/>
  <c r="BA131" i="1"/>
  <c r="BA39" i="1" l="1"/>
  <c r="BA61" i="1"/>
  <c r="BA81" i="1" s="1"/>
  <c r="BA87" i="1" s="1"/>
  <c r="BB26" i="1"/>
  <c r="BB27" i="1"/>
  <c r="BB20" i="1"/>
  <c r="BB13" i="1" s="1"/>
  <c r="BC32" i="1"/>
  <c r="BC33" i="1" s="1"/>
  <c r="CK19" i="1"/>
  <c r="BA35" i="1"/>
  <c r="BA36" i="1" l="1"/>
  <c r="BA38" i="1" s="1"/>
  <c r="BB30" i="1"/>
  <c r="CL19" i="1"/>
  <c r="AC4" i="25"/>
  <c r="BB56" i="1" s="1"/>
  <c r="BB7" i="1"/>
  <c r="BC16" i="1"/>
  <c r="BA130" i="1"/>
  <c r="BA133" i="1" s="1"/>
  <c r="BA40" i="1" l="1"/>
  <c r="BA41" i="1"/>
  <c r="BC14" i="1"/>
  <c r="BC18" i="1" s="1"/>
  <c r="BC12" i="1" s="1"/>
  <c r="BC11" i="1" s="1"/>
  <c r="BB9" i="1"/>
  <c r="BB34" i="1" s="1"/>
  <c r="BB37" i="1" s="1"/>
  <c r="BB54" i="1"/>
  <c r="BB55" i="1"/>
  <c r="BB99" i="1"/>
  <c r="BB100" i="1" s="1"/>
  <c r="CM19" i="1"/>
  <c r="BB57" i="1" l="1"/>
  <c r="BB82" i="1" s="1"/>
  <c r="BC17" i="1"/>
  <c r="CN19" i="1"/>
  <c r="BB131" i="1"/>
  <c r="BB39" i="1" l="1"/>
  <c r="BB61" i="1"/>
  <c r="BB81" i="1" s="1"/>
  <c r="BB87" i="1" s="1"/>
  <c r="CO19" i="1"/>
  <c r="BB35" i="1"/>
  <c r="BC26" i="1"/>
  <c r="BC27" i="1"/>
  <c r="BC20" i="1"/>
  <c r="BC13" i="1" s="1"/>
  <c r="BD32" i="1"/>
  <c r="BD33" i="1" s="1"/>
  <c r="BB36" i="1" l="1"/>
  <c r="BB38" i="1" s="1"/>
  <c r="BC30" i="1"/>
  <c r="BD16" i="1"/>
  <c r="BD14" i="1" s="1"/>
  <c r="BD18" i="1" s="1"/>
  <c r="BD12" i="1" s="1"/>
  <c r="BD11" i="1" s="1"/>
  <c r="AD4" i="25"/>
  <c r="BC56" i="1" s="1"/>
  <c r="BC7" i="1"/>
  <c r="CP19" i="1"/>
  <c r="BB130" i="1"/>
  <c r="BB133" i="1" s="1"/>
  <c r="BD17" i="1" l="1"/>
  <c r="BB41" i="1"/>
  <c r="BB40" i="1"/>
  <c r="BC99" i="1"/>
  <c r="BC100" i="1" s="1"/>
  <c r="BC55" i="1"/>
  <c r="BC9" i="1"/>
  <c r="BC34" i="1" s="1"/>
  <c r="BC37" i="1" s="1"/>
  <c r="BC54" i="1"/>
  <c r="CQ19" i="1"/>
  <c r="BC57" i="1" l="1"/>
  <c r="BC82" i="1" s="1"/>
  <c r="CR19" i="1"/>
  <c r="BD26" i="1"/>
  <c r="BD27" i="1"/>
  <c r="BD20" i="1"/>
  <c r="BD13" i="1" s="1"/>
  <c r="BE32" i="1"/>
  <c r="BE33" i="1" s="1"/>
  <c r="BC131" i="1"/>
  <c r="BC39" i="1" l="1"/>
  <c r="BC61" i="1"/>
  <c r="BC81" i="1" s="1"/>
  <c r="BC36" i="1" s="1"/>
  <c r="BD30" i="1"/>
  <c r="BC35" i="1"/>
  <c r="BD7" i="1"/>
  <c r="AE4" i="25"/>
  <c r="BD56" i="1" s="1"/>
  <c r="BE16" i="1"/>
  <c r="CS19" i="1"/>
  <c r="BC41" i="1" l="1"/>
  <c r="BC38" i="1"/>
  <c r="BC87" i="1"/>
  <c r="BC130" i="1" s="1"/>
  <c r="BC133" i="1" s="1"/>
  <c r="BD55" i="1"/>
  <c r="BD54" i="1"/>
  <c r="BD9" i="1"/>
  <c r="BD34" i="1" s="1"/>
  <c r="BD37" i="1" s="1"/>
  <c r="BD99" i="1"/>
  <c r="BD100" i="1" s="1"/>
  <c r="CT19" i="1"/>
  <c r="BE14" i="1"/>
  <c r="BE18" i="1" s="1"/>
  <c r="BE12" i="1" s="1"/>
  <c r="BE11" i="1" s="1"/>
  <c r="BD57" i="1" l="1"/>
  <c r="BD82" i="1" s="1"/>
  <c r="BE17" i="1"/>
  <c r="BC40" i="1"/>
  <c r="CU19" i="1"/>
  <c r="BD131" i="1"/>
  <c r="BD39" i="1" l="1"/>
  <c r="BD61" i="1"/>
  <c r="BD81" i="1" s="1"/>
  <c r="BD36" i="1" s="1"/>
  <c r="BE26" i="1"/>
  <c r="BE27" i="1"/>
  <c r="BE20" i="1"/>
  <c r="BE13" i="1" s="1"/>
  <c r="BF32" i="1"/>
  <c r="BF33" i="1" s="1"/>
  <c r="CV19" i="1"/>
  <c r="BD35" i="1"/>
  <c r="BD87" i="1" l="1"/>
  <c r="BD130" i="1" s="1"/>
  <c r="BD133" i="1" s="1"/>
  <c r="BD38" i="1"/>
  <c r="BD41" i="1"/>
  <c r="BE30" i="1"/>
  <c r="CW19" i="1"/>
  <c r="AF4" i="25"/>
  <c r="BE56" i="1" s="1"/>
  <c r="BE7" i="1"/>
  <c r="BF16" i="1"/>
  <c r="BD40" i="1" l="1"/>
  <c r="CX19" i="1"/>
  <c r="BF14" i="1"/>
  <c r="BF18" i="1" s="1"/>
  <c r="BF12" i="1" s="1"/>
  <c r="BF11" i="1" s="1"/>
  <c r="BE55" i="1"/>
  <c r="BE9" i="1"/>
  <c r="BE34" i="1" s="1"/>
  <c r="BE37" i="1" s="1"/>
  <c r="BE99" i="1"/>
  <c r="BE100" i="1" s="1"/>
  <c r="BE54" i="1"/>
  <c r="BE57" i="1" l="1"/>
  <c r="BE82" i="1" s="1"/>
  <c r="BF17" i="1"/>
  <c r="BE131" i="1"/>
  <c r="CY19" i="1"/>
  <c r="BE39" i="1" l="1"/>
  <c r="BE61" i="1"/>
  <c r="BE81" i="1" s="1"/>
  <c r="BE87" i="1" s="1"/>
  <c r="BF20" i="1"/>
  <c r="BF13" i="1" s="1"/>
  <c r="BG32" i="1"/>
  <c r="BG33" i="1" s="1"/>
  <c r="BF26" i="1"/>
  <c r="BF27" i="1"/>
  <c r="CZ19" i="1"/>
  <c r="BE35" i="1"/>
  <c r="BE36" i="1" l="1"/>
  <c r="BE38" i="1" s="1"/>
  <c r="BF30" i="1"/>
  <c r="AG4" i="25"/>
  <c r="BF56" i="1" s="1"/>
  <c r="BF7" i="1"/>
  <c r="BE130" i="1"/>
  <c r="BE133" i="1" s="1"/>
  <c r="DA19" i="1"/>
  <c r="BG16" i="1"/>
  <c r="BE41" i="1" l="1"/>
  <c r="BE40" i="1"/>
  <c r="BG14" i="1"/>
  <c r="BG18" i="1" s="1"/>
  <c r="BG12" i="1" s="1"/>
  <c r="BG11" i="1" s="1"/>
  <c r="BF55" i="1"/>
  <c r="BF54" i="1"/>
  <c r="BF9" i="1"/>
  <c r="BF34" i="1" s="1"/>
  <c r="BF37" i="1" s="1"/>
  <c r="BF99" i="1"/>
  <c r="BF100" i="1" s="1"/>
  <c r="DB19" i="1"/>
  <c r="BF57" i="1" l="1"/>
  <c r="BF82" i="1" s="1"/>
  <c r="BG17" i="1"/>
  <c r="BF131" i="1"/>
  <c r="DC19" i="1"/>
  <c r="BF39" i="1" l="1"/>
  <c r="BF61" i="1"/>
  <c r="BF81" i="1" s="1"/>
  <c r="BF87" i="1" s="1"/>
  <c r="BG26" i="1"/>
  <c r="BG27" i="1"/>
  <c r="BG20" i="1"/>
  <c r="BG13" i="1" s="1"/>
  <c r="BH32" i="1"/>
  <c r="BH33" i="1" s="1"/>
  <c r="DD19" i="1"/>
  <c r="BF35" i="1"/>
  <c r="BF36" i="1" l="1"/>
  <c r="BF38" i="1" s="1"/>
  <c r="BG30" i="1"/>
  <c r="BH16" i="1"/>
  <c r="BH14" i="1" s="1"/>
  <c r="BH18" i="1" s="1"/>
  <c r="BH12" i="1" s="1"/>
  <c r="BH11" i="1" s="1"/>
  <c r="BF130" i="1"/>
  <c r="BF133" i="1" s="1"/>
  <c r="BG7" i="1"/>
  <c r="AH4" i="25"/>
  <c r="BG56" i="1" s="1"/>
  <c r="DE19" i="1"/>
  <c r="BH17" i="1" l="1"/>
  <c r="BF41" i="1"/>
  <c r="BF40" i="1"/>
  <c r="BG9" i="1"/>
  <c r="BG34" i="1" s="1"/>
  <c r="BG37" i="1" s="1"/>
  <c r="BG55" i="1"/>
  <c r="BG99" i="1"/>
  <c r="BG100" i="1" s="1"/>
  <c r="BG54" i="1"/>
  <c r="DF19" i="1"/>
  <c r="BG57" i="1" l="1"/>
  <c r="BG82" i="1" s="1"/>
  <c r="BG131" i="1"/>
  <c r="DG19" i="1"/>
  <c r="BH20" i="1"/>
  <c r="BH13" i="1" s="1"/>
  <c r="BI32" i="1"/>
  <c r="BI33" i="1" s="1"/>
  <c r="BH26" i="1"/>
  <c r="BH27" i="1"/>
  <c r="BG39" i="1" l="1"/>
  <c r="BG61" i="1"/>
  <c r="BG81" i="1" s="1"/>
  <c r="BG87" i="1" s="1"/>
  <c r="BH30" i="1"/>
  <c r="BI16" i="1"/>
  <c r="BI14" i="1" s="1"/>
  <c r="BI18" i="1" s="1"/>
  <c r="BI12" i="1" s="1"/>
  <c r="BI11" i="1" s="1"/>
  <c r="AI4" i="25"/>
  <c r="BH56" i="1" s="1"/>
  <c r="BH7" i="1"/>
  <c r="BG35" i="1"/>
  <c r="BI17" i="1" l="1"/>
  <c r="BG36" i="1"/>
  <c r="BG38" i="1" s="1"/>
  <c r="BG130" i="1"/>
  <c r="BG133" i="1" s="1"/>
  <c r="BH54" i="1"/>
  <c r="BH99" i="1"/>
  <c r="BH100" i="1" s="1"/>
  <c r="BH55" i="1"/>
  <c r="BH9" i="1"/>
  <c r="BH34" i="1" s="1"/>
  <c r="BH37" i="1" s="1"/>
  <c r="BH57" i="1" l="1"/>
  <c r="BH82" i="1" s="1"/>
  <c r="BG41" i="1"/>
  <c r="BG40" i="1"/>
  <c r="BH131" i="1"/>
  <c r="BI26" i="1"/>
  <c r="BI27" i="1"/>
  <c r="BI20" i="1"/>
  <c r="BI13" i="1" s="1"/>
  <c r="BJ32" i="1"/>
  <c r="BJ33" i="1" s="1"/>
  <c r="BH39" i="1" l="1"/>
  <c r="BH61" i="1"/>
  <c r="BH81" i="1" s="1"/>
  <c r="BH36" i="1" s="1"/>
  <c r="BI30" i="1"/>
  <c r="BJ16" i="1"/>
  <c r="AJ4" i="25"/>
  <c r="BI56" i="1" s="1"/>
  <c r="BI7" i="1"/>
  <c r="BH35" i="1"/>
  <c r="BH41" i="1" l="1"/>
  <c r="BH38" i="1"/>
  <c r="BH87" i="1"/>
  <c r="BH130" i="1" s="1"/>
  <c r="BH133" i="1" s="1"/>
  <c r="BI54" i="1"/>
  <c r="BI9" i="1"/>
  <c r="BI34" i="1" s="1"/>
  <c r="BI37" i="1" s="1"/>
  <c r="BI99" i="1"/>
  <c r="BI100" i="1" s="1"/>
  <c r="BI55" i="1"/>
  <c r="BJ14" i="1"/>
  <c r="BJ18" i="1" s="1"/>
  <c r="BJ12" i="1" s="1"/>
  <c r="BJ11" i="1" s="1"/>
  <c r="BI57" i="1" l="1"/>
  <c r="BI82" i="1" s="1"/>
  <c r="BJ17" i="1"/>
  <c r="BH40" i="1"/>
  <c r="BI131" i="1"/>
  <c r="BI39" i="1" l="1"/>
  <c r="BI61" i="1"/>
  <c r="BI81" i="1" s="1"/>
  <c r="BI36" i="1" s="1"/>
  <c r="BI35" i="1"/>
  <c r="BJ26" i="1"/>
  <c r="BJ27" i="1"/>
  <c r="BJ20" i="1"/>
  <c r="BJ13" i="1" s="1"/>
  <c r="BK32" i="1"/>
  <c r="BK33" i="1" s="1"/>
  <c r="BI41" i="1" l="1"/>
  <c r="BI38" i="1"/>
  <c r="BI87" i="1"/>
  <c r="BJ30" i="1"/>
  <c r="BK16" i="1"/>
  <c r="BK14" i="1" s="1"/>
  <c r="BK18" i="1" s="1"/>
  <c r="BK12" i="1" s="1"/>
  <c r="BK11" i="1" s="1"/>
  <c r="BJ7" i="1"/>
  <c r="AK4" i="25"/>
  <c r="BJ56" i="1" s="1"/>
  <c r="BK17" i="1" l="1"/>
  <c r="BI40" i="1"/>
  <c r="BI130" i="1"/>
  <c r="BI133" i="1" s="1"/>
  <c r="BJ99" i="1"/>
  <c r="BJ100" i="1" s="1"/>
  <c r="BJ9" i="1"/>
  <c r="BJ34" i="1" s="1"/>
  <c r="BJ37" i="1" s="1"/>
  <c r="BJ55" i="1"/>
  <c r="BJ54" i="1"/>
  <c r="BJ57" i="1" l="1"/>
  <c r="BJ82" i="1" s="1"/>
  <c r="BK20" i="1"/>
  <c r="BK13" i="1" s="1"/>
  <c r="BL32" i="1"/>
  <c r="BL33" i="1" s="1"/>
  <c r="BK26" i="1"/>
  <c r="BK27" i="1"/>
  <c r="BJ131" i="1"/>
  <c r="BJ39" i="1" l="1"/>
  <c r="BJ61" i="1"/>
  <c r="BJ81" i="1" s="1"/>
  <c r="BJ87" i="1" s="1"/>
  <c r="BK30" i="1"/>
  <c r="BL16" i="1"/>
  <c r="BL14" i="1" s="1"/>
  <c r="BL18" i="1" s="1"/>
  <c r="BL12" i="1" s="1"/>
  <c r="BL11" i="1" s="1"/>
  <c r="BK7" i="1"/>
  <c r="AL4" i="25"/>
  <c r="BK56" i="1" s="1"/>
  <c r="BJ35" i="1"/>
  <c r="BL17" i="1" l="1"/>
  <c r="BJ36" i="1"/>
  <c r="BJ38" i="1" s="1"/>
  <c r="BJ130" i="1"/>
  <c r="BJ133" i="1" s="1"/>
  <c r="BK55" i="1"/>
  <c r="BK99" i="1"/>
  <c r="BK100" i="1" s="1"/>
  <c r="BK9" i="1"/>
  <c r="BK34" i="1" s="1"/>
  <c r="BK37" i="1" s="1"/>
  <c r="BK54" i="1"/>
  <c r="BJ40" i="1" l="1"/>
  <c r="BK57" i="1"/>
  <c r="BK82" i="1" s="1"/>
  <c r="BJ41" i="1"/>
  <c r="BK131" i="1"/>
  <c r="BL20" i="1"/>
  <c r="BL13" i="1" s="1"/>
  <c r="BM32" i="1"/>
  <c r="BM33" i="1" s="1"/>
  <c r="BL26" i="1"/>
  <c r="BL27" i="1"/>
  <c r="BK39" i="1" l="1"/>
  <c r="BK61" i="1"/>
  <c r="BK81" i="1" s="1"/>
  <c r="BK36" i="1" s="1"/>
  <c r="BL30" i="1"/>
  <c r="AM4" i="25"/>
  <c r="BL56" i="1" s="1"/>
  <c r="BL7" i="1"/>
  <c r="BM16" i="1"/>
  <c r="BK35" i="1"/>
  <c r="BK41" i="1" l="1"/>
  <c r="BK38" i="1"/>
  <c r="BK87" i="1"/>
  <c r="BM14" i="1"/>
  <c r="BM18" i="1" s="1"/>
  <c r="BM12" i="1" s="1"/>
  <c r="BM11" i="1" s="1"/>
  <c r="BL9" i="1"/>
  <c r="BL34" i="1" s="1"/>
  <c r="BL37" i="1" s="1"/>
  <c r="BL99" i="1"/>
  <c r="BL100" i="1" s="1"/>
  <c r="BL55" i="1"/>
  <c r="BL54" i="1"/>
  <c r="BL57" i="1" l="1"/>
  <c r="BL82" i="1" s="1"/>
  <c r="BM17" i="1"/>
  <c r="BK130" i="1"/>
  <c r="BK133" i="1" s="1"/>
  <c r="BK40" i="1"/>
  <c r="BL131" i="1"/>
  <c r="BL39" i="1" l="1"/>
  <c r="BL61" i="1"/>
  <c r="BL81" i="1" s="1"/>
  <c r="BL36" i="1" s="1"/>
  <c r="BM20" i="1"/>
  <c r="BM13" i="1" s="1"/>
  <c r="BN32" i="1"/>
  <c r="BN33" i="1" s="1"/>
  <c r="BL35" i="1"/>
  <c r="BM26" i="1"/>
  <c r="BM27" i="1"/>
  <c r="BL41" i="1" l="1"/>
  <c r="BL38" i="1"/>
  <c r="BL87" i="1"/>
  <c r="BL130" i="1" s="1"/>
  <c r="BL133" i="1" s="1"/>
  <c r="BM30" i="1"/>
  <c r="BN16" i="1"/>
  <c r="BM7" i="1"/>
  <c r="AN4" i="25"/>
  <c r="BM56" i="1" s="1"/>
  <c r="BL40" i="1" l="1"/>
  <c r="BM9" i="1"/>
  <c r="BM34" i="1" s="1"/>
  <c r="BM37" i="1" s="1"/>
  <c r="BM54" i="1"/>
  <c r="BM55" i="1"/>
  <c r="BM99" i="1"/>
  <c r="BM100" i="1" s="1"/>
  <c r="BN14" i="1"/>
  <c r="BN18" i="1" s="1"/>
  <c r="BN12" i="1" s="1"/>
  <c r="BN11" i="1" s="1"/>
  <c r="BM57" i="1" l="1"/>
  <c r="BM82" i="1" s="1"/>
  <c r="BN17" i="1"/>
  <c r="BM131" i="1"/>
  <c r="BM39" i="1" l="1"/>
  <c r="BM61" i="1"/>
  <c r="BM81" i="1" s="1"/>
  <c r="BM36" i="1" s="1"/>
  <c r="BN20" i="1"/>
  <c r="BN13" i="1" s="1"/>
  <c r="BO32" i="1"/>
  <c r="BO33" i="1" s="1"/>
  <c r="BM35" i="1"/>
  <c r="BN26" i="1"/>
  <c r="BN27" i="1"/>
  <c r="BM41" i="1" l="1"/>
  <c r="BM38" i="1"/>
  <c r="BM87" i="1"/>
  <c r="BM130" i="1" s="1"/>
  <c r="BM133" i="1" s="1"/>
  <c r="BN30" i="1"/>
  <c r="BN7" i="1"/>
  <c r="AO4" i="25"/>
  <c r="BN56" i="1" s="1"/>
  <c r="BO16" i="1"/>
  <c r="BM40" i="1" l="1"/>
  <c r="BN9" i="1"/>
  <c r="BN34" i="1" s="1"/>
  <c r="BN37" i="1" s="1"/>
  <c r="BN54" i="1"/>
  <c r="BN99" i="1"/>
  <c r="BN100" i="1" s="1"/>
  <c r="BN55" i="1"/>
  <c r="BO14" i="1"/>
  <c r="BO18" i="1" s="1"/>
  <c r="BO12" i="1" s="1"/>
  <c r="BO11" i="1" s="1"/>
  <c r="BN57" i="1" l="1"/>
  <c r="BN82" i="1" s="1"/>
  <c r="BO17" i="1"/>
  <c r="BN131" i="1"/>
  <c r="BN39" i="1" l="1"/>
  <c r="BN61" i="1"/>
  <c r="BN81" i="1" s="1"/>
  <c r="BN36" i="1" s="1"/>
  <c r="BO26" i="1"/>
  <c r="BO27" i="1"/>
  <c r="BO20" i="1"/>
  <c r="BO13" i="1" s="1"/>
  <c r="BP32" i="1"/>
  <c r="BP33" i="1" s="1"/>
  <c r="BN35" i="1"/>
  <c r="BN38" i="1" l="1"/>
  <c r="BN87" i="1"/>
  <c r="BO30" i="1"/>
  <c r="BP16" i="1"/>
  <c r="BP14" i="1" s="1"/>
  <c r="BP18" i="1" s="1"/>
  <c r="BP12" i="1" s="1"/>
  <c r="BP11" i="1" s="1"/>
  <c r="BO7" i="1"/>
  <c r="AP4" i="25"/>
  <c r="BO56" i="1" s="1"/>
  <c r="BP17" i="1" l="1"/>
  <c r="BN130" i="1"/>
  <c r="BN133" i="1" s="1"/>
  <c r="BN40" i="1"/>
  <c r="BN41" i="1"/>
  <c r="BO55" i="1"/>
  <c r="BO54" i="1"/>
  <c r="BO99" i="1"/>
  <c r="BO100" i="1" s="1"/>
  <c r="BO9" i="1"/>
  <c r="BO34" i="1" s="1"/>
  <c r="BO37" i="1" s="1"/>
  <c r="BO57" i="1" l="1"/>
  <c r="BO82" i="1" s="1"/>
  <c r="BO131" i="1"/>
  <c r="BP20" i="1"/>
  <c r="BP13" i="1" s="1"/>
  <c r="BQ32" i="1"/>
  <c r="BQ33" i="1" s="1"/>
  <c r="BP26" i="1"/>
  <c r="BP27" i="1"/>
  <c r="BO39" i="1" l="1"/>
  <c r="BO61" i="1"/>
  <c r="BO81" i="1" s="1"/>
  <c r="BO87" i="1" s="1"/>
  <c r="BP30" i="1"/>
  <c r="BO35" i="1"/>
  <c r="BQ16" i="1"/>
  <c r="AQ4" i="25"/>
  <c r="BP56" i="1" s="1"/>
  <c r="BP7" i="1"/>
  <c r="BO36" i="1" l="1"/>
  <c r="BO38" i="1" s="1"/>
  <c r="BQ14" i="1"/>
  <c r="BQ18" i="1" s="1"/>
  <c r="BQ12" i="1" s="1"/>
  <c r="BQ11" i="1" s="1"/>
  <c r="BP99" i="1"/>
  <c r="BP100" i="1" s="1"/>
  <c r="BP9" i="1"/>
  <c r="BP34" i="1" s="1"/>
  <c r="BP37" i="1" s="1"/>
  <c r="BP55" i="1"/>
  <c r="BP54" i="1"/>
  <c r="BO130" i="1"/>
  <c r="BO133" i="1" s="1"/>
  <c r="BP57" i="1" l="1"/>
  <c r="BP82" i="1" s="1"/>
  <c r="BQ17" i="1"/>
  <c r="BO41" i="1"/>
  <c r="BO40" i="1"/>
  <c r="BP131" i="1"/>
  <c r="BP39" i="1" l="1"/>
  <c r="BP61" i="1"/>
  <c r="BP81" i="1" s="1"/>
  <c r="BP36" i="1" s="1"/>
  <c r="BQ20" i="1"/>
  <c r="BQ13" i="1" s="1"/>
  <c r="BR32" i="1"/>
  <c r="BR33" i="1" s="1"/>
  <c r="BQ26" i="1"/>
  <c r="BQ27" i="1"/>
  <c r="BP35" i="1"/>
  <c r="BP38" i="1" l="1"/>
  <c r="BP87" i="1"/>
  <c r="BP130" i="1" s="1"/>
  <c r="BP133" i="1" s="1"/>
  <c r="BP41" i="1"/>
  <c r="BQ30" i="1"/>
  <c r="BQ7" i="1"/>
  <c r="AR4" i="25"/>
  <c r="BQ56" i="1" s="1"/>
  <c r="BR16" i="1"/>
  <c r="BP40" i="1" l="1"/>
  <c r="BR14" i="1"/>
  <c r="BR18" i="1" s="1"/>
  <c r="BR12" i="1" s="1"/>
  <c r="BR11" i="1" s="1"/>
  <c r="BQ54" i="1"/>
  <c r="BQ55" i="1"/>
  <c r="BQ99" i="1"/>
  <c r="BQ100" i="1" s="1"/>
  <c r="BQ9" i="1"/>
  <c r="BQ34" i="1" s="1"/>
  <c r="BQ37" i="1" s="1"/>
  <c r="BQ57" i="1" l="1"/>
  <c r="BQ82" i="1" s="1"/>
  <c r="BR17" i="1"/>
  <c r="BQ131" i="1"/>
  <c r="BQ39" i="1" l="1"/>
  <c r="BQ61" i="1"/>
  <c r="BQ81" i="1" s="1"/>
  <c r="BQ36" i="1" s="1"/>
  <c r="BQ35" i="1"/>
  <c r="BR20" i="1"/>
  <c r="BR13" i="1" s="1"/>
  <c r="BS32" i="1"/>
  <c r="BS33" i="1" s="1"/>
  <c r="BR26" i="1"/>
  <c r="BR27" i="1"/>
  <c r="BQ38" i="1" l="1"/>
  <c r="BQ41" i="1"/>
  <c r="BQ87" i="1"/>
  <c r="BQ130" i="1" s="1"/>
  <c r="BQ133" i="1" s="1"/>
  <c r="BR30" i="1"/>
  <c r="BS16" i="1"/>
  <c r="BR7" i="1"/>
  <c r="AS4" i="25"/>
  <c r="BR56" i="1" s="1"/>
  <c r="BQ40" i="1" l="1"/>
  <c r="BR54" i="1"/>
  <c r="BR99" i="1"/>
  <c r="BR100" i="1" s="1"/>
  <c r="BR55" i="1"/>
  <c r="BR9" i="1"/>
  <c r="BR34" i="1" s="1"/>
  <c r="BR37" i="1" s="1"/>
  <c r="BS14" i="1"/>
  <c r="BS18" i="1" s="1"/>
  <c r="BS12" i="1" s="1"/>
  <c r="BS11" i="1" s="1"/>
  <c r="BR57" i="1" l="1"/>
  <c r="BR82" i="1" s="1"/>
  <c r="BS17" i="1"/>
  <c r="BR131" i="1"/>
  <c r="BR39" i="1" l="1"/>
  <c r="BR61" i="1"/>
  <c r="BR81" i="1" s="1"/>
  <c r="BR87" i="1" s="1"/>
  <c r="BR35" i="1"/>
  <c r="BS26" i="1"/>
  <c r="BS27" i="1"/>
  <c r="BS20" i="1"/>
  <c r="BS13" i="1" s="1"/>
  <c r="BT32" i="1"/>
  <c r="BT33" i="1" s="1"/>
  <c r="BR36" i="1" l="1"/>
  <c r="BR38" i="1" s="1"/>
  <c r="BS30" i="1"/>
  <c r="BT16" i="1"/>
  <c r="BT14" i="1" s="1"/>
  <c r="BT18" i="1" s="1"/>
  <c r="BT12" i="1" s="1"/>
  <c r="BT11" i="1" s="1"/>
  <c r="AT4" i="25"/>
  <c r="BS56" i="1" s="1"/>
  <c r="BS7" i="1"/>
  <c r="BR130" i="1"/>
  <c r="BR133" i="1" s="1"/>
  <c r="BT17" i="1" l="1"/>
  <c r="BR40" i="1"/>
  <c r="BR41" i="1"/>
  <c r="BS99" i="1"/>
  <c r="BS100" i="1" s="1"/>
  <c r="BS55" i="1"/>
  <c r="BS54" i="1"/>
  <c r="BS9" i="1"/>
  <c r="BS34" i="1" s="1"/>
  <c r="BS37" i="1" s="1"/>
  <c r="BS57" i="1" l="1"/>
  <c r="BS82" i="1" s="1"/>
  <c r="BT26" i="1"/>
  <c r="BT27" i="1"/>
  <c r="BS131" i="1"/>
  <c r="BT20" i="1"/>
  <c r="BT13" i="1" s="1"/>
  <c r="BU32" i="1"/>
  <c r="BU33" i="1" s="1"/>
  <c r="BS39" i="1" l="1"/>
  <c r="BS61" i="1"/>
  <c r="BS81" i="1" s="1"/>
  <c r="BS36" i="1" s="1"/>
  <c r="BT30" i="1"/>
  <c r="BS35" i="1"/>
  <c r="AU4" i="25"/>
  <c r="BT56" i="1" s="1"/>
  <c r="BT7" i="1"/>
  <c r="BU16" i="1"/>
  <c r="BS41" i="1" l="1"/>
  <c r="BS38" i="1"/>
  <c r="BS87" i="1"/>
  <c r="BU14" i="1"/>
  <c r="BU18" i="1" s="1"/>
  <c r="BU12" i="1" s="1"/>
  <c r="BU11" i="1" s="1"/>
  <c r="BT54" i="1"/>
  <c r="BT9" i="1"/>
  <c r="BT34" i="1" s="1"/>
  <c r="BT37" i="1" s="1"/>
  <c r="BT99" i="1"/>
  <c r="BT100" i="1" s="1"/>
  <c r="BT55" i="1"/>
  <c r="BT57" i="1" l="1"/>
  <c r="BT82" i="1" s="1"/>
  <c r="BU17" i="1"/>
  <c r="BS130" i="1"/>
  <c r="BS133" i="1" s="1"/>
  <c r="BS40" i="1"/>
  <c r="BT131" i="1"/>
  <c r="BT39" i="1" l="1"/>
  <c r="BT61" i="1"/>
  <c r="BT81" i="1" s="1"/>
  <c r="BT87" i="1" s="1"/>
  <c r="BU20" i="1"/>
  <c r="BU13" i="1" s="1"/>
  <c r="BV32" i="1"/>
  <c r="BV33" i="1" s="1"/>
  <c r="BU26" i="1"/>
  <c r="BU27" i="1"/>
  <c r="BT35" i="1"/>
  <c r="BT36" i="1" l="1"/>
  <c r="BT38" i="1" s="1"/>
  <c r="BU30" i="1"/>
  <c r="BT130" i="1"/>
  <c r="BT133" i="1" s="1"/>
  <c r="AV4" i="25"/>
  <c r="BU56" i="1" s="1"/>
  <c r="BU7" i="1"/>
  <c r="BV16" i="1"/>
  <c r="BT41" i="1" l="1"/>
  <c r="BT40" i="1"/>
  <c r="BV14" i="1"/>
  <c r="BV18" i="1" s="1"/>
  <c r="BV12" i="1" s="1"/>
  <c r="BV11" i="1" s="1"/>
  <c r="BU55" i="1"/>
  <c r="BU54" i="1"/>
  <c r="BU9" i="1"/>
  <c r="BU34" i="1" s="1"/>
  <c r="BU37" i="1" s="1"/>
  <c r="BU99" i="1"/>
  <c r="BU100" i="1" s="1"/>
  <c r="BU57" i="1" l="1"/>
  <c r="BU82" i="1" s="1"/>
  <c r="BV17" i="1"/>
  <c r="BU131" i="1"/>
  <c r="BU39" i="1" l="1"/>
  <c r="BU61" i="1"/>
  <c r="BU81" i="1" s="1"/>
  <c r="BU36" i="1" s="1"/>
  <c r="BU35" i="1"/>
  <c r="BV20" i="1"/>
  <c r="BV13" i="1" s="1"/>
  <c r="BW32" i="1"/>
  <c r="BW33" i="1" s="1"/>
  <c r="BV26" i="1"/>
  <c r="BV27" i="1"/>
  <c r="BU87" i="1" l="1"/>
  <c r="BU130" i="1" s="1"/>
  <c r="BU133" i="1" s="1"/>
  <c r="BU38" i="1"/>
  <c r="BU40" i="1" s="1"/>
  <c r="BV30" i="1"/>
  <c r="BW16" i="1"/>
  <c r="AW4" i="25"/>
  <c r="BV56" i="1" s="1"/>
  <c r="BV7" i="1"/>
  <c r="BU41" i="1"/>
  <c r="BV99" i="1" l="1"/>
  <c r="BV100" i="1" s="1"/>
  <c r="BV9" i="1"/>
  <c r="BV34" i="1" s="1"/>
  <c r="BV37" i="1" s="1"/>
  <c r="BV55" i="1"/>
  <c r="BV54" i="1"/>
  <c r="BW14" i="1"/>
  <c r="BW18" i="1" s="1"/>
  <c r="BW12" i="1" s="1"/>
  <c r="BW11" i="1" s="1"/>
  <c r="BV57" i="1" l="1"/>
  <c r="BV82" i="1" s="1"/>
  <c r="BW17" i="1"/>
  <c r="BV131" i="1"/>
  <c r="BV39" i="1" l="1"/>
  <c r="BV61" i="1"/>
  <c r="BV81" i="1" s="1"/>
  <c r="BV36" i="1" s="1"/>
  <c r="BW26" i="1"/>
  <c r="BW27" i="1"/>
  <c r="BV35" i="1"/>
  <c r="BW20" i="1"/>
  <c r="BW13" i="1" s="1"/>
  <c r="BX32" i="1"/>
  <c r="BX33" i="1" s="1"/>
  <c r="BV87" i="1" l="1"/>
  <c r="BV130" i="1" s="1"/>
  <c r="BV133" i="1" s="1"/>
  <c r="BV38" i="1"/>
  <c r="BV40" i="1" s="1"/>
  <c r="BW30" i="1"/>
  <c r="BV41" i="1"/>
  <c r="BW7" i="1"/>
  <c r="AX4" i="25"/>
  <c r="BW56" i="1" s="1"/>
  <c r="BX16" i="1"/>
  <c r="BW55" i="1" l="1"/>
  <c r="BW9" i="1"/>
  <c r="BW34" i="1" s="1"/>
  <c r="BW37" i="1" s="1"/>
  <c r="BW99" i="1"/>
  <c r="BW100" i="1" s="1"/>
  <c r="BW54" i="1"/>
  <c r="BX14" i="1"/>
  <c r="BX18" i="1" s="1"/>
  <c r="BX12" i="1" s="1"/>
  <c r="BX11" i="1" s="1"/>
  <c r="BW57" i="1" l="1"/>
  <c r="BW82" i="1" s="1"/>
  <c r="BX17" i="1"/>
  <c r="BW131" i="1"/>
  <c r="BW39" i="1" l="1"/>
  <c r="BW61" i="1"/>
  <c r="BW81" i="1" s="1"/>
  <c r="BW87" i="1" s="1"/>
  <c r="BX20" i="1"/>
  <c r="BX13" i="1" s="1"/>
  <c r="BY32" i="1"/>
  <c r="BY33" i="1" s="1"/>
  <c r="BX26" i="1"/>
  <c r="BX27" i="1"/>
  <c r="BW35" i="1"/>
  <c r="BW36" i="1" l="1"/>
  <c r="BX30" i="1"/>
  <c r="BW130" i="1"/>
  <c r="BW133" i="1" s="1"/>
  <c r="AY4" i="25"/>
  <c r="BX56" i="1" s="1"/>
  <c r="BX7" i="1"/>
  <c r="BY16" i="1"/>
  <c r="BW41" i="1" l="1"/>
  <c r="BW38" i="1"/>
  <c r="BW40" i="1" s="1"/>
  <c r="BX55" i="1"/>
  <c r="BX99" i="1"/>
  <c r="BX100" i="1" s="1"/>
  <c r="BX54" i="1"/>
  <c r="BX9" i="1"/>
  <c r="BX34" i="1" s="1"/>
  <c r="BX37" i="1" s="1"/>
  <c r="BY14" i="1"/>
  <c r="BY18" i="1" s="1"/>
  <c r="BY12" i="1" s="1"/>
  <c r="BY11" i="1" s="1"/>
  <c r="BX57" i="1" l="1"/>
  <c r="BX82" i="1" s="1"/>
  <c r="BY17" i="1"/>
  <c r="BX131" i="1"/>
  <c r="BX39" i="1" l="1"/>
  <c r="BX61" i="1"/>
  <c r="BX81" i="1" s="1"/>
  <c r="BX36" i="1" s="1"/>
  <c r="BX35" i="1"/>
  <c r="BY20" i="1"/>
  <c r="BY13" i="1" s="1"/>
  <c r="BZ32" i="1"/>
  <c r="BZ33" i="1" s="1"/>
  <c r="BY26" i="1"/>
  <c r="BY27" i="1"/>
  <c r="BX41" i="1" l="1"/>
  <c r="BX38" i="1"/>
  <c r="BX87" i="1"/>
  <c r="BX130" i="1" s="1"/>
  <c r="BX133" i="1" s="1"/>
  <c r="BY30" i="1"/>
  <c r="BZ16" i="1"/>
  <c r="BZ14" i="1" s="1"/>
  <c r="BZ18" i="1" s="1"/>
  <c r="BZ12" i="1" s="1"/>
  <c r="BZ11" i="1" s="1"/>
  <c r="AZ4" i="25"/>
  <c r="BY56" i="1" s="1"/>
  <c r="BY7" i="1"/>
  <c r="BZ17" i="1" l="1"/>
  <c r="BX40" i="1"/>
  <c r="BY54" i="1"/>
  <c r="BY9" i="1"/>
  <c r="BY34" i="1" s="1"/>
  <c r="BY37" i="1" s="1"/>
  <c r="BY55" i="1"/>
  <c r="BY99" i="1"/>
  <c r="BY100" i="1" s="1"/>
  <c r="BY57" i="1" l="1"/>
  <c r="BY82" i="1" s="1"/>
  <c r="BZ26" i="1"/>
  <c r="BZ27" i="1"/>
  <c r="BZ20" i="1"/>
  <c r="BZ13" i="1" s="1"/>
  <c r="CA32" i="1"/>
  <c r="CA33" i="1" s="1"/>
  <c r="BY131" i="1"/>
  <c r="BY39" i="1" l="1"/>
  <c r="BY61" i="1"/>
  <c r="BY81" i="1" s="1"/>
  <c r="BY87" i="1" s="1"/>
  <c r="BZ30" i="1"/>
  <c r="CA16" i="1"/>
  <c r="CA14" i="1" s="1"/>
  <c r="CA18" i="1" s="1"/>
  <c r="CA12" i="1" s="1"/>
  <c r="CA11" i="1" s="1"/>
  <c r="BY35" i="1"/>
  <c r="BA4" i="25"/>
  <c r="BZ56" i="1" s="1"/>
  <c r="BZ7" i="1"/>
  <c r="CA17" i="1" l="1"/>
  <c r="BY36" i="1"/>
  <c r="BY38" i="1" s="1"/>
  <c r="BY130" i="1"/>
  <c r="BY133" i="1" s="1"/>
  <c r="BZ55" i="1"/>
  <c r="BZ99" i="1"/>
  <c r="BZ100" i="1" s="1"/>
  <c r="BZ9" i="1"/>
  <c r="BZ34" i="1" s="1"/>
  <c r="BZ37" i="1" s="1"/>
  <c r="BZ54" i="1"/>
  <c r="BZ57" i="1" l="1"/>
  <c r="BZ82" i="1" s="1"/>
  <c r="BY41" i="1"/>
  <c r="BY40" i="1"/>
  <c r="CA20" i="1"/>
  <c r="CA13" i="1" s="1"/>
  <c r="CB32" i="1"/>
  <c r="CB33" i="1" s="1"/>
  <c r="BZ131" i="1"/>
  <c r="CA26" i="1"/>
  <c r="CA27" i="1"/>
  <c r="BZ39" i="1" l="1"/>
  <c r="BZ61" i="1"/>
  <c r="BZ81" i="1" s="1"/>
  <c r="BZ36" i="1" s="1"/>
  <c r="CA30" i="1"/>
  <c r="CB16" i="1"/>
  <c r="BZ35" i="1"/>
  <c r="BB4" i="25"/>
  <c r="CA56" i="1" s="1"/>
  <c r="CA7" i="1"/>
  <c r="BZ87" i="1" l="1"/>
  <c r="BZ130" i="1" s="1"/>
  <c r="BZ133" i="1" s="1"/>
  <c r="BZ38" i="1"/>
  <c r="BZ41" i="1"/>
  <c r="CA54" i="1"/>
  <c r="CA99" i="1"/>
  <c r="CA100" i="1" s="1"/>
  <c r="CA55" i="1"/>
  <c r="CA9" i="1"/>
  <c r="CA34" i="1" s="1"/>
  <c r="CA37" i="1" s="1"/>
  <c r="CB14" i="1"/>
  <c r="CB18" i="1" s="1"/>
  <c r="CB12" i="1" s="1"/>
  <c r="CB11" i="1" s="1"/>
  <c r="CA57" i="1" l="1"/>
  <c r="CA82" i="1" s="1"/>
  <c r="CB17" i="1"/>
  <c r="BZ40" i="1"/>
  <c r="CA131" i="1"/>
  <c r="CA39" i="1" l="1"/>
  <c r="CA61" i="1"/>
  <c r="CA81" i="1" s="1"/>
  <c r="CA36" i="1" s="1"/>
  <c r="CA35" i="1"/>
  <c r="CB26" i="1"/>
  <c r="CB27" i="1"/>
  <c r="CB20" i="1"/>
  <c r="CB13" i="1" s="1"/>
  <c r="CC32" i="1"/>
  <c r="CC33" i="1" s="1"/>
  <c r="CA41" i="1" l="1"/>
  <c r="CA38" i="1"/>
  <c r="CA87" i="1"/>
  <c r="CB30" i="1"/>
  <c r="BC4" i="25"/>
  <c r="CB56" i="1" s="1"/>
  <c r="CB7" i="1"/>
  <c r="CC16" i="1"/>
  <c r="CA40" i="1" l="1"/>
  <c r="CA130" i="1"/>
  <c r="CA133" i="1" s="1"/>
  <c r="CB99" i="1"/>
  <c r="CB100" i="1" s="1"/>
  <c r="CB9" i="1"/>
  <c r="CB34" i="1" s="1"/>
  <c r="CB37" i="1" s="1"/>
  <c r="CB55" i="1"/>
  <c r="CB54" i="1"/>
  <c r="CC14" i="1"/>
  <c r="CC18" i="1" s="1"/>
  <c r="CC12" i="1" s="1"/>
  <c r="CC11" i="1" s="1"/>
  <c r="CB57" i="1" l="1"/>
  <c r="CB82" i="1" s="1"/>
  <c r="CC17" i="1"/>
  <c r="CB131" i="1"/>
  <c r="CB39" i="1" l="1"/>
  <c r="CB61" i="1"/>
  <c r="CB81" i="1" s="1"/>
  <c r="CB36" i="1" s="1"/>
  <c r="CC26" i="1"/>
  <c r="CC27" i="1"/>
  <c r="CC20" i="1"/>
  <c r="CC13" i="1" s="1"/>
  <c r="CD32" i="1"/>
  <c r="CD33" i="1" s="1"/>
  <c r="CB35" i="1"/>
  <c r="CB38" i="1" l="1"/>
  <c r="CB87" i="1"/>
  <c r="CB41" i="1"/>
  <c r="CC30" i="1"/>
  <c r="CC7" i="1"/>
  <c r="BD4" i="25"/>
  <c r="CC56" i="1" s="1"/>
  <c r="CD16" i="1"/>
  <c r="CB40" i="1" l="1"/>
  <c r="CB130" i="1"/>
  <c r="CB133" i="1" s="1"/>
  <c r="CD14" i="1"/>
  <c r="CD18" i="1" s="1"/>
  <c r="CD12" i="1" s="1"/>
  <c r="CD11" i="1" s="1"/>
  <c r="CC54" i="1"/>
  <c r="CC55" i="1"/>
  <c r="CC9" i="1"/>
  <c r="CC34" i="1" s="1"/>
  <c r="CC37" i="1" s="1"/>
  <c r="CC99" i="1"/>
  <c r="CC100" i="1" s="1"/>
  <c r="CC57" i="1" l="1"/>
  <c r="CC82" i="1" s="1"/>
  <c r="CD17" i="1"/>
  <c r="CC131" i="1"/>
  <c r="CC39" i="1" l="1"/>
  <c r="CC61" i="1"/>
  <c r="CC81" i="1" s="1"/>
  <c r="CC87" i="1" s="1"/>
  <c r="CD20" i="1"/>
  <c r="CD13" i="1" s="1"/>
  <c r="CE32" i="1"/>
  <c r="CE33" i="1" s="1"/>
  <c r="CD26" i="1"/>
  <c r="CD27" i="1"/>
  <c r="CC35" i="1"/>
  <c r="CC36" i="1" l="1"/>
  <c r="CC38" i="1" s="1"/>
  <c r="CD30" i="1"/>
  <c r="CC130" i="1"/>
  <c r="CC133" i="1" s="1"/>
  <c r="CD7" i="1"/>
  <c r="BE4" i="25"/>
  <c r="CD56" i="1" s="1"/>
  <c r="CE16" i="1"/>
  <c r="CC41" i="1" l="1"/>
  <c r="CC40" i="1"/>
  <c r="CE14" i="1"/>
  <c r="CE18" i="1" s="1"/>
  <c r="CE12" i="1" s="1"/>
  <c r="CE11" i="1" s="1"/>
  <c r="CD55" i="1"/>
  <c r="CD99" i="1"/>
  <c r="CD100" i="1" s="1"/>
  <c r="CD9" i="1"/>
  <c r="CD34" i="1" s="1"/>
  <c r="CD37" i="1" s="1"/>
  <c r="CD54" i="1"/>
  <c r="CD57" i="1" l="1"/>
  <c r="CD82" i="1" s="1"/>
  <c r="CE17" i="1"/>
  <c r="CD131" i="1"/>
  <c r="CD39" i="1" l="1"/>
  <c r="CD61" i="1"/>
  <c r="CD81" i="1" s="1"/>
  <c r="CD87" i="1" s="1"/>
  <c r="CD35" i="1"/>
  <c r="CE20" i="1"/>
  <c r="CE13" i="1" s="1"/>
  <c r="CF32" i="1"/>
  <c r="CF33" i="1" s="1"/>
  <c r="CE26" i="1"/>
  <c r="CE27" i="1"/>
  <c r="CD36" i="1" l="1"/>
  <c r="CD38" i="1" s="1"/>
  <c r="CE30" i="1"/>
  <c r="CD130" i="1"/>
  <c r="CD133" i="1" s="1"/>
  <c r="BF4" i="25"/>
  <c r="CE56" i="1" s="1"/>
  <c r="CE7" i="1"/>
  <c r="CF16" i="1"/>
  <c r="CD41" i="1" l="1"/>
  <c r="CD40" i="1"/>
  <c r="CF14" i="1"/>
  <c r="CF18" i="1" s="1"/>
  <c r="CF12" i="1" s="1"/>
  <c r="CF11" i="1" s="1"/>
  <c r="CE54" i="1"/>
  <c r="CE55" i="1"/>
  <c r="CE99" i="1"/>
  <c r="CE100" i="1" s="1"/>
  <c r="CE9" i="1"/>
  <c r="CE34" i="1" s="1"/>
  <c r="CE37" i="1" s="1"/>
  <c r="CE57" i="1" l="1"/>
  <c r="CE82" i="1" s="1"/>
  <c r="CF17" i="1"/>
  <c r="CE131" i="1"/>
  <c r="CE39" i="1" l="1"/>
  <c r="CE61" i="1"/>
  <c r="CE81" i="1" s="1"/>
  <c r="CE87" i="1" s="1"/>
  <c r="CF20" i="1"/>
  <c r="CF13" i="1" s="1"/>
  <c r="CG32" i="1"/>
  <c r="CG33" i="1" s="1"/>
  <c r="CE35" i="1"/>
  <c r="CF26" i="1"/>
  <c r="CF27" i="1"/>
  <c r="CE36" i="1" l="1"/>
  <c r="CE38" i="1" s="1"/>
  <c r="CF30" i="1"/>
  <c r="CF7" i="1"/>
  <c r="BG4" i="25"/>
  <c r="CF56" i="1" s="1"/>
  <c r="CE130" i="1"/>
  <c r="CE133" i="1" s="1"/>
  <c r="CG16" i="1"/>
  <c r="CE40" i="1" l="1"/>
  <c r="CE41" i="1"/>
  <c r="CG14" i="1"/>
  <c r="CG18" i="1" s="1"/>
  <c r="CG12" i="1" s="1"/>
  <c r="CG11" i="1" s="1"/>
  <c r="CF55" i="1"/>
  <c r="CF9" i="1"/>
  <c r="CF34" i="1" s="1"/>
  <c r="CF37" i="1" s="1"/>
  <c r="CF99" i="1"/>
  <c r="CF100" i="1" s="1"/>
  <c r="CF54" i="1"/>
  <c r="CF57" i="1" l="1"/>
  <c r="CF82" i="1" s="1"/>
  <c r="CG17" i="1"/>
  <c r="CF131" i="1"/>
  <c r="CF39" i="1" l="1"/>
  <c r="CF61" i="1"/>
  <c r="CF81" i="1" s="1"/>
  <c r="CF87" i="1" s="1"/>
  <c r="CF35" i="1"/>
  <c r="CG20" i="1"/>
  <c r="CG13" i="1" s="1"/>
  <c r="CH32" i="1"/>
  <c r="CH33" i="1" s="1"/>
  <c r="CG26" i="1"/>
  <c r="CG27" i="1"/>
  <c r="CF36" i="1" l="1"/>
  <c r="CF38" i="1" s="1"/>
  <c r="CH16" i="1"/>
  <c r="CH14" i="1" s="1"/>
  <c r="CH18" i="1" s="1"/>
  <c r="CH12" i="1" s="1"/>
  <c r="CH11" i="1" s="1"/>
  <c r="CG30" i="1"/>
  <c r="CG7" i="1"/>
  <c r="BH4" i="25"/>
  <c r="CG56" i="1" s="1"/>
  <c r="CF130" i="1"/>
  <c r="CF133" i="1" s="1"/>
  <c r="CH17" i="1" l="1"/>
  <c r="CF40" i="1"/>
  <c r="CF41" i="1"/>
  <c r="CG9" i="1"/>
  <c r="CG34" i="1" s="1"/>
  <c r="CG37" i="1" s="1"/>
  <c r="CG54" i="1"/>
  <c r="CG55" i="1"/>
  <c r="CG99" i="1"/>
  <c r="CG100" i="1" s="1"/>
  <c r="CG57" i="1" l="1"/>
  <c r="CG82" i="1" s="1"/>
  <c r="CH26" i="1"/>
  <c r="CH27" i="1"/>
  <c r="CG131" i="1"/>
  <c r="CH20" i="1"/>
  <c r="CH13" i="1" s="1"/>
  <c r="CI32" i="1"/>
  <c r="CI33" i="1" s="1"/>
  <c r="CG39" i="1" l="1"/>
  <c r="CG61" i="1"/>
  <c r="CG81" i="1" s="1"/>
  <c r="CG87" i="1" s="1"/>
  <c r="CH30" i="1"/>
  <c r="CI16" i="1"/>
  <c r="CG35" i="1"/>
  <c r="CH7" i="1"/>
  <c r="BI4" i="25"/>
  <c r="CH56" i="1" s="1"/>
  <c r="CG36" i="1" l="1"/>
  <c r="CG38" i="1" s="1"/>
  <c r="CI14" i="1"/>
  <c r="CI18" i="1" s="1"/>
  <c r="CI12" i="1" s="1"/>
  <c r="CI11" i="1" s="1"/>
  <c r="CH99" i="1"/>
  <c r="CH100" i="1" s="1"/>
  <c r="CH54" i="1"/>
  <c r="CH55" i="1"/>
  <c r="CH9" i="1"/>
  <c r="CH34" i="1" s="1"/>
  <c r="CH37" i="1" s="1"/>
  <c r="CG130" i="1"/>
  <c r="CG133" i="1" s="1"/>
  <c r="CG41" i="1" l="1"/>
  <c r="CH57" i="1"/>
  <c r="CH82" i="1" s="1"/>
  <c r="CI17" i="1"/>
  <c r="CG40" i="1"/>
  <c r="CH131" i="1"/>
  <c r="CH39" i="1" l="1"/>
  <c r="CH61" i="1"/>
  <c r="CH81" i="1" s="1"/>
  <c r="CH87" i="1" s="1"/>
  <c r="CI26" i="1"/>
  <c r="CI27" i="1"/>
  <c r="CI20" i="1"/>
  <c r="CI13" i="1" s="1"/>
  <c r="CJ32" i="1"/>
  <c r="CJ33" i="1" s="1"/>
  <c r="CH35" i="1"/>
  <c r="CH36" i="1" l="1"/>
  <c r="CH38" i="1" s="1"/>
  <c r="CI30" i="1"/>
  <c r="CJ16" i="1"/>
  <c r="CJ14" i="1" s="1"/>
  <c r="CJ18" i="1" s="1"/>
  <c r="CJ12" i="1" s="1"/>
  <c r="CJ11" i="1" s="1"/>
  <c r="BJ4" i="25"/>
  <c r="CI56" i="1" s="1"/>
  <c r="CI7" i="1"/>
  <c r="CH130" i="1"/>
  <c r="CH133" i="1" s="1"/>
  <c r="CJ17" i="1" l="1"/>
  <c r="CH41" i="1"/>
  <c r="CH40" i="1"/>
  <c r="CI54" i="1"/>
  <c r="CI99" i="1"/>
  <c r="CI100" i="1" s="1"/>
  <c r="CI55" i="1"/>
  <c r="CI9" i="1"/>
  <c r="CI34" i="1" s="1"/>
  <c r="CI37" i="1" s="1"/>
  <c r="CI57" i="1" l="1"/>
  <c r="CI82" i="1" s="1"/>
  <c r="CJ26" i="1"/>
  <c r="CJ27" i="1"/>
  <c r="CI131" i="1"/>
  <c r="CJ20" i="1"/>
  <c r="CJ13" i="1" s="1"/>
  <c r="CK32" i="1"/>
  <c r="CK33" i="1" s="1"/>
  <c r="CI39" i="1" l="1"/>
  <c r="CI61" i="1"/>
  <c r="CI81" i="1" s="1"/>
  <c r="CI36" i="1" s="1"/>
  <c r="CJ30" i="1"/>
  <c r="CI35" i="1"/>
  <c r="BK4" i="25"/>
  <c r="CJ56" i="1" s="1"/>
  <c r="CJ7" i="1"/>
  <c r="CK16" i="1"/>
  <c r="CI87" i="1" l="1"/>
  <c r="CI130" i="1" s="1"/>
  <c r="CI133" i="1" s="1"/>
  <c r="CI38" i="1"/>
  <c r="CI40" i="1" s="1"/>
  <c r="CI41" i="1"/>
  <c r="CJ55" i="1"/>
  <c r="CJ9" i="1"/>
  <c r="CJ34" i="1" s="1"/>
  <c r="CJ37" i="1" s="1"/>
  <c r="CJ99" i="1"/>
  <c r="CJ100" i="1" s="1"/>
  <c r="CJ54" i="1"/>
  <c r="CK14" i="1"/>
  <c r="CK18" i="1" s="1"/>
  <c r="CK12" i="1" s="1"/>
  <c r="CK11" i="1" s="1"/>
  <c r="CJ57" i="1" l="1"/>
  <c r="CJ82" i="1" s="1"/>
  <c r="CK17" i="1"/>
  <c r="CJ131" i="1"/>
  <c r="CJ39" i="1" l="1"/>
  <c r="CJ61" i="1"/>
  <c r="CJ81" i="1" s="1"/>
  <c r="CJ36" i="1" s="1"/>
  <c r="CK20" i="1"/>
  <c r="CK13" i="1" s="1"/>
  <c r="CL32" i="1"/>
  <c r="CL33" i="1" s="1"/>
  <c r="CK26" i="1"/>
  <c r="CK27" i="1"/>
  <c r="CJ35" i="1"/>
  <c r="CJ87" i="1" l="1"/>
  <c r="CJ130" i="1" s="1"/>
  <c r="CJ133" i="1" s="1"/>
  <c r="CJ41" i="1"/>
  <c r="CJ38" i="1"/>
  <c r="CK30" i="1"/>
  <c r="CK7" i="1"/>
  <c r="BL4" i="25"/>
  <c r="CK56" i="1" s="1"/>
  <c r="CL16" i="1"/>
  <c r="CJ40" i="1" l="1"/>
  <c r="CK9" i="1"/>
  <c r="CK34" i="1" s="1"/>
  <c r="CK37" i="1" s="1"/>
  <c r="CK99" i="1"/>
  <c r="CK100" i="1" s="1"/>
  <c r="CK54" i="1"/>
  <c r="CK55" i="1"/>
  <c r="CL14" i="1"/>
  <c r="CL18" i="1" s="1"/>
  <c r="CL12" i="1" s="1"/>
  <c r="CL11" i="1" s="1"/>
  <c r="CK57" i="1" l="1"/>
  <c r="CK82" i="1" s="1"/>
  <c r="CL17" i="1"/>
  <c r="CK131" i="1"/>
  <c r="CK39" i="1" l="1"/>
  <c r="CK61" i="1"/>
  <c r="CK81" i="1" s="1"/>
  <c r="CK36" i="1" s="1"/>
  <c r="CL20" i="1"/>
  <c r="CL13" i="1" s="1"/>
  <c r="CM32" i="1"/>
  <c r="CM33" i="1" s="1"/>
  <c r="CL26" i="1"/>
  <c r="CL27" i="1"/>
  <c r="CK35" i="1"/>
  <c r="CK87" i="1" l="1"/>
  <c r="CK130" i="1" s="1"/>
  <c r="CK133" i="1" s="1"/>
  <c r="CK38" i="1"/>
  <c r="CK41" i="1"/>
  <c r="CL30" i="1"/>
  <c r="CM16" i="1"/>
  <c r="CM14" i="1" s="1"/>
  <c r="CM18" i="1" s="1"/>
  <c r="CM12" i="1" s="1"/>
  <c r="CM11" i="1" s="1"/>
  <c r="BM4" i="25"/>
  <c r="CL56" i="1" s="1"/>
  <c r="CL7" i="1"/>
  <c r="CK40" i="1" l="1"/>
  <c r="CM17" i="1"/>
  <c r="CL99" i="1"/>
  <c r="CL100" i="1" s="1"/>
  <c r="CL55" i="1"/>
  <c r="CL54" i="1"/>
  <c r="CL9" i="1"/>
  <c r="CL34" i="1" s="1"/>
  <c r="CL37" i="1" s="1"/>
  <c r="CL57" i="1" l="1"/>
  <c r="CL82" i="1" s="1"/>
  <c r="CM26" i="1"/>
  <c r="CM27" i="1"/>
  <c r="CM20" i="1"/>
  <c r="CM13" i="1" s="1"/>
  <c r="CN32" i="1"/>
  <c r="CN33" i="1" s="1"/>
  <c r="CL131" i="1"/>
  <c r="CL39" i="1" l="1"/>
  <c r="CL61" i="1"/>
  <c r="CL81" i="1" s="1"/>
  <c r="CL36" i="1" s="1"/>
  <c r="CM30" i="1"/>
  <c r="BN4" i="25"/>
  <c r="CM56" i="1" s="1"/>
  <c r="CM7" i="1"/>
  <c r="CL35" i="1"/>
  <c r="CN16" i="1"/>
  <c r="CL41" i="1" l="1"/>
  <c r="CL38" i="1"/>
  <c r="CL87" i="1"/>
  <c r="CM54" i="1"/>
  <c r="CM99" i="1"/>
  <c r="CM100" i="1" s="1"/>
  <c r="CM55" i="1"/>
  <c r="CM9" i="1"/>
  <c r="CM34" i="1" s="1"/>
  <c r="CM37" i="1" s="1"/>
  <c r="CN14" i="1"/>
  <c r="CN18" i="1" s="1"/>
  <c r="CN12" i="1" s="1"/>
  <c r="CN11" i="1" s="1"/>
  <c r="CM57" i="1" l="1"/>
  <c r="CM82" i="1" s="1"/>
  <c r="CN17" i="1"/>
  <c r="CL130" i="1"/>
  <c r="CL133" i="1" s="1"/>
  <c r="CL40" i="1"/>
  <c r="CM131" i="1"/>
  <c r="CM39" i="1" l="1"/>
  <c r="CM61" i="1"/>
  <c r="CM81" i="1" s="1"/>
  <c r="CM87" i="1" s="1"/>
  <c r="CN26" i="1"/>
  <c r="CN27" i="1"/>
  <c r="CN20" i="1"/>
  <c r="CN13" i="1" s="1"/>
  <c r="CO32" i="1"/>
  <c r="CO33" i="1" s="1"/>
  <c r="CM35" i="1"/>
  <c r="CM36" i="1" l="1"/>
  <c r="CM38" i="1" s="1"/>
  <c r="CN30" i="1"/>
  <c r="CO16" i="1"/>
  <c r="CO14" i="1" s="1"/>
  <c r="CO18" i="1" s="1"/>
  <c r="CO12" i="1" s="1"/>
  <c r="CO11" i="1" s="1"/>
  <c r="CN7" i="1"/>
  <c r="BO4" i="25"/>
  <c r="CN56" i="1" s="1"/>
  <c r="CM130" i="1"/>
  <c r="CM133" i="1" s="1"/>
  <c r="CM40" i="1" l="1"/>
  <c r="CO17" i="1"/>
  <c r="CM41" i="1"/>
  <c r="CN9" i="1"/>
  <c r="CN34" i="1" s="1"/>
  <c r="CN37" i="1" s="1"/>
  <c r="CN55" i="1"/>
  <c r="CN54" i="1"/>
  <c r="CN99" i="1"/>
  <c r="CN100" i="1" s="1"/>
  <c r="CN57" i="1" l="1"/>
  <c r="CN82" i="1" s="1"/>
  <c r="CN131" i="1"/>
  <c r="CO20" i="1"/>
  <c r="CO13" i="1" s="1"/>
  <c r="CP32" i="1"/>
  <c r="CP33" i="1" s="1"/>
  <c r="CO26" i="1"/>
  <c r="CO27" i="1"/>
  <c r="CN39" i="1" l="1"/>
  <c r="CN61" i="1"/>
  <c r="CN81" i="1" s="1"/>
  <c r="CN36" i="1" s="1"/>
  <c r="CO30" i="1"/>
  <c r="CP16" i="1"/>
  <c r="CP14" i="1" s="1"/>
  <c r="CP18" i="1" s="1"/>
  <c r="CP12" i="1" s="1"/>
  <c r="CP11" i="1" s="1"/>
  <c r="CO7" i="1"/>
  <c r="BP4" i="25"/>
  <c r="CO56" i="1" s="1"/>
  <c r="CN35" i="1"/>
  <c r="CN87" i="1" l="1"/>
  <c r="CN130" i="1" s="1"/>
  <c r="CN133" i="1" s="1"/>
  <c r="CP17" i="1"/>
  <c r="CN38" i="1"/>
  <c r="CN41" i="1"/>
  <c r="CO9" i="1"/>
  <c r="CO34" i="1" s="1"/>
  <c r="CO37" i="1" s="1"/>
  <c r="CO99" i="1"/>
  <c r="CO100" i="1" s="1"/>
  <c r="CO54" i="1"/>
  <c r="CO55" i="1"/>
  <c r="CO57" i="1" l="1"/>
  <c r="CO82" i="1" s="1"/>
  <c r="CN40" i="1"/>
  <c r="CO131" i="1"/>
  <c r="CP26" i="1"/>
  <c r="CP27" i="1"/>
  <c r="CP20" i="1"/>
  <c r="CP13" i="1" s="1"/>
  <c r="CQ32" i="1"/>
  <c r="CQ33" i="1" s="1"/>
  <c r="CO39" i="1" l="1"/>
  <c r="CO61" i="1"/>
  <c r="CO81" i="1" s="1"/>
  <c r="CO87" i="1" s="1"/>
  <c r="CP30" i="1"/>
  <c r="CQ16" i="1"/>
  <c r="CQ14" i="1" s="1"/>
  <c r="CQ18" i="1" s="1"/>
  <c r="CQ12" i="1" s="1"/>
  <c r="CQ11" i="1" s="1"/>
  <c r="CO35" i="1"/>
  <c r="CP7" i="1"/>
  <c r="BQ4" i="25"/>
  <c r="CP56" i="1" s="1"/>
  <c r="CO36" i="1" l="1"/>
  <c r="CO38" i="1" s="1"/>
  <c r="CQ17" i="1"/>
  <c r="CO130" i="1"/>
  <c r="CO133" i="1" s="1"/>
  <c r="CP99" i="1"/>
  <c r="CP100" i="1" s="1"/>
  <c r="CP9" i="1"/>
  <c r="CP34" i="1" s="1"/>
  <c r="CP37" i="1" s="1"/>
  <c r="CP54" i="1"/>
  <c r="CP55" i="1"/>
  <c r="CP57" i="1" l="1"/>
  <c r="CP82" i="1" s="1"/>
  <c r="CO41" i="1"/>
  <c r="CO40" i="1"/>
  <c r="CQ20" i="1"/>
  <c r="CQ13" i="1" s="1"/>
  <c r="CR32" i="1"/>
  <c r="CR33" i="1" s="1"/>
  <c r="CP131" i="1"/>
  <c r="CQ26" i="1"/>
  <c r="CQ27" i="1"/>
  <c r="CP39" i="1" l="1"/>
  <c r="CP61" i="1"/>
  <c r="CP81" i="1" s="1"/>
  <c r="CP87" i="1" s="1"/>
  <c r="CQ30" i="1"/>
  <c r="CR16" i="1"/>
  <c r="CR14" i="1" s="1"/>
  <c r="CR18" i="1" s="1"/>
  <c r="CR12" i="1" s="1"/>
  <c r="CR11" i="1" s="1"/>
  <c r="CQ7" i="1"/>
  <c r="BR4" i="25"/>
  <c r="CQ56" i="1" s="1"/>
  <c r="CP35" i="1"/>
  <c r="CR17" i="1" l="1"/>
  <c r="CP36" i="1"/>
  <c r="CP38" i="1" s="1"/>
  <c r="CQ55" i="1"/>
  <c r="CQ99" i="1"/>
  <c r="CQ100" i="1" s="1"/>
  <c r="CQ54" i="1"/>
  <c r="CQ9" i="1"/>
  <c r="CQ34" i="1" s="1"/>
  <c r="CQ37" i="1" s="1"/>
  <c r="CP130" i="1"/>
  <c r="CP133" i="1" s="1"/>
  <c r="CP40" i="1" l="1"/>
  <c r="CQ57" i="1"/>
  <c r="CQ82" i="1" s="1"/>
  <c r="CP41" i="1"/>
  <c r="CR20" i="1"/>
  <c r="CR13" i="1" s="1"/>
  <c r="CS32" i="1"/>
  <c r="CS33" i="1" s="1"/>
  <c r="CQ131" i="1"/>
  <c r="CR26" i="1"/>
  <c r="CR27" i="1"/>
  <c r="CQ39" i="1" l="1"/>
  <c r="CQ61" i="1"/>
  <c r="CQ81" i="1" s="1"/>
  <c r="CQ36" i="1" s="1"/>
  <c r="CR30" i="1"/>
  <c r="CQ35" i="1"/>
  <c r="BS4" i="25"/>
  <c r="CR56" i="1" s="1"/>
  <c r="CR7" i="1"/>
  <c r="CS16" i="1"/>
  <c r="CQ41" i="1" l="1"/>
  <c r="CQ38" i="1"/>
  <c r="CQ87" i="1"/>
  <c r="CQ130" i="1" s="1"/>
  <c r="CQ133" i="1" s="1"/>
  <c r="CS14" i="1"/>
  <c r="CS18" i="1" s="1"/>
  <c r="CS12" i="1" s="1"/>
  <c r="CS11" i="1" s="1"/>
  <c r="CR54" i="1"/>
  <c r="CR99" i="1"/>
  <c r="CR100" i="1" s="1"/>
  <c r="CR9" i="1"/>
  <c r="CR34" i="1" s="1"/>
  <c r="CR37" i="1" s="1"/>
  <c r="CR55" i="1"/>
  <c r="CQ40" i="1" l="1"/>
  <c r="CR57" i="1"/>
  <c r="CR82" i="1" s="1"/>
  <c r="CS17" i="1"/>
  <c r="CR131" i="1"/>
  <c r="CR39" i="1" l="1"/>
  <c r="CR61" i="1"/>
  <c r="CR81" i="1" s="1"/>
  <c r="CR36" i="1" s="1"/>
  <c r="CS26" i="1"/>
  <c r="CS27" i="1"/>
  <c r="CS20" i="1"/>
  <c r="CS13" i="1" s="1"/>
  <c r="CT32" i="1"/>
  <c r="CT33" i="1" s="1"/>
  <c r="CR35" i="1"/>
  <c r="CR87" i="1" l="1"/>
  <c r="CR130" i="1" s="1"/>
  <c r="CR133" i="1" s="1"/>
  <c r="CR38" i="1"/>
  <c r="CS30" i="1"/>
  <c r="CT16" i="1"/>
  <c r="CT14" i="1" s="1"/>
  <c r="CT18" i="1" s="1"/>
  <c r="CT12" i="1" s="1"/>
  <c r="CT11" i="1" s="1"/>
  <c r="CS7" i="1"/>
  <c r="BT4" i="25"/>
  <c r="CS56" i="1" s="1"/>
  <c r="CT17" i="1" l="1"/>
  <c r="CR40" i="1"/>
  <c r="CR41" i="1"/>
  <c r="CS54" i="1"/>
  <c r="CS9" i="1"/>
  <c r="CS34" i="1" s="1"/>
  <c r="CS37" i="1" s="1"/>
  <c r="CS99" i="1"/>
  <c r="CS100" i="1" s="1"/>
  <c r="CS55" i="1"/>
  <c r="CS57" i="1" l="1"/>
  <c r="CS82" i="1" s="1"/>
  <c r="CS131" i="1"/>
  <c r="CT26" i="1"/>
  <c r="CT27" i="1"/>
  <c r="CT20" i="1"/>
  <c r="CT13" i="1" s="1"/>
  <c r="CU32" i="1"/>
  <c r="CU33" i="1" s="1"/>
  <c r="CS39" i="1" l="1"/>
  <c r="CS61" i="1"/>
  <c r="CS81" i="1" s="1"/>
  <c r="CS36" i="1" s="1"/>
  <c r="CT30" i="1"/>
  <c r="CU16" i="1"/>
  <c r="CU14" i="1" s="1"/>
  <c r="CU18" i="1" s="1"/>
  <c r="CU12" i="1" s="1"/>
  <c r="CU11" i="1" s="1"/>
  <c r="BU4" i="25"/>
  <c r="CT56" i="1" s="1"/>
  <c r="CT7" i="1"/>
  <c r="CS35" i="1"/>
  <c r="CU17" i="1" l="1"/>
  <c r="CS41" i="1"/>
  <c r="CS38" i="1"/>
  <c r="CS87" i="1"/>
  <c r="CT9" i="1"/>
  <c r="CT34" i="1" s="1"/>
  <c r="CT37" i="1" s="1"/>
  <c r="CT54" i="1"/>
  <c r="CT55" i="1"/>
  <c r="CT99" i="1"/>
  <c r="CT100" i="1" s="1"/>
  <c r="CT57" i="1" l="1"/>
  <c r="CT82" i="1" s="1"/>
  <c r="CS40" i="1"/>
  <c r="CS130" i="1"/>
  <c r="CS133" i="1" s="1"/>
  <c r="CU26" i="1"/>
  <c r="CU27" i="1"/>
  <c r="CU20" i="1"/>
  <c r="CU13" i="1" s="1"/>
  <c r="CV32" i="1"/>
  <c r="CV33" i="1" s="1"/>
  <c r="CT131" i="1"/>
  <c r="CT39" i="1" l="1"/>
  <c r="CT61" i="1"/>
  <c r="CT81" i="1" s="1"/>
  <c r="CT36" i="1" s="1"/>
  <c r="CU30" i="1"/>
  <c r="BV4" i="25"/>
  <c r="CU56" i="1" s="1"/>
  <c r="CU7" i="1"/>
  <c r="CT35" i="1"/>
  <c r="CV16" i="1"/>
  <c r="CT41" i="1" l="1"/>
  <c r="CT38" i="1"/>
  <c r="CT87" i="1"/>
  <c r="CU54" i="1"/>
  <c r="CU9" i="1"/>
  <c r="CU34" i="1" s="1"/>
  <c r="CU37" i="1" s="1"/>
  <c r="CU99" i="1"/>
  <c r="CU100" i="1" s="1"/>
  <c r="CU55" i="1"/>
  <c r="CV14" i="1"/>
  <c r="CV18" i="1" s="1"/>
  <c r="CV12" i="1" s="1"/>
  <c r="CV11" i="1" s="1"/>
  <c r="CU57" i="1" l="1"/>
  <c r="CU82" i="1" s="1"/>
  <c r="CV17" i="1"/>
  <c r="CT130" i="1"/>
  <c r="CT133" i="1" s="1"/>
  <c r="CT40" i="1"/>
  <c r="CU131" i="1"/>
  <c r="CU39" i="1" l="1"/>
  <c r="CU61" i="1"/>
  <c r="CU81" i="1" s="1"/>
  <c r="CU36" i="1" s="1"/>
  <c r="CV26" i="1"/>
  <c r="CV27" i="1"/>
  <c r="CU35" i="1"/>
  <c r="CV20" i="1"/>
  <c r="CV13" i="1" s="1"/>
  <c r="CW32" i="1"/>
  <c r="CW33" i="1" s="1"/>
  <c r="CU87" i="1" l="1"/>
  <c r="CU130" i="1" s="1"/>
  <c r="CU133" i="1" s="1"/>
  <c r="CU38" i="1"/>
  <c r="CU41" i="1"/>
  <c r="CV30" i="1"/>
  <c r="CW16" i="1"/>
  <c r="CV7" i="1"/>
  <c r="BW4" i="25"/>
  <c r="CV56" i="1" s="1"/>
  <c r="CU40" i="1" l="1"/>
  <c r="CV9" i="1"/>
  <c r="CV34" i="1" s="1"/>
  <c r="CV37" i="1" s="1"/>
  <c r="CV54" i="1"/>
  <c r="CV99" i="1"/>
  <c r="CV100" i="1" s="1"/>
  <c r="CV55" i="1"/>
  <c r="CW14" i="1"/>
  <c r="CW18" i="1" s="1"/>
  <c r="CW12" i="1" s="1"/>
  <c r="CW11" i="1" s="1"/>
  <c r="CV57" i="1" l="1"/>
  <c r="CV82" i="1" s="1"/>
  <c r="CW17" i="1"/>
  <c r="CV131" i="1"/>
  <c r="CV39" i="1" l="1"/>
  <c r="CV61" i="1"/>
  <c r="CV81" i="1" s="1"/>
  <c r="CV87" i="1" s="1"/>
  <c r="CW26" i="1"/>
  <c r="CW27" i="1"/>
  <c r="CV35" i="1"/>
  <c r="CW20" i="1"/>
  <c r="CW13" i="1" s="1"/>
  <c r="CX32" i="1"/>
  <c r="CX33" i="1" s="1"/>
  <c r="CV36" i="1" l="1"/>
  <c r="CV38" i="1" s="1"/>
  <c r="CW30" i="1"/>
  <c r="CX16" i="1"/>
  <c r="CX14" i="1" s="1"/>
  <c r="CX18" i="1" s="1"/>
  <c r="CX12" i="1" s="1"/>
  <c r="CX11" i="1" s="1"/>
  <c r="CV130" i="1"/>
  <c r="CV133" i="1" s="1"/>
  <c r="BX4" i="25"/>
  <c r="CW56" i="1" s="1"/>
  <c r="CW7" i="1"/>
  <c r="CX17" i="1" l="1"/>
  <c r="CV41" i="1"/>
  <c r="CV40" i="1"/>
  <c r="CW9" i="1"/>
  <c r="CW34" i="1" s="1"/>
  <c r="CW37" i="1" s="1"/>
  <c r="CW99" i="1"/>
  <c r="CW100" i="1" s="1"/>
  <c r="CW54" i="1"/>
  <c r="CW55" i="1"/>
  <c r="CW57" i="1" l="1"/>
  <c r="CW82" i="1" s="1"/>
  <c r="CX20" i="1"/>
  <c r="CX13" i="1" s="1"/>
  <c r="CY32" i="1"/>
  <c r="CY33" i="1" s="1"/>
  <c r="CX26" i="1"/>
  <c r="CX27" i="1"/>
  <c r="CW131" i="1"/>
  <c r="CW39" i="1" l="1"/>
  <c r="CW61" i="1"/>
  <c r="CW81" i="1" s="1"/>
  <c r="CW36" i="1" s="1"/>
  <c r="CX30" i="1"/>
  <c r="BY4" i="25"/>
  <c r="CX56" i="1" s="1"/>
  <c r="CX7" i="1"/>
  <c r="CW35" i="1"/>
  <c r="CY16" i="1"/>
  <c r="CW38" i="1" l="1"/>
  <c r="CW41" i="1"/>
  <c r="CW87" i="1"/>
  <c r="CW130" i="1" s="1"/>
  <c r="CW133" i="1" s="1"/>
  <c r="CY14" i="1"/>
  <c r="CY18" i="1" s="1"/>
  <c r="CY12" i="1" s="1"/>
  <c r="CY11" i="1" s="1"/>
  <c r="CX55" i="1"/>
  <c r="CX54" i="1"/>
  <c r="CX9" i="1"/>
  <c r="CX34" i="1" s="1"/>
  <c r="CX37" i="1" s="1"/>
  <c r="CX99" i="1"/>
  <c r="CX100" i="1" s="1"/>
  <c r="CX57" i="1" l="1"/>
  <c r="CX82" i="1" s="1"/>
  <c r="CY17" i="1"/>
  <c r="CW40" i="1"/>
  <c r="CX131" i="1"/>
  <c r="CX39" i="1" l="1"/>
  <c r="CX61" i="1"/>
  <c r="CX81" i="1" s="1"/>
  <c r="CX87" i="1" s="1"/>
  <c r="CX35" i="1"/>
  <c r="CY20" i="1"/>
  <c r="CY13" i="1" s="1"/>
  <c r="CZ32" i="1"/>
  <c r="CZ33" i="1" s="1"/>
  <c r="CY26" i="1"/>
  <c r="CY27" i="1"/>
  <c r="CX36" i="1" l="1"/>
  <c r="CX38" i="1" s="1"/>
  <c r="CY30" i="1"/>
  <c r="CZ16" i="1"/>
  <c r="CZ14" i="1" s="1"/>
  <c r="CZ18" i="1" s="1"/>
  <c r="CZ12" i="1" s="1"/>
  <c r="CZ11" i="1" s="1"/>
  <c r="BZ4" i="25"/>
  <c r="CY56" i="1" s="1"/>
  <c r="CY7" i="1"/>
  <c r="CX130" i="1"/>
  <c r="CX133" i="1" s="1"/>
  <c r="CZ17" i="1" l="1"/>
  <c r="CX41" i="1"/>
  <c r="CX40" i="1"/>
  <c r="CY9" i="1"/>
  <c r="CY34" i="1" s="1"/>
  <c r="CY37" i="1" s="1"/>
  <c r="CY99" i="1"/>
  <c r="CY100" i="1" s="1"/>
  <c r="CY54" i="1"/>
  <c r="CY55" i="1"/>
  <c r="CY57" i="1" l="1"/>
  <c r="CY82" i="1" s="1"/>
  <c r="CZ26" i="1"/>
  <c r="CZ27" i="1"/>
  <c r="CZ20" i="1"/>
  <c r="CZ13" i="1" s="1"/>
  <c r="DA32" i="1"/>
  <c r="DA33" i="1" s="1"/>
  <c r="CY131" i="1"/>
  <c r="CY39" i="1" l="1"/>
  <c r="CY61" i="1"/>
  <c r="CY81" i="1" s="1"/>
  <c r="CY87" i="1" s="1"/>
  <c r="CZ30" i="1"/>
  <c r="CY35" i="1"/>
  <c r="CZ7" i="1"/>
  <c r="CA4" i="25"/>
  <c r="CZ56" i="1" s="1"/>
  <c r="DA16" i="1"/>
  <c r="CY36" i="1" l="1"/>
  <c r="CY38" i="1" s="1"/>
  <c r="DA14" i="1"/>
  <c r="DA18" i="1" s="1"/>
  <c r="DA12" i="1" s="1"/>
  <c r="DA11" i="1" s="1"/>
  <c r="CZ54" i="1"/>
  <c r="CZ99" i="1"/>
  <c r="CZ100" i="1" s="1"/>
  <c r="CZ55" i="1"/>
  <c r="CZ9" i="1"/>
  <c r="CZ34" i="1" s="1"/>
  <c r="CZ37" i="1" s="1"/>
  <c r="CY130" i="1"/>
  <c r="CY133" i="1" s="1"/>
  <c r="CY41" i="1" l="1"/>
  <c r="CZ57" i="1"/>
  <c r="CZ82" i="1" s="1"/>
  <c r="DA17" i="1"/>
  <c r="CY40" i="1"/>
  <c r="CZ131" i="1"/>
  <c r="CZ39" i="1" l="1"/>
  <c r="CZ61" i="1"/>
  <c r="CZ81" i="1" s="1"/>
  <c r="CZ87" i="1" s="1"/>
  <c r="DA20" i="1"/>
  <c r="DA13" i="1" s="1"/>
  <c r="DB32" i="1"/>
  <c r="DB33" i="1" s="1"/>
  <c r="DA26" i="1"/>
  <c r="DA27" i="1"/>
  <c r="CZ35" i="1"/>
  <c r="CZ36" i="1" l="1"/>
  <c r="CZ38" i="1" s="1"/>
  <c r="CZ40" i="1" s="1"/>
  <c r="DA30" i="1"/>
  <c r="DB16" i="1"/>
  <c r="DA7" i="1"/>
  <c r="CB4" i="25"/>
  <c r="DA56" i="1" s="1"/>
  <c r="CZ130" i="1"/>
  <c r="CZ133" i="1" s="1"/>
  <c r="CZ41" i="1" l="1"/>
  <c r="DA54" i="1"/>
  <c r="DA9" i="1"/>
  <c r="DA34" i="1" s="1"/>
  <c r="DA37" i="1" s="1"/>
  <c r="DA55" i="1"/>
  <c r="DA99" i="1"/>
  <c r="DA100" i="1" s="1"/>
  <c r="DB14" i="1"/>
  <c r="DB18" i="1" s="1"/>
  <c r="DB12" i="1" s="1"/>
  <c r="DB11" i="1" s="1"/>
  <c r="DA57" i="1" l="1"/>
  <c r="DA82" i="1" s="1"/>
  <c r="DB17" i="1"/>
  <c r="DA131" i="1"/>
  <c r="DA39" i="1" l="1"/>
  <c r="DA61" i="1"/>
  <c r="DA81" i="1" s="1"/>
  <c r="DA36" i="1" s="1"/>
  <c r="DB20" i="1"/>
  <c r="DB13" i="1" s="1"/>
  <c r="DC32" i="1"/>
  <c r="DC33" i="1" s="1"/>
  <c r="DB26" i="1"/>
  <c r="DB27" i="1"/>
  <c r="DA35" i="1"/>
  <c r="DA41" i="1" l="1"/>
  <c r="DA38" i="1"/>
  <c r="DA87" i="1"/>
  <c r="DB30" i="1"/>
  <c r="DC16" i="1"/>
  <c r="CC4" i="25"/>
  <c r="DB56" i="1" s="1"/>
  <c r="DB7" i="1"/>
  <c r="DA130" i="1" l="1"/>
  <c r="DA133" i="1" s="1"/>
  <c r="DA40" i="1"/>
  <c r="DB55" i="1"/>
  <c r="DB9" i="1"/>
  <c r="DB34" i="1" s="1"/>
  <c r="DB37" i="1" s="1"/>
  <c r="DB54" i="1"/>
  <c r="DB57" i="1" s="1"/>
  <c r="DB82" i="1" s="1"/>
  <c r="DB99" i="1"/>
  <c r="DB100" i="1" s="1"/>
  <c r="DC14" i="1"/>
  <c r="DC18" i="1" s="1"/>
  <c r="DC12" i="1" s="1"/>
  <c r="DC11" i="1" s="1"/>
  <c r="DB39" i="1" l="1"/>
  <c r="DC17" i="1"/>
  <c r="DB131" i="1"/>
  <c r="DB61" i="1" l="1"/>
  <c r="DB81" i="1" s="1"/>
  <c r="DB36" i="1" s="1"/>
  <c r="DB35" i="1"/>
  <c r="DC20" i="1"/>
  <c r="DC13" i="1" s="1"/>
  <c r="DD32" i="1"/>
  <c r="DD33" i="1" s="1"/>
  <c r="DC26" i="1"/>
  <c r="DC27" i="1"/>
  <c r="DB87" i="1" l="1"/>
  <c r="DB130" i="1" s="1"/>
  <c r="DB133" i="1" s="1"/>
  <c r="DB41" i="1"/>
  <c r="DB38" i="1"/>
  <c r="DC30" i="1"/>
  <c r="DD16" i="1"/>
  <c r="DD14" i="1" s="1"/>
  <c r="DD18" i="1" s="1"/>
  <c r="DD12" i="1" s="1"/>
  <c r="DD11" i="1" s="1"/>
  <c r="DC7" i="1"/>
  <c r="CD4" i="25"/>
  <c r="DC56" i="1" s="1"/>
  <c r="DD17" i="1" l="1"/>
  <c r="DB40" i="1"/>
  <c r="DC9" i="1"/>
  <c r="DC34" i="1" s="1"/>
  <c r="DC37" i="1" s="1"/>
  <c r="DC99" i="1"/>
  <c r="DC100" i="1" s="1"/>
  <c r="DC55" i="1"/>
  <c r="DC54" i="1"/>
  <c r="DC57" i="1" l="1"/>
  <c r="DC131" i="1"/>
  <c r="DD20" i="1"/>
  <c r="DD13" i="1" s="1"/>
  <c r="DE32" i="1"/>
  <c r="DE33" i="1" s="1"/>
  <c r="DD26" i="1"/>
  <c r="DD27" i="1"/>
  <c r="DC82" i="1" l="1"/>
  <c r="DC61" i="1"/>
  <c r="DC81" i="1" s="1"/>
  <c r="DC87" i="1" s="1"/>
  <c r="DD30" i="1"/>
  <c r="DD7" i="1"/>
  <c r="CE4" i="25"/>
  <c r="DD56" i="1" s="1"/>
  <c r="DC35" i="1"/>
  <c r="DE16" i="1"/>
  <c r="DC39" i="1" l="1"/>
  <c r="DC36" i="1"/>
  <c r="DC38" i="1" s="1"/>
  <c r="DC130" i="1"/>
  <c r="DC133" i="1" s="1"/>
  <c r="DE14" i="1"/>
  <c r="DE18" i="1" s="1"/>
  <c r="DE12" i="1" s="1"/>
  <c r="DE11" i="1" s="1"/>
  <c r="DD9" i="1"/>
  <c r="DD34" i="1" s="1"/>
  <c r="DD37" i="1" s="1"/>
  <c r="DD99" i="1"/>
  <c r="DD100" i="1" s="1"/>
  <c r="DD54" i="1"/>
  <c r="DD55" i="1"/>
  <c r="DC41" i="1" l="1"/>
  <c r="DD57" i="1"/>
  <c r="DD82" i="1" s="1"/>
  <c r="DE17" i="1"/>
  <c r="DC40" i="1"/>
  <c r="DD131" i="1"/>
  <c r="DD39" i="1" l="1"/>
  <c r="DD61" i="1"/>
  <c r="DD81" i="1" s="1"/>
  <c r="DD36" i="1" s="1"/>
  <c r="DE26" i="1"/>
  <c r="DE27" i="1"/>
  <c r="DE20" i="1"/>
  <c r="DE13" i="1" s="1"/>
  <c r="DF32" i="1"/>
  <c r="DF33" i="1" s="1"/>
  <c r="DD35" i="1"/>
  <c r="DD41" i="1" l="1"/>
  <c r="DD38" i="1"/>
  <c r="DD87" i="1"/>
  <c r="DD130" i="1" s="1"/>
  <c r="DD133" i="1" s="1"/>
  <c r="DE30" i="1"/>
  <c r="DF16" i="1"/>
  <c r="DF14" i="1" s="1"/>
  <c r="DF18" i="1" s="1"/>
  <c r="DF12" i="1" s="1"/>
  <c r="DF11" i="1" s="1"/>
  <c r="CF4" i="25"/>
  <c r="DE56" i="1" s="1"/>
  <c r="DE7" i="1"/>
  <c r="DD40" i="1" l="1"/>
  <c r="DF17" i="1"/>
  <c r="DE99" i="1"/>
  <c r="DE100" i="1" s="1"/>
  <c r="DE55" i="1"/>
  <c r="DE54" i="1"/>
  <c r="DE57" i="1" s="1"/>
  <c r="DE82" i="1" s="1"/>
  <c r="DE9" i="1"/>
  <c r="DE34" i="1" s="1"/>
  <c r="DE37" i="1" s="1"/>
  <c r="DE39" i="1" l="1"/>
  <c r="DF20" i="1"/>
  <c r="DF13" i="1" s="1"/>
  <c r="DG32" i="1"/>
  <c r="DG33" i="1" s="1"/>
  <c r="DF26" i="1"/>
  <c r="DF27" i="1"/>
  <c r="DE131" i="1"/>
  <c r="DE61" i="1" l="1"/>
  <c r="DE81" i="1" s="1"/>
  <c r="DE36" i="1" s="1"/>
  <c r="DF30" i="1"/>
  <c r="DG16" i="1"/>
  <c r="DG14" i="1" s="1"/>
  <c r="DG18" i="1" s="1"/>
  <c r="DG12" i="1" s="1"/>
  <c r="DG11" i="1" s="1"/>
  <c r="CG4" i="25"/>
  <c r="DF56" i="1" s="1"/>
  <c r="DF7" i="1"/>
  <c r="DE35" i="1"/>
  <c r="E22" i="5" l="1"/>
  <c r="F22" i="5"/>
  <c r="G22" i="5"/>
  <c r="H22" i="5"/>
  <c r="I22" i="5"/>
  <c r="J22" i="5"/>
  <c r="K22" i="5"/>
  <c r="DG17" i="1"/>
  <c r="DE38" i="1"/>
  <c r="DE40" i="1" s="1"/>
  <c r="DE87" i="1"/>
  <c r="DE130" i="1" s="1"/>
  <c r="DE133" i="1" s="1"/>
  <c r="DF55" i="1"/>
  <c r="DF9" i="1"/>
  <c r="DF34" i="1" s="1"/>
  <c r="DF37" i="1" s="1"/>
  <c r="DF54" i="1"/>
  <c r="DF99" i="1"/>
  <c r="DF100" i="1" s="1"/>
  <c r="DE41" i="1"/>
  <c r="DF57" i="1" l="1"/>
  <c r="DF82" i="1" s="1"/>
  <c r="DF131" i="1"/>
  <c r="DG26" i="1"/>
  <c r="DG27" i="1"/>
  <c r="DG20" i="1"/>
  <c r="DG13" i="1" s="1"/>
  <c r="DF39" i="1" l="1"/>
  <c r="E24" i="5"/>
  <c r="F24" i="5"/>
  <c r="G24" i="5"/>
  <c r="H24" i="5"/>
  <c r="I24" i="5"/>
  <c r="J24" i="5"/>
  <c r="K24" i="5"/>
  <c r="DF61" i="1"/>
  <c r="DF81" i="1" s="1"/>
  <c r="DF87" i="1" s="1"/>
  <c r="DG30" i="1"/>
  <c r="CH4" i="25"/>
  <c r="DG56" i="1" s="1"/>
  <c r="DG7" i="1"/>
  <c r="DF35" i="1"/>
  <c r="G29" i="5" l="1"/>
  <c r="H29" i="5"/>
  <c r="I29" i="5"/>
  <c r="J29" i="5"/>
  <c r="K29" i="5"/>
  <c r="DF36" i="1"/>
  <c r="DF38" i="1" s="1"/>
  <c r="G36" i="5"/>
  <c r="G37" i="5" s="1"/>
  <c r="H36" i="5"/>
  <c r="H37" i="5" s="1"/>
  <c r="I36" i="5"/>
  <c r="I37" i="5" s="1"/>
  <c r="J36" i="5"/>
  <c r="J37" i="5" s="1"/>
  <c r="K36" i="5"/>
  <c r="K37" i="5" s="1"/>
  <c r="DF130" i="1"/>
  <c r="DF133" i="1" s="1"/>
  <c r="DG55" i="1"/>
  <c r="DG99" i="1"/>
  <c r="DG100" i="1" s="1"/>
  <c r="DG54" i="1"/>
  <c r="DG9" i="1"/>
  <c r="DG34" i="1" s="1"/>
  <c r="DG37" i="1" s="1"/>
  <c r="F19" i="5"/>
  <c r="F21" i="5" s="1"/>
  <c r="G19" i="5"/>
  <c r="G21" i="5" s="1"/>
  <c r="H19" i="5"/>
  <c r="H21" i="5" s="1"/>
  <c r="I19" i="5"/>
  <c r="I21" i="5" s="1"/>
  <c r="J19" i="5"/>
  <c r="J21" i="5" s="1"/>
  <c r="K19" i="5"/>
  <c r="K21" i="5" s="1"/>
  <c r="DG57" i="1" l="1"/>
  <c r="DF40" i="1"/>
  <c r="DF41" i="1"/>
  <c r="F23" i="5"/>
  <c r="G23" i="5"/>
  <c r="H23" i="5"/>
  <c r="I23" i="5"/>
  <c r="J23" i="5"/>
  <c r="K23" i="5"/>
  <c r="J25" i="5"/>
  <c r="I25" i="5"/>
  <c r="H25" i="5"/>
  <c r="G25" i="5"/>
  <c r="F28" i="5"/>
  <c r="G28" i="5"/>
  <c r="H28" i="5"/>
  <c r="I28" i="5"/>
  <c r="J28" i="5"/>
  <c r="K28" i="5"/>
  <c r="DG131" i="1"/>
  <c r="K25" i="5"/>
  <c r="F27" i="5"/>
  <c r="G27" i="5"/>
  <c r="H27" i="5"/>
  <c r="I27" i="5"/>
  <c r="I30" i="5" s="1"/>
  <c r="J27" i="5"/>
  <c r="J30" i="5" s="1"/>
  <c r="K27" i="5"/>
  <c r="DG82" i="1" l="1"/>
  <c r="DG39" i="1" s="1"/>
  <c r="K30" i="5"/>
  <c r="K32" i="5" s="1"/>
  <c r="K33" i="5" s="1"/>
  <c r="G30" i="5"/>
  <c r="G32" i="5" s="1"/>
  <c r="H30" i="5"/>
  <c r="H32" i="5" s="1"/>
  <c r="H39" i="5" s="1"/>
  <c r="DG61" i="1"/>
  <c r="DG81" i="1" s="1"/>
  <c r="DG36" i="1" s="1"/>
  <c r="J32" i="5"/>
  <c r="J39" i="5" s="1"/>
  <c r="I32" i="5"/>
  <c r="I33" i="5" s="1"/>
  <c r="DG35" i="1"/>
  <c r="DG87" i="1" l="1"/>
  <c r="DG130" i="1" s="1"/>
  <c r="DG133" i="1" s="1"/>
  <c r="DG38" i="1"/>
  <c r="DG40" i="1" s="1"/>
  <c r="DG41" i="1"/>
  <c r="J33" i="5"/>
  <c r="I39" i="5"/>
  <c r="I40" i="5" s="1"/>
  <c r="K39" i="5"/>
  <c r="K43" i="5" s="1"/>
  <c r="K44" i="5" s="1"/>
  <c r="H33" i="5"/>
  <c r="H40" i="5"/>
  <c r="H43" i="5"/>
  <c r="H44" i="5" s="1"/>
  <c r="J40" i="5"/>
  <c r="J43" i="5"/>
  <c r="J44" i="5" s="1"/>
  <c r="G33" i="5"/>
  <c r="G39" i="5"/>
  <c r="I43" i="5" l="1"/>
  <c r="I44" i="5" s="1"/>
  <c r="K40" i="5"/>
  <c r="G40" i="5"/>
  <c r="G43" i="5"/>
  <c r="G44" i="5" s="1"/>
  <c r="F14" i="26" l="1"/>
  <c r="I23" i="24"/>
  <c r="P23" i="24" s="1"/>
  <c r="K14" i="26" l="1"/>
  <c r="G14" i="26"/>
  <c r="I14" i="26"/>
  <c r="J4" i="25"/>
  <c r="I4" i="25"/>
  <c r="E19" i="5" l="1"/>
  <c r="E21" i="5" s="1"/>
  <c r="F25" i="5" s="1"/>
  <c r="K4" i="25"/>
  <c r="J35" i="24"/>
  <c r="J49" i="24"/>
  <c r="I49" i="24"/>
  <c r="I35" i="24"/>
  <c r="I36" i="24" s="1"/>
  <c r="F26" i="26"/>
  <c r="G26" i="26" s="1"/>
  <c r="J36" i="24" l="1"/>
  <c r="J38" i="24" s="1"/>
  <c r="AI36" i="1"/>
  <c r="E23" i="5"/>
  <c r="F27" i="26"/>
  <c r="G27" i="26" s="1"/>
  <c r="K49" i="24"/>
  <c r="K35" i="24"/>
  <c r="E25" i="5"/>
  <c r="I29" i="24"/>
  <c r="P29" i="24" s="1"/>
  <c r="F19" i="26"/>
  <c r="E28" i="5"/>
  <c r="I20" i="24"/>
  <c r="F12" i="26"/>
  <c r="AH131" i="1"/>
  <c r="AI131" i="1"/>
  <c r="L4" i="25"/>
  <c r="F18" i="26"/>
  <c r="G18" i="26" s="1"/>
  <c r="I28" i="24"/>
  <c r="E27" i="5"/>
  <c r="J39" i="24" l="1"/>
  <c r="J42" i="24"/>
  <c r="J43" i="24" s="1"/>
  <c r="K36" i="24"/>
  <c r="K38" i="24" s="1"/>
  <c r="O36" i="27"/>
  <c r="Q36" i="27" s="1"/>
  <c r="K19" i="26"/>
  <c r="G19" i="26"/>
  <c r="AI41" i="1"/>
  <c r="I30" i="24"/>
  <c r="P28" i="24"/>
  <c r="P30" i="24" s="1"/>
  <c r="I22" i="24"/>
  <c r="P20" i="24"/>
  <c r="P22" i="24" s="1"/>
  <c r="F20" i="26"/>
  <c r="G20" i="26" s="1"/>
  <c r="K18" i="26"/>
  <c r="AI130" i="1"/>
  <c r="AI133" i="1" s="1"/>
  <c r="AM27" i="1"/>
  <c r="AN27" i="1"/>
  <c r="L35" i="24"/>
  <c r="L36" i="24" s="1"/>
  <c r="L49" i="24"/>
  <c r="M4" i="25"/>
  <c r="AL56" i="1" s="1"/>
  <c r="AL57" i="1" s="1"/>
  <c r="I12" i="26"/>
  <c r="F13" i="26"/>
  <c r="G13" i="26" s="1"/>
  <c r="K12" i="26"/>
  <c r="K13" i="26" s="1"/>
  <c r="G12" i="26"/>
  <c r="AH36" i="1"/>
  <c r="AI38" i="1" s="1"/>
  <c r="K39" i="24" l="1"/>
  <c r="K42" i="24"/>
  <c r="K43" i="24" s="1"/>
  <c r="AK38" i="1"/>
  <c r="AK40" i="1" s="1"/>
  <c r="AL82" i="1"/>
  <c r="AL39" i="1" s="1"/>
  <c r="AL61" i="1"/>
  <c r="AL81" i="1" s="1"/>
  <c r="AJ38" i="1"/>
  <c r="AJ40" i="1" s="1"/>
  <c r="K20" i="26"/>
  <c r="K22" i="26" s="1"/>
  <c r="K23" i="26" s="1"/>
  <c r="AI40" i="1"/>
  <c r="AH38" i="1"/>
  <c r="AH40" i="1" s="1"/>
  <c r="AH41" i="1"/>
  <c r="AJ130" i="1"/>
  <c r="AJ133" i="1" s="1"/>
  <c r="F22" i="26"/>
  <c r="G22" i="26" s="1"/>
  <c r="I32" i="24"/>
  <c r="AN30" i="1"/>
  <c r="O4" i="25"/>
  <c r="AN56" i="1" s="1"/>
  <c r="AM30" i="1"/>
  <c r="N4" i="25"/>
  <c r="AM56" i="1" s="1"/>
  <c r="AM57" i="1" s="1"/>
  <c r="AM82" i="1" s="1"/>
  <c r="AM39" i="1" s="1"/>
  <c r="F15" i="26"/>
  <c r="I24" i="24"/>
  <c r="P24" i="24" s="1"/>
  <c r="I13" i="26"/>
  <c r="M35" i="24"/>
  <c r="M49" i="24"/>
  <c r="L38" i="24"/>
  <c r="M36" i="24" l="1"/>
  <c r="M38" i="24" s="1"/>
  <c r="AL36" i="1"/>
  <c r="AL38" i="1" s="1"/>
  <c r="AL40" i="1" s="1"/>
  <c r="AL87" i="1"/>
  <c r="AL122" i="1" s="1"/>
  <c r="AL123" i="1" s="1"/>
  <c r="AL124" i="1" s="1"/>
  <c r="I38" i="24"/>
  <c r="I42" i="24" s="1"/>
  <c r="I43" i="24" s="1"/>
  <c r="P32" i="24"/>
  <c r="P33" i="24" s="1"/>
  <c r="K15" i="26"/>
  <c r="G15" i="26"/>
  <c r="E29" i="5"/>
  <c r="E30" i="5" s="1"/>
  <c r="E32" i="5" s="1"/>
  <c r="E33" i="5" s="1"/>
  <c r="AM61" i="1"/>
  <c r="F29" i="5"/>
  <c r="F30" i="5" s="1"/>
  <c r="F32" i="5" s="1"/>
  <c r="F33" i="5" s="1"/>
  <c r="AN57" i="1"/>
  <c r="AN82" i="1" s="1"/>
  <c r="AS39" i="1" s="1"/>
  <c r="I33" i="24"/>
  <c r="H26" i="26"/>
  <c r="H27" i="26" s="1"/>
  <c r="N49" i="24"/>
  <c r="N35" i="24"/>
  <c r="E36" i="5"/>
  <c r="E37" i="5" s="1"/>
  <c r="F36" i="5"/>
  <c r="F37" i="5" s="1"/>
  <c r="L39" i="24"/>
  <c r="L42" i="24"/>
  <c r="L43" i="24" s="1"/>
  <c r="I22" i="26"/>
  <c r="F29" i="26"/>
  <c r="G29" i="26" s="1"/>
  <c r="F23" i="26"/>
  <c r="G23" i="26" s="1"/>
  <c r="AK130" i="1"/>
  <c r="AK133" i="1" s="1"/>
  <c r="AH130" i="1"/>
  <c r="AH133" i="1" s="1"/>
  <c r="AI137" i="1"/>
  <c r="AI138" i="1" s="1"/>
  <c r="M42" i="24" l="1"/>
  <c r="M43" i="24" s="1"/>
  <c r="M39" i="24"/>
  <c r="N36" i="24"/>
  <c r="N38" i="24" s="1"/>
  <c r="AL41" i="1"/>
  <c r="I39" i="24"/>
  <c r="AP39" i="1"/>
  <c r="AQ39" i="1"/>
  <c r="AO39" i="1"/>
  <c r="AN39" i="1"/>
  <c r="AR39" i="1"/>
  <c r="E39" i="5"/>
  <c r="E40" i="5" s="1"/>
  <c r="H51" i="24"/>
  <c r="AM81" i="1"/>
  <c r="AM87" i="1" s="1"/>
  <c r="F39" i="5"/>
  <c r="F43" i="5" s="1"/>
  <c r="F44" i="5" s="1"/>
  <c r="C51" i="24"/>
  <c r="H52" i="24"/>
  <c r="G52" i="24"/>
  <c r="D52" i="24"/>
  <c r="E51" i="24"/>
  <c r="D51" i="24"/>
  <c r="F52" i="24"/>
  <c r="G51" i="24"/>
  <c r="F51" i="24"/>
  <c r="C52" i="24"/>
  <c r="E52" i="24"/>
  <c r="AN61" i="1"/>
  <c r="AN81" i="1" s="1"/>
  <c r="K26" i="26"/>
  <c r="I26" i="26"/>
  <c r="P35" i="24"/>
  <c r="I50" i="24"/>
  <c r="AH140" i="1"/>
  <c r="I23" i="26"/>
  <c r="I27" i="26"/>
  <c r="H29" i="26"/>
  <c r="F30" i="26"/>
  <c r="G30" i="26" s="1"/>
  <c r="F33" i="26"/>
  <c r="N42" i="24" l="1"/>
  <c r="N43" i="24" s="1"/>
  <c r="N39" i="24"/>
  <c r="K27" i="26"/>
  <c r="K29" i="26" s="1"/>
  <c r="AL130" i="1"/>
  <c r="AL133" i="1" s="1"/>
  <c r="P36" i="24"/>
  <c r="P38" i="24" s="1"/>
  <c r="AM36" i="1"/>
  <c r="AM38" i="1" s="1"/>
  <c r="AM40" i="1" s="1"/>
  <c r="AS41" i="1"/>
  <c r="AR41" i="1"/>
  <c r="AP41" i="1"/>
  <c r="AO41" i="1"/>
  <c r="AQ41" i="1"/>
  <c r="E43" i="5"/>
  <c r="E44" i="5" s="1"/>
  <c r="F40" i="5"/>
  <c r="AN36" i="1"/>
  <c r="AN87" i="1"/>
  <c r="AN130" i="1" s="1"/>
  <c r="AN133" i="1" s="1"/>
  <c r="AM122" i="1"/>
  <c r="AM130" i="1"/>
  <c r="AM133" i="1" s="1"/>
  <c r="J50" i="24"/>
  <c r="AI140" i="1"/>
  <c r="AH143" i="1"/>
  <c r="I48" i="24"/>
  <c r="F34" i="26"/>
  <c r="G34" i="26" s="1"/>
  <c r="G33" i="26"/>
  <c r="H30" i="26"/>
  <c r="I30" i="26" s="1"/>
  <c r="I29" i="26"/>
  <c r="H33" i="26"/>
  <c r="K33" i="26" l="1"/>
  <c r="K34" i="26" s="1"/>
  <c r="K30" i="26"/>
  <c r="P39" i="24"/>
  <c r="P42" i="24"/>
  <c r="P43" i="24" s="1"/>
  <c r="AM41" i="1"/>
  <c r="AN38" i="1"/>
  <c r="AN40" i="1" s="1"/>
  <c r="AN122" i="1"/>
  <c r="AO122" i="1" s="1"/>
  <c r="AP122" i="1" s="1"/>
  <c r="AQ122" i="1" s="1"/>
  <c r="AR122" i="1" s="1"/>
  <c r="AS122" i="1" s="1"/>
  <c r="AT122" i="1" s="1"/>
  <c r="AU122" i="1" s="1"/>
  <c r="AV122" i="1" s="1"/>
  <c r="AW122" i="1" s="1"/>
  <c r="AX122" i="1" s="1"/>
  <c r="AY122" i="1" s="1"/>
  <c r="AZ122" i="1" s="1"/>
  <c r="BA122" i="1" s="1"/>
  <c r="BB122" i="1" s="1"/>
  <c r="BC122" i="1" s="1"/>
  <c r="BD122" i="1" s="1"/>
  <c r="BE122" i="1" s="1"/>
  <c r="BF122" i="1" s="1"/>
  <c r="BG122" i="1" s="1"/>
  <c r="BH122" i="1" s="1"/>
  <c r="BI122" i="1" s="1"/>
  <c r="BJ122" i="1" s="1"/>
  <c r="BK122" i="1" s="1"/>
  <c r="BL122" i="1" s="1"/>
  <c r="BM122" i="1" s="1"/>
  <c r="BN122" i="1" s="1"/>
  <c r="BO122" i="1" s="1"/>
  <c r="BP122" i="1" s="1"/>
  <c r="BQ122" i="1" s="1"/>
  <c r="BR122" i="1" s="1"/>
  <c r="BS122" i="1" s="1"/>
  <c r="BT122" i="1" s="1"/>
  <c r="BU122" i="1" s="1"/>
  <c r="BV122" i="1" s="1"/>
  <c r="BW122" i="1" s="1"/>
  <c r="BX122" i="1" s="1"/>
  <c r="BY122" i="1" s="1"/>
  <c r="BZ122" i="1" s="1"/>
  <c r="CA122" i="1" s="1"/>
  <c r="CB122" i="1" s="1"/>
  <c r="CC122" i="1" s="1"/>
  <c r="CD122" i="1" s="1"/>
  <c r="CE122" i="1" s="1"/>
  <c r="CF122" i="1" s="1"/>
  <c r="CG122" i="1" s="1"/>
  <c r="CH122" i="1" s="1"/>
  <c r="CI122" i="1" s="1"/>
  <c r="CJ122" i="1" s="1"/>
  <c r="CK122" i="1" s="1"/>
  <c r="CL122" i="1" s="1"/>
  <c r="CM122" i="1" s="1"/>
  <c r="CN122" i="1" s="1"/>
  <c r="CO122" i="1" s="1"/>
  <c r="CP122" i="1" s="1"/>
  <c r="CQ122" i="1" s="1"/>
  <c r="CR122" i="1" s="1"/>
  <c r="CS122" i="1" s="1"/>
  <c r="CT122" i="1" s="1"/>
  <c r="CU122" i="1" s="1"/>
  <c r="CV122" i="1" s="1"/>
  <c r="CW122" i="1" s="1"/>
  <c r="CX122" i="1" s="1"/>
  <c r="CY122" i="1" s="1"/>
  <c r="CZ122" i="1" s="1"/>
  <c r="DA122" i="1" s="1"/>
  <c r="DB122" i="1" s="1"/>
  <c r="DC122" i="1" s="1"/>
  <c r="DD122" i="1" s="1"/>
  <c r="DE122" i="1" s="1"/>
  <c r="DF122" i="1" s="1"/>
  <c r="DG122" i="1" s="1"/>
  <c r="AS38" i="1"/>
  <c r="AS40" i="1" s="1"/>
  <c r="AQ38" i="1"/>
  <c r="AQ40" i="1" s="1"/>
  <c r="AO38" i="1"/>
  <c r="AO40" i="1" s="1"/>
  <c r="J48" i="24"/>
  <c r="AR38" i="1"/>
  <c r="AR40" i="1" s="1"/>
  <c r="AN41" i="1"/>
  <c r="AP38" i="1"/>
  <c r="AP40" i="1" s="1"/>
  <c r="I45" i="24"/>
  <c r="I53" i="24" s="1"/>
  <c r="I46" i="24"/>
  <c r="K50" i="24"/>
  <c r="H34" i="26"/>
  <c r="I34" i="26" s="1"/>
  <c r="I33" i="26"/>
  <c r="I47" i="24"/>
  <c r="AI142" i="1"/>
  <c r="AI143" i="1" l="1"/>
  <c r="AJ142" i="1" s="1"/>
  <c r="J45" i="24"/>
  <c r="AH144" i="1"/>
  <c r="J46" i="24"/>
  <c r="I52" i="24"/>
  <c r="I54" i="24"/>
  <c r="I51" i="24"/>
  <c r="L50" i="24"/>
  <c r="J47" i="24" l="1"/>
  <c r="J54" i="24" s="1"/>
  <c r="AI144" i="1"/>
  <c r="M50" i="24"/>
  <c r="J53" i="24"/>
  <c r="J51" i="24"/>
  <c r="J52" i="24" l="1"/>
  <c r="N50" i="24"/>
  <c r="AJ137" i="1" l="1"/>
  <c r="AJ138" i="1" s="1"/>
  <c r="AJ140" i="1" s="1"/>
  <c r="K48" i="24" l="1"/>
  <c r="AJ143" i="1"/>
  <c r="F37" i="26"/>
  <c r="G37" i="26" s="1"/>
  <c r="AK137" i="1"/>
  <c r="AK138" i="1" s="1"/>
  <c r="AK140" i="1" s="1"/>
  <c r="AL137" i="1" l="1"/>
  <c r="AL138" i="1" s="1"/>
  <c r="AL140" i="1" s="1"/>
  <c r="AM120" i="1"/>
  <c r="F36" i="26"/>
  <c r="AK142" i="1"/>
  <c r="K47" i="24"/>
  <c r="L48" i="24"/>
  <c r="M48" i="24" l="1"/>
  <c r="AL97" i="1"/>
  <c r="AL94" i="1" s="1"/>
  <c r="AL95" i="1"/>
  <c r="AK143" i="1"/>
  <c r="L47" i="24" s="1"/>
  <c r="Q60" i="27"/>
  <c r="K52" i="24"/>
  <c r="K54" i="24"/>
  <c r="AN120" i="1"/>
  <c r="AM123" i="1"/>
  <c r="AM124" i="1" s="1"/>
  <c r="AM137" i="1"/>
  <c r="AM138" i="1" s="1"/>
  <c r="AM140" i="1" s="1"/>
  <c r="AL96" i="1" l="1"/>
  <c r="AL112" i="1" s="1"/>
  <c r="AL113" i="1" s="1"/>
  <c r="AL126" i="1" s="1"/>
  <c r="AL142" i="1"/>
  <c r="AL143" i="1" s="1"/>
  <c r="AM142" i="1" s="1"/>
  <c r="AM143" i="1" s="1"/>
  <c r="AN137" i="1"/>
  <c r="AN138" i="1" s="1"/>
  <c r="AN140" i="1" s="1"/>
  <c r="AO120" i="1"/>
  <c r="AN123" i="1"/>
  <c r="AN124" i="1" s="1"/>
  <c r="N48" i="24"/>
  <c r="H37" i="26"/>
  <c r="I37" i="26" s="1"/>
  <c r="L54" i="24"/>
  <c r="L52" i="24"/>
  <c r="M47" i="24" l="1"/>
  <c r="M52" i="24" s="1"/>
  <c r="AO123" i="1"/>
  <c r="AO124" i="1" s="1"/>
  <c r="AP120" i="1"/>
  <c r="AO137" i="1"/>
  <c r="AO138" i="1" s="1"/>
  <c r="AO140" i="1" s="1"/>
  <c r="N47" i="24"/>
  <c r="AN142" i="1"/>
  <c r="AN143" i="1" s="1"/>
  <c r="H36" i="26"/>
  <c r="M54" i="24" l="1"/>
  <c r="AQ120" i="1"/>
  <c r="AP137" i="1"/>
  <c r="AP138" i="1" s="1"/>
  <c r="AP140" i="1" s="1"/>
  <c r="AP123" i="1"/>
  <c r="AP124" i="1" s="1"/>
  <c r="N54" i="24"/>
  <c r="N52" i="24"/>
  <c r="AO142" i="1"/>
  <c r="AO143" i="1" s="1"/>
  <c r="AP142" i="1" l="1"/>
  <c r="AP143" i="1" s="1"/>
  <c r="AR120" i="1"/>
  <c r="AQ123" i="1"/>
  <c r="AQ124" i="1" s="1"/>
  <c r="AQ137" i="1"/>
  <c r="AQ138" i="1" s="1"/>
  <c r="AQ140" i="1" s="1"/>
  <c r="AQ142" i="1" l="1"/>
  <c r="AQ143" i="1" s="1"/>
  <c r="AR137" i="1"/>
  <c r="AR138" i="1" s="1"/>
  <c r="AR140" i="1" s="1"/>
  <c r="AR123" i="1"/>
  <c r="AR124" i="1" s="1"/>
  <c r="AS120" i="1"/>
  <c r="AS123" i="1" l="1"/>
  <c r="AS124" i="1" s="1"/>
  <c r="AS137" i="1"/>
  <c r="AS138" i="1" s="1"/>
  <c r="AS140" i="1" s="1"/>
  <c r="AT120" i="1"/>
  <c r="AR142" i="1"/>
  <c r="AR143" i="1" s="1"/>
  <c r="AT137" i="1" l="1"/>
  <c r="AT138" i="1" s="1"/>
  <c r="AT140" i="1" s="1"/>
  <c r="AT123" i="1"/>
  <c r="AT124" i="1" s="1"/>
  <c r="AU120" i="1"/>
  <c r="AS142" i="1"/>
  <c r="AS143" i="1" s="1"/>
  <c r="AT142" i="1" l="1"/>
  <c r="AT143" i="1" s="1"/>
  <c r="AU137" i="1"/>
  <c r="AU138" i="1" s="1"/>
  <c r="AU140" i="1" s="1"/>
  <c r="AU123" i="1"/>
  <c r="AU124" i="1" s="1"/>
  <c r="AV120" i="1"/>
  <c r="AU142" i="1" l="1"/>
  <c r="AU143" i="1" s="1"/>
  <c r="AV137" i="1"/>
  <c r="AV138" i="1" s="1"/>
  <c r="AV140" i="1" s="1"/>
  <c r="AW120" i="1"/>
  <c r="AV123" i="1"/>
  <c r="AV124" i="1" s="1"/>
  <c r="AV142" i="1" l="1"/>
  <c r="AV143" i="1" s="1"/>
  <c r="AX120" i="1"/>
  <c r="AW137" i="1"/>
  <c r="AW138" i="1" s="1"/>
  <c r="AW140" i="1" s="1"/>
  <c r="AW123" i="1"/>
  <c r="AW124" i="1" s="1"/>
  <c r="AW142" i="1" l="1"/>
  <c r="AW143" i="1" s="1"/>
  <c r="AX123" i="1"/>
  <c r="AX124" i="1" s="1"/>
  <c r="AX137" i="1"/>
  <c r="AX138" i="1" s="1"/>
  <c r="AX140" i="1" s="1"/>
  <c r="AY120" i="1"/>
  <c r="AX142" i="1" l="1"/>
  <c r="AX143" i="1" s="1"/>
  <c r="AY137" i="1"/>
  <c r="AY138" i="1" s="1"/>
  <c r="AY140" i="1" s="1"/>
  <c r="AZ120" i="1"/>
  <c r="AY123" i="1"/>
  <c r="AY124" i="1" s="1"/>
  <c r="AY142" i="1" l="1"/>
  <c r="AY143" i="1" s="1"/>
  <c r="AZ137" i="1"/>
  <c r="AZ138" i="1" s="1"/>
  <c r="AZ140" i="1" s="1"/>
  <c r="BA120" i="1"/>
  <c r="AZ123" i="1"/>
  <c r="AZ124" i="1" s="1"/>
  <c r="AZ142" i="1" l="1"/>
  <c r="AZ143" i="1" s="1"/>
  <c r="BA123" i="1"/>
  <c r="BA124" i="1" s="1"/>
  <c r="BB120" i="1"/>
  <c r="BA137" i="1"/>
  <c r="BA138" i="1" s="1"/>
  <c r="BA140" i="1" s="1"/>
  <c r="BA142" i="1" l="1"/>
  <c r="BA143" i="1" s="1"/>
  <c r="BB123" i="1"/>
  <c r="BB124" i="1" s="1"/>
  <c r="BB137" i="1"/>
  <c r="BB138" i="1" s="1"/>
  <c r="BB140" i="1" s="1"/>
  <c r="BC120" i="1"/>
  <c r="BB142" i="1" l="1"/>
  <c r="BB143" i="1" s="1"/>
  <c r="BC123" i="1"/>
  <c r="BC124" i="1" s="1"/>
  <c r="BC137" i="1"/>
  <c r="BC138" i="1" s="1"/>
  <c r="BC140" i="1" s="1"/>
  <c r="BD120" i="1"/>
  <c r="BE120" i="1" l="1"/>
  <c r="BD137" i="1"/>
  <c r="BD138" i="1" s="1"/>
  <c r="BD140" i="1" s="1"/>
  <c r="BD123" i="1"/>
  <c r="BD124" i="1" s="1"/>
  <c r="BC142" i="1"/>
  <c r="BC143" i="1" s="1"/>
  <c r="BD142" i="1" l="1"/>
  <c r="BD143" i="1" s="1"/>
  <c r="BE123" i="1"/>
  <c r="BE124" i="1" s="1"/>
  <c r="BE137" i="1"/>
  <c r="BE138" i="1" s="1"/>
  <c r="BE140" i="1" s="1"/>
  <c r="BF120" i="1"/>
  <c r="BF137" i="1" l="1"/>
  <c r="BF138" i="1" s="1"/>
  <c r="BF140" i="1" s="1"/>
  <c r="BG120" i="1"/>
  <c r="BF123" i="1"/>
  <c r="BF124" i="1" s="1"/>
  <c r="BE142" i="1"/>
  <c r="BE143" i="1" s="1"/>
  <c r="BG137" i="1" l="1"/>
  <c r="BG138" i="1" s="1"/>
  <c r="BG140" i="1" s="1"/>
  <c r="BH120" i="1"/>
  <c r="BG123" i="1"/>
  <c r="BG124" i="1" s="1"/>
  <c r="BF142" i="1"/>
  <c r="BF143" i="1" s="1"/>
  <c r="BI120" i="1" l="1"/>
  <c r="BH137" i="1"/>
  <c r="BH138" i="1" s="1"/>
  <c r="BH140" i="1" s="1"/>
  <c r="BH123" i="1"/>
  <c r="BH124" i="1" s="1"/>
  <c r="BG142" i="1"/>
  <c r="BG143" i="1" s="1"/>
  <c r="BI137" i="1" l="1"/>
  <c r="BI138" i="1" s="1"/>
  <c r="BI140" i="1" s="1"/>
  <c r="BI123" i="1"/>
  <c r="BI124" i="1" s="1"/>
  <c r="BJ120" i="1"/>
  <c r="BH142" i="1"/>
  <c r="BH143" i="1" s="1"/>
  <c r="BJ137" i="1" l="1"/>
  <c r="BJ138" i="1" s="1"/>
  <c r="BJ140" i="1" s="1"/>
  <c r="BK120" i="1"/>
  <c r="BJ123" i="1"/>
  <c r="BJ124" i="1" s="1"/>
  <c r="BI142" i="1"/>
  <c r="BI143" i="1" s="1"/>
  <c r="BJ142" i="1" l="1"/>
  <c r="BJ143" i="1" s="1"/>
  <c r="BL120" i="1"/>
  <c r="BK137" i="1"/>
  <c r="BK138" i="1" s="1"/>
  <c r="BK140" i="1" s="1"/>
  <c r="BK123" i="1"/>
  <c r="BK124" i="1" s="1"/>
  <c r="BL137" i="1" l="1"/>
  <c r="BL138" i="1" s="1"/>
  <c r="BL140" i="1" s="1"/>
  <c r="BL123" i="1"/>
  <c r="BL124" i="1" s="1"/>
  <c r="BM120" i="1"/>
  <c r="BK142" i="1"/>
  <c r="BK143" i="1" s="1"/>
  <c r="BL142" i="1" l="1"/>
  <c r="BL143" i="1" s="1"/>
  <c r="BM123" i="1"/>
  <c r="BM124" i="1" s="1"/>
  <c r="BN120" i="1"/>
  <c r="BM137" i="1"/>
  <c r="BM138" i="1" s="1"/>
  <c r="BM140" i="1" s="1"/>
  <c r="BM142" i="1" l="1"/>
  <c r="BM143" i="1" s="1"/>
  <c r="BN123" i="1"/>
  <c r="BN124" i="1" s="1"/>
  <c r="BN137" i="1"/>
  <c r="BN138" i="1" s="1"/>
  <c r="BN140" i="1" s="1"/>
  <c r="BO120" i="1"/>
  <c r="BN142" i="1" l="1"/>
  <c r="BN143" i="1" s="1"/>
  <c r="BP120" i="1"/>
  <c r="BO137" i="1"/>
  <c r="BO138" i="1" s="1"/>
  <c r="BO140" i="1" s="1"/>
  <c r="BO123" i="1"/>
  <c r="BO124" i="1" s="1"/>
  <c r="BP137" i="1" l="1"/>
  <c r="BP138" i="1" s="1"/>
  <c r="BP140" i="1" s="1"/>
  <c r="BP123" i="1"/>
  <c r="BP124" i="1" s="1"/>
  <c r="BQ120" i="1"/>
  <c r="BO142" i="1"/>
  <c r="BO143" i="1" s="1"/>
  <c r="BQ123" i="1" l="1"/>
  <c r="BQ124" i="1" s="1"/>
  <c r="BR120" i="1"/>
  <c r="BQ137" i="1"/>
  <c r="BQ138" i="1" s="1"/>
  <c r="BQ140" i="1" s="1"/>
  <c r="BP142" i="1"/>
  <c r="BP143" i="1" s="1"/>
  <c r="BR123" i="1" l="1"/>
  <c r="BR124" i="1" s="1"/>
  <c r="BS120" i="1"/>
  <c r="BR137" i="1"/>
  <c r="BR138" i="1" s="1"/>
  <c r="BR140" i="1" s="1"/>
  <c r="BQ142" i="1"/>
  <c r="BQ143" i="1" s="1"/>
  <c r="BR142" i="1" l="1"/>
  <c r="BR143" i="1" s="1"/>
  <c r="BT120" i="1"/>
  <c r="BS123" i="1"/>
  <c r="BS124" i="1" s="1"/>
  <c r="BS137" i="1"/>
  <c r="BS138" i="1" s="1"/>
  <c r="BS140" i="1" s="1"/>
  <c r="BT137" i="1" l="1"/>
  <c r="BT138" i="1" s="1"/>
  <c r="BT140" i="1" s="1"/>
  <c r="BT123" i="1"/>
  <c r="BT124" i="1" s="1"/>
  <c r="BU120" i="1"/>
  <c r="BS142" i="1"/>
  <c r="BS143" i="1" s="1"/>
  <c r="BU123" i="1" l="1"/>
  <c r="BU124" i="1" s="1"/>
  <c r="BV120" i="1"/>
  <c r="BU137" i="1"/>
  <c r="BU138" i="1" s="1"/>
  <c r="BU140" i="1" s="1"/>
  <c r="BT142" i="1"/>
  <c r="BT143" i="1" s="1"/>
  <c r="BU142" i="1" l="1"/>
  <c r="BU143" i="1" s="1"/>
  <c r="BW120" i="1"/>
  <c r="BV123" i="1"/>
  <c r="BV124" i="1" s="1"/>
  <c r="BV137" i="1"/>
  <c r="BV138" i="1" s="1"/>
  <c r="BV140" i="1" s="1"/>
  <c r="BV142" i="1" l="1"/>
  <c r="BV143" i="1" s="1"/>
  <c r="BX120" i="1"/>
  <c r="BW123" i="1"/>
  <c r="BW124" i="1" s="1"/>
  <c r="BW137" i="1"/>
  <c r="BW138" i="1" s="1"/>
  <c r="BW140" i="1" s="1"/>
  <c r="BX123" i="1" l="1"/>
  <c r="BX124" i="1" s="1"/>
  <c r="BY120" i="1"/>
  <c r="BX137" i="1"/>
  <c r="BX138" i="1" s="1"/>
  <c r="BX140" i="1" s="1"/>
  <c r="BW142" i="1"/>
  <c r="BW143" i="1" s="1"/>
  <c r="BY137" i="1" l="1"/>
  <c r="BY138" i="1" s="1"/>
  <c r="BY140" i="1" s="1"/>
  <c r="BY123" i="1"/>
  <c r="BY124" i="1" s="1"/>
  <c r="BZ120" i="1"/>
  <c r="BX142" i="1"/>
  <c r="BX143" i="1" s="1"/>
  <c r="BY142" i="1" l="1"/>
  <c r="BY143" i="1" s="1"/>
  <c r="BZ137" i="1"/>
  <c r="BZ138" i="1" s="1"/>
  <c r="BZ140" i="1" s="1"/>
  <c r="BZ123" i="1"/>
  <c r="BZ124" i="1" s="1"/>
  <c r="CA120" i="1"/>
  <c r="BZ142" i="1" l="1"/>
  <c r="BZ143" i="1" s="1"/>
  <c r="CA137" i="1"/>
  <c r="CA138" i="1" s="1"/>
  <c r="CA140" i="1" s="1"/>
  <c r="CB120" i="1"/>
  <c r="CA123" i="1"/>
  <c r="CA124" i="1" s="1"/>
  <c r="CB137" i="1" l="1"/>
  <c r="CB138" i="1" s="1"/>
  <c r="CB140" i="1" s="1"/>
  <c r="CB123" i="1"/>
  <c r="CB124" i="1" s="1"/>
  <c r="CC120" i="1"/>
  <c r="CA142" i="1"/>
  <c r="CA143" i="1" s="1"/>
  <c r="CB142" i="1" l="1"/>
  <c r="CB143" i="1" s="1"/>
  <c r="CC123" i="1"/>
  <c r="CC124" i="1" s="1"/>
  <c r="CC137" i="1"/>
  <c r="CC138" i="1" s="1"/>
  <c r="CC140" i="1" s="1"/>
  <c r="CD120" i="1"/>
  <c r="CD137" i="1" l="1"/>
  <c r="CD138" i="1" s="1"/>
  <c r="CD140" i="1" s="1"/>
  <c r="CE120" i="1"/>
  <c r="CD123" i="1"/>
  <c r="CD124" i="1" s="1"/>
  <c r="CC142" i="1"/>
  <c r="CC143" i="1" s="1"/>
  <c r="CE123" i="1" l="1"/>
  <c r="CE124" i="1" s="1"/>
  <c r="CE137" i="1"/>
  <c r="CE138" i="1" s="1"/>
  <c r="CE140" i="1" s="1"/>
  <c r="CF120" i="1"/>
  <c r="CD142" i="1"/>
  <c r="CD143" i="1" s="1"/>
  <c r="CF123" i="1" l="1"/>
  <c r="CF124" i="1" s="1"/>
  <c r="CG120" i="1"/>
  <c r="CF137" i="1"/>
  <c r="CF138" i="1" s="1"/>
  <c r="CF140" i="1" s="1"/>
  <c r="CE142" i="1"/>
  <c r="CE143" i="1" s="1"/>
  <c r="CF142" i="1" l="1"/>
  <c r="CF143" i="1" s="1"/>
  <c r="CG137" i="1"/>
  <c r="CG138" i="1" s="1"/>
  <c r="CG140" i="1" s="1"/>
  <c r="CH120" i="1"/>
  <c r="CG123" i="1"/>
  <c r="CG124" i="1" s="1"/>
  <c r="CI120" i="1" l="1"/>
  <c r="CH137" i="1"/>
  <c r="CH138" i="1" s="1"/>
  <c r="CH140" i="1" s="1"/>
  <c r="CH123" i="1"/>
  <c r="CH124" i="1" s="1"/>
  <c r="CG142" i="1"/>
  <c r="CG143" i="1" s="1"/>
  <c r="CI123" i="1" l="1"/>
  <c r="CI124" i="1" s="1"/>
  <c r="CI137" i="1"/>
  <c r="CI138" i="1" s="1"/>
  <c r="CI140" i="1" s="1"/>
  <c r="CJ120" i="1"/>
  <c r="CH142" i="1"/>
  <c r="CH143" i="1" s="1"/>
  <c r="CJ123" i="1" l="1"/>
  <c r="CJ124" i="1" s="1"/>
  <c r="CK120" i="1"/>
  <c r="CJ137" i="1"/>
  <c r="CJ138" i="1" s="1"/>
  <c r="CJ140" i="1" s="1"/>
  <c r="CI142" i="1"/>
  <c r="CI143" i="1" s="1"/>
  <c r="CJ142" i="1" l="1"/>
  <c r="CJ143" i="1" s="1"/>
  <c r="CK137" i="1"/>
  <c r="CK138" i="1" s="1"/>
  <c r="CK140" i="1" s="1"/>
  <c r="CK123" i="1"/>
  <c r="CK124" i="1" s="1"/>
  <c r="CL120" i="1"/>
  <c r="CK142" i="1" l="1"/>
  <c r="CK143" i="1" s="1"/>
  <c r="CL137" i="1"/>
  <c r="CL138" i="1" s="1"/>
  <c r="CL140" i="1" s="1"/>
  <c r="CM120" i="1"/>
  <c r="CL123" i="1"/>
  <c r="CL124" i="1" s="1"/>
  <c r="CM137" i="1" l="1"/>
  <c r="CM138" i="1" s="1"/>
  <c r="CM140" i="1" s="1"/>
  <c r="CN120" i="1"/>
  <c r="CM123" i="1"/>
  <c r="CM124" i="1" s="1"/>
  <c r="CL142" i="1"/>
  <c r="CL143" i="1" s="1"/>
  <c r="CM142" i="1" l="1"/>
  <c r="CM143" i="1" s="1"/>
  <c r="CN123" i="1"/>
  <c r="CN124" i="1" s="1"/>
  <c r="CO120" i="1"/>
  <c r="CN137" i="1"/>
  <c r="CN138" i="1" s="1"/>
  <c r="CN140" i="1" s="1"/>
  <c r="CN142" i="1" l="1"/>
  <c r="CN143" i="1" s="1"/>
  <c r="CP120" i="1"/>
  <c r="CO123" i="1"/>
  <c r="CO124" i="1" s="1"/>
  <c r="CO137" i="1"/>
  <c r="CO138" i="1" s="1"/>
  <c r="CO140" i="1" s="1"/>
  <c r="CO142" i="1" l="1"/>
  <c r="CO143" i="1" s="1"/>
  <c r="CP123" i="1"/>
  <c r="CP124" i="1" s="1"/>
  <c r="CQ120" i="1"/>
  <c r="CP137" i="1"/>
  <c r="CP138" i="1" s="1"/>
  <c r="CP140" i="1" s="1"/>
  <c r="CP142" i="1" l="1"/>
  <c r="CP143" i="1" s="1"/>
  <c r="CQ137" i="1"/>
  <c r="CQ138" i="1" s="1"/>
  <c r="CQ140" i="1" s="1"/>
  <c r="CQ123" i="1"/>
  <c r="CQ124" i="1" s="1"/>
  <c r="CR120" i="1"/>
  <c r="CQ142" i="1" l="1"/>
  <c r="CQ143" i="1" s="1"/>
  <c r="CS120" i="1"/>
  <c r="CR123" i="1"/>
  <c r="CR124" i="1" s="1"/>
  <c r="CR137" i="1"/>
  <c r="CR138" i="1" s="1"/>
  <c r="CR140" i="1" s="1"/>
  <c r="CT120" i="1" l="1"/>
  <c r="CS137" i="1"/>
  <c r="CS138" i="1" s="1"/>
  <c r="CS140" i="1" s="1"/>
  <c r="CS123" i="1"/>
  <c r="CS124" i="1" s="1"/>
  <c r="CR142" i="1"/>
  <c r="CR143" i="1" s="1"/>
  <c r="CS142" i="1" l="1"/>
  <c r="CS143" i="1" s="1"/>
  <c r="CT137" i="1"/>
  <c r="CT138" i="1" s="1"/>
  <c r="CT140" i="1" s="1"/>
  <c r="CT123" i="1"/>
  <c r="CT124" i="1" s="1"/>
  <c r="CU120" i="1"/>
  <c r="CU123" i="1" l="1"/>
  <c r="CU124" i="1" s="1"/>
  <c r="CV120" i="1"/>
  <c r="CU137" i="1"/>
  <c r="CU138" i="1" s="1"/>
  <c r="CU140" i="1" s="1"/>
  <c r="CT142" i="1"/>
  <c r="CT143" i="1" s="1"/>
  <c r="CV123" i="1" l="1"/>
  <c r="CV124" i="1" s="1"/>
  <c r="CV137" i="1"/>
  <c r="CV138" i="1" s="1"/>
  <c r="CV140" i="1" s="1"/>
  <c r="CW120" i="1"/>
  <c r="CU142" i="1"/>
  <c r="CU143" i="1" s="1"/>
  <c r="CW137" i="1" l="1"/>
  <c r="CW138" i="1" s="1"/>
  <c r="CW140" i="1" s="1"/>
  <c r="CW123" i="1"/>
  <c r="CW124" i="1" s="1"/>
  <c r="CX120" i="1"/>
  <c r="CV142" i="1"/>
  <c r="CV143" i="1" s="1"/>
  <c r="CW142" i="1" l="1"/>
  <c r="CW143" i="1" s="1"/>
  <c r="CX137" i="1"/>
  <c r="CX138" i="1" s="1"/>
  <c r="CX140" i="1" s="1"/>
  <c r="CY120" i="1"/>
  <c r="CX123" i="1"/>
  <c r="CX124" i="1" s="1"/>
  <c r="CX142" i="1" l="1"/>
  <c r="CX143" i="1" s="1"/>
  <c r="CY137" i="1"/>
  <c r="CY138" i="1" s="1"/>
  <c r="CY140" i="1" s="1"/>
  <c r="CZ120" i="1"/>
  <c r="CY123" i="1"/>
  <c r="CY124" i="1" s="1"/>
  <c r="CZ123" i="1" l="1"/>
  <c r="CZ124" i="1" s="1"/>
  <c r="DA120" i="1"/>
  <c r="CZ137" i="1"/>
  <c r="CZ138" i="1" s="1"/>
  <c r="CZ140" i="1" s="1"/>
  <c r="CY142" i="1"/>
  <c r="CY143" i="1" s="1"/>
  <c r="CZ142" i="1" l="1"/>
  <c r="CZ143" i="1" s="1"/>
  <c r="DA137" i="1"/>
  <c r="DA138" i="1" s="1"/>
  <c r="DA140" i="1" s="1"/>
  <c r="DB120" i="1"/>
  <c r="DA123" i="1"/>
  <c r="DA124" i="1" s="1"/>
  <c r="DA142" i="1" l="1"/>
  <c r="DA143" i="1" s="1"/>
  <c r="DC120" i="1"/>
  <c r="DB137" i="1"/>
  <c r="DB138" i="1" s="1"/>
  <c r="DB140" i="1" s="1"/>
  <c r="DB123" i="1"/>
  <c r="DB124" i="1" s="1"/>
  <c r="DC137" i="1" l="1"/>
  <c r="DC138" i="1" s="1"/>
  <c r="DC140" i="1" s="1"/>
  <c r="DC123" i="1"/>
  <c r="DC124" i="1" s="1"/>
  <c r="DD120" i="1"/>
  <c r="DB142" i="1"/>
  <c r="DB143" i="1" s="1"/>
  <c r="DC142" i="1" l="1"/>
  <c r="DC143" i="1" s="1"/>
  <c r="DD123" i="1"/>
  <c r="DD124" i="1" s="1"/>
  <c r="DE120" i="1"/>
  <c r="DD137" i="1"/>
  <c r="DD138" i="1" s="1"/>
  <c r="DD140" i="1" s="1"/>
  <c r="DF120" i="1" l="1"/>
  <c r="DE123" i="1"/>
  <c r="DE124" i="1" s="1"/>
  <c r="DE137" i="1"/>
  <c r="DE138" i="1" s="1"/>
  <c r="DE140" i="1" s="1"/>
  <c r="DD142" i="1"/>
  <c r="DD143" i="1" s="1"/>
  <c r="DE142" i="1" l="1"/>
  <c r="DE143" i="1" s="1"/>
  <c r="DF137" i="1"/>
  <c r="DF138" i="1" s="1"/>
  <c r="DF140" i="1" s="1"/>
  <c r="DG120" i="1"/>
  <c r="DF123" i="1"/>
  <c r="DF124" i="1" s="1"/>
  <c r="DG137" i="1" l="1"/>
  <c r="DG138" i="1" s="1"/>
  <c r="DG140" i="1" s="1"/>
  <c r="DG123" i="1"/>
  <c r="DG124" i="1" s="1"/>
  <c r="DF142" i="1"/>
  <c r="DF143" i="1" s="1"/>
  <c r="DG142" i="1" l="1"/>
  <c r="DG143" i="1" s="1"/>
  <c r="K45" i="24"/>
  <c r="K53" i="24" s="1"/>
  <c r="K46" i="24" l="1"/>
  <c r="AJ144" i="1"/>
  <c r="K51" i="24"/>
  <c r="L46" i="24"/>
  <c r="AK144" i="1" l="1"/>
  <c r="L45" i="24" l="1"/>
  <c r="L53" i="24" s="1"/>
  <c r="AM96" i="1"/>
  <c r="AL144" i="1"/>
  <c r="L51" i="24" l="1"/>
  <c r="M45" i="24"/>
  <c r="M51" i="24" s="1"/>
  <c r="AM95" i="1"/>
  <c r="M46" i="24"/>
  <c r="AN96" i="1"/>
  <c r="AM112" i="1"/>
  <c r="AM113" i="1" s="1"/>
  <c r="AM126" i="1" s="1"/>
  <c r="AM97" i="1"/>
  <c r="AM144" i="1"/>
  <c r="M53" i="24" l="1"/>
  <c r="N46" i="24"/>
  <c r="N45" i="24"/>
  <c r="N51" i="24" s="1"/>
  <c r="AM94" i="1"/>
  <c r="AN95" i="1" s="1"/>
  <c r="AO96" i="1"/>
  <c r="AN144" i="1"/>
  <c r="AN97" i="1"/>
  <c r="AN94" i="1" s="1"/>
  <c r="AN112" i="1"/>
  <c r="AN113" i="1" s="1"/>
  <c r="AN126" i="1" s="1"/>
  <c r="N53" i="24" l="1"/>
  <c r="AO95" i="1"/>
  <c r="AO144" i="1"/>
  <c r="AO97" i="1"/>
  <c r="AO94" i="1" s="1"/>
  <c r="AP96" i="1"/>
  <c r="AO112" i="1"/>
  <c r="AO113" i="1" s="1"/>
  <c r="AO126" i="1" s="1"/>
  <c r="AP95" i="1" l="1"/>
  <c r="AP97" i="1"/>
  <c r="AP94" i="1" s="1"/>
  <c r="AP144" i="1"/>
  <c r="AP112" i="1"/>
  <c r="AP113" i="1" s="1"/>
  <c r="AP126" i="1" s="1"/>
  <c r="AQ96" i="1"/>
  <c r="AQ95" i="1" l="1"/>
  <c r="AQ97" i="1"/>
  <c r="AQ94" i="1" s="1"/>
  <c r="AR96" i="1"/>
  <c r="AQ144" i="1"/>
  <c r="AQ112" i="1"/>
  <c r="AQ113" i="1" s="1"/>
  <c r="AQ126" i="1" s="1"/>
  <c r="AR95" i="1" l="1"/>
  <c r="AR112" i="1"/>
  <c r="AR113" i="1" s="1"/>
  <c r="AR126" i="1" s="1"/>
  <c r="AS96" i="1"/>
  <c r="AR97" i="1"/>
  <c r="AR94" i="1" s="1"/>
  <c r="AR144" i="1"/>
  <c r="AS95" i="1" l="1"/>
  <c r="AS97" i="1"/>
  <c r="AS94" i="1" s="1"/>
  <c r="AS112" i="1"/>
  <c r="AS113" i="1" s="1"/>
  <c r="AS126" i="1" s="1"/>
  <c r="AS144" i="1"/>
  <c r="AT96" i="1"/>
  <c r="AT95" i="1" l="1"/>
  <c r="AT112" i="1"/>
  <c r="AT113" i="1" s="1"/>
  <c r="AT126" i="1" s="1"/>
  <c r="AU96" i="1"/>
  <c r="AT144" i="1"/>
  <c r="AT97" i="1"/>
  <c r="AT94" i="1" s="1"/>
  <c r="AU95" i="1" l="1"/>
  <c r="AV96" i="1"/>
  <c r="AU112" i="1"/>
  <c r="AU113" i="1" s="1"/>
  <c r="AU126" i="1" s="1"/>
  <c r="AU144" i="1"/>
  <c r="AU97" i="1"/>
  <c r="AU94" i="1" s="1"/>
  <c r="AV95" i="1" l="1"/>
  <c r="AV97" i="1"/>
  <c r="AV94" i="1" s="1"/>
  <c r="AV112" i="1"/>
  <c r="AV113" i="1" s="1"/>
  <c r="AV126" i="1" s="1"/>
  <c r="AV144" i="1"/>
  <c r="AW96" i="1"/>
  <c r="AW95" i="1" l="1"/>
  <c r="AW97" i="1"/>
  <c r="AW94" i="1" s="1"/>
  <c r="AX96" i="1"/>
  <c r="AW144" i="1"/>
  <c r="AW112" i="1"/>
  <c r="AW113" i="1" s="1"/>
  <c r="AW126" i="1" s="1"/>
  <c r="AX95" i="1" l="1"/>
  <c r="AX97" i="1"/>
  <c r="AX94" i="1" s="1"/>
  <c r="AX112" i="1"/>
  <c r="AX113" i="1" s="1"/>
  <c r="AX126" i="1" s="1"/>
  <c r="AY96" i="1"/>
  <c r="AX144" i="1"/>
  <c r="AY95" i="1" l="1"/>
  <c r="AY144" i="1"/>
  <c r="AY97" i="1"/>
  <c r="AY94" i="1" s="1"/>
  <c r="AZ96" i="1"/>
  <c r="AY112" i="1"/>
  <c r="AY113" i="1" s="1"/>
  <c r="AY126" i="1" s="1"/>
  <c r="AZ95" i="1" l="1"/>
  <c r="BA96" i="1"/>
  <c r="AZ97" i="1"/>
  <c r="AZ94" i="1" s="1"/>
  <c r="AZ144" i="1"/>
  <c r="AZ112" i="1"/>
  <c r="AZ113" i="1" s="1"/>
  <c r="AZ126" i="1" s="1"/>
  <c r="BA95" i="1" l="1"/>
  <c r="BA97" i="1"/>
  <c r="BA94" i="1" s="1"/>
  <c r="BB96" i="1"/>
  <c r="BA144" i="1"/>
  <c r="BA112" i="1"/>
  <c r="BA113" i="1" s="1"/>
  <c r="BA126" i="1" s="1"/>
  <c r="BB95" i="1" l="1"/>
  <c r="BB112" i="1"/>
  <c r="BB113" i="1" s="1"/>
  <c r="BB126" i="1" s="1"/>
  <c r="BC96" i="1"/>
  <c r="BB144" i="1"/>
  <c r="BB97" i="1"/>
  <c r="BB94" i="1" s="1"/>
  <c r="BC95" i="1" l="1"/>
  <c r="BC144" i="1"/>
  <c r="BC97" i="1"/>
  <c r="BC94" i="1" s="1"/>
  <c r="BD96" i="1"/>
  <c r="BC112" i="1"/>
  <c r="BC113" i="1" s="1"/>
  <c r="BC126" i="1" s="1"/>
  <c r="BD95" i="1" l="1"/>
  <c r="BD112" i="1"/>
  <c r="BD113" i="1" s="1"/>
  <c r="BD126" i="1" s="1"/>
  <c r="BD97" i="1"/>
  <c r="BD94" i="1" s="1"/>
  <c r="BD144" i="1"/>
  <c r="BE96" i="1"/>
  <c r="BE95" i="1" l="1"/>
  <c r="BE97" i="1"/>
  <c r="BE94" i="1" s="1"/>
  <c r="BE144" i="1"/>
  <c r="BF96" i="1"/>
  <c r="BE112" i="1"/>
  <c r="BE113" i="1" s="1"/>
  <c r="BE126" i="1" s="1"/>
  <c r="BF95" i="1" l="1"/>
  <c r="BF144" i="1"/>
  <c r="BF97" i="1"/>
  <c r="BF94" i="1" s="1"/>
  <c r="BF112" i="1"/>
  <c r="BF113" i="1" s="1"/>
  <c r="BF126" i="1" s="1"/>
  <c r="BG96" i="1"/>
  <c r="BG95" i="1" l="1"/>
  <c r="BG112" i="1"/>
  <c r="BG113" i="1" s="1"/>
  <c r="BG126" i="1" s="1"/>
  <c r="BG144" i="1"/>
  <c r="BG97" i="1"/>
  <c r="BG94" i="1" s="1"/>
  <c r="BH96" i="1"/>
  <c r="BH95" i="1" l="1"/>
  <c r="BH144" i="1"/>
  <c r="BI96" i="1"/>
  <c r="BH112" i="1"/>
  <c r="BH113" i="1" s="1"/>
  <c r="BH126" i="1" s="1"/>
  <c r="BH97" i="1"/>
  <c r="BH94" i="1" s="1"/>
  <c r="BI95" i="1" l="1"/>
  <c r="BJ96" i="1"/>
  <c r="BI144" i="1"/>
  <c r="BI97" i="1"/>
  <c r="BI94" i="1" s="1"/>
  <c r="BI112" i="1"/>
  <c r="BI113" i="1" s="1"/>
  <c r="BI126" i="1" s="1"/>
  <c r="BJ95" i="1" l="1"/>
  <c r="BJ112" i="1"/>
  <c r="BJ113" i="1" s="1"/>
  <c r="BJ126" i="1" s="1"/>
  <c r="BJ144" i="1"/>
  <c r="BK96" i="1"/>
  <c r="BJ97" i="1"/>
  <c r="BJ94" i="1" s="1"/>
  <c r="BK95" i="1" l="1"/>
  <c r="BL96" i="1"/>
  <c r="BK144" i="1"/>
  <c r="BK97" i="1"/>
  <c r="BK94" i="1" s="1"/>
  <c r="BK112" i="1"/>
  <c r="BK113" i="1" s="1"/>
  <c r="BK126" i="1" s="1"/>
  <c r="BL95" i="1" l="1"/>
  <c r="BL97" i="1"/>
  <c r="BL94" i="1" s="1"/>
  <c r="BM96" i="1"/>
  <c r="BL144" i="1"/>
  <c r="BL112" i="1"/>
  <c r="BL113" i="1" s="1"/>
  <c r="BL126" i="1" s="1"/>
  <c r="BM95" i="1" l="1"/>
  <c r="BN96" i="1"/>
  <c r="BM97" i="1"/>
  <c r="BM94" i="1" s="1"/>
  <c r="BM144" i="1"/>
  <c r="BM112" i="1"/>
  <c r="BM113" i="1" s="1"/>
  <c r="BM126" i="1" s="1"/>
  <c r="BN95" i="1" l="1"/>
  <c r="BN112" i="1"/>
  <c r="BN113" i="1" s="1"/>
  <c r="BN126" i="1" s="1"/>
  <c r="BN144" i="1"/>
  <c r="BO96" i="1"/>
  <c r="BN97" i="1"/>
  <c r="BN94" i="1" s="1"/>
  <c r="BO95" i="1" l="1"/>
  <c r="BO97" i="1"/>
  <c r="BO94" i="1" s="1"/>
  <c r="BO112" i="1"/>
  <c r="BO113" i="1" s="1"/>
  <c r="BO126" i="1" s="1"/>
  <c r="BP96" i="1"/>
  <c r="BO144" i="1"/>
  <c r="BP95" i="1" l="1"/>
  <c r="BP97" i="1"/>
  <c r="BP94" i="1" s="1"/>
  <c r="BP144" i="1"/>
  <c r="BP112" i="1"/>
  <c r="BP113" i="1" s="1"/>
  <c r="BP126" i="1" s="1"/>
  <c r="BQ96" i="1"/>
  <c r="BQ95" i="1" l="1"/>
  <c r="BR96" i="1"/>
  <c r="BQ112" i="1"/>
  <c r="BQ113" i="1" s="1"/>
  <c r="BQ126" i="1" s="1"/>
  <c r="BQ97" i="1"/>
  <c r="BQ94" i="1" s="1"/>
  <c r="BQ144" i="1"/>
  <c r="BR95" i="1" l="1"/>
  <c r="BR144" i="1"/>
  <c r="BS96" i="1"/>
  <c r="BR112" i="1"/>
  <c r="BR113" i="1" s="1"/>
  <c r="BR126" i="1" s="1"/>
  <c r="BR97" i="1"/>
  <c r="BR94" i="1" s="1"/>
  <c r="BS95" i="1" l="1"/>
  <c r="BT96" i="1"/>
  <c r="BS97" i="1"/>
  <c r="BS94" i="1" s="1"/>
  <c r="BS112" i="1"/>
  <c r="BS113" i="1" s="1"/>
  <c r="BS126" i="1" s="1"/>
  <c r="BS144" i="1"/>
  <c r="BT95" i="1" l="1"/>
  <c r="BU96" i="1"/>
  <c r="BT112" i="1"/>
  <c r="BT113" i="1" s="1"/>
  <c r="BT126" i="1" s="1"/>
  <c r="BT97" i="1"/>
  <c r="BT94" i="1" s="1"/>
  <c r="BT144" i="1"/>
  <c r="BU95" i="1" l="1"/>
  <c r="BU112" i="1"/>
  <c r="BU113" i="1" s="1"/>
  <c r="BU126" i="1" s="1"/>
  <c r="BV96" i="1"/>
  <c r="BU97" i="1"/>
  <c r="BU94" i="1" s="1"/>
  <c r="BV95" i="1" s="1"/>
  <c r="BU144" i="1"/>
  <c r="BV144" i="1" l="1"/>
  <c r="BW96" i="1"/>
  <c r="BV97" i="1"/>
  <c r="BV94" i="1" s="1"/>
  <c r="BW95" i="1" s="1"/>
  <c r="BV112" i="1"/>
  <c r="BV113" i="1" s="1"/>
  <c r="BV126" i="1" s="1"/>
  <c r="BW112" i="1" l="1"/>
  <c r="BW113" i="1" s="1"/>
  <c r="BW126" i="1" s="1"/>
  <c r="BW97" i="1"/>
  <c r="BW94" i="1" s="1"/>
  <c r="BX95" i="1" s="1"/>
  <c r="BX96" i="1"/>
  <c r="BW144" i="1"/>
  <c r="BX112" i="1" l="1"/>
  <c r="BX113" i="1" s="1"/>
  <c r="BX126" i="1" s="1"/>
  <c r="BX97" i="1"/>
  <c r="BX94" i="1" s="1"/>
  <c r="BY95" i="1" s="1"/>
  <c r="BY96" i="1"/>
  <c r="BX144" i="1"/>
  <c r="BY97" i="1" l="1"/>
  <c r="BY94" i="1" s="1"/>
  <c r="BZ95" i="1" s="1"/>
  <c r="BZ96" i="1"/>
  <c r="BY144" i="1"/>
  <c r="BY112" i="1"/>
  <c r="BY113" i="1" s="1"/>
  <c r="BY126" i="1" s="1"/>
  <c r="BZ144" i="1" l="1"/>
  <c r="CA96" i="1"/>
  <c r="BZ112" i="1"/>
  <c r="BZ113" i="1" s="1"/>
  <c r="BZ126" i="1" s="1"/>
  <c r="BZ97" i="1"/>
  <c r="BZ94" i="1" s="1"/>
  <c r="CA95" i="1" s="1"/>
  <c r="CA97" i="1" l="1"/>
  <c r="CA94" i="1" s="1"/>
  <c r="CB95" i="1" s="1"/>
  <c r="CB96" i="1"/>
  <c r="CA112" i="1"/>
  <c r="CA113" i="1" s="1"/>
  <c r="CA126" i="1" s="1"/>
  <c r="CA144" i="1"/>
  <c r="CB144" i="1" l="1"/>
  <c r="CC96" i="1"/>
  <c r="CB112" i="1"/>
  <c r="CB113" i="1" s="1"/>
  <c r="CB126" i="1" s="1"/>
  <c r="CB97" i="1"/>
  <c r="CB94" i="1" s="1"/>
  <c r="CC95" i="1" s="1"/>
  <c r="CC144" i="1" l="1"/>
  <c r="CD96" i="1"/>
  <c r="CC112" i="1"/>
  <c r="CC113" i="1" s="1"/>
  <c r="CC126" i="1" s="1"/>
  <c r="CC97" i="1"/>
  <c r="CC94" i="1" s="1"/>
  <c r="CD95" i="1" s="1"/>
  <c r="CD144" i="1" l="1"/>
  <c r="CD97" i="1"/>
  <c r="CD94" i="1" s="1"/>
  <c r="CE95" i="1" s="1"/>
  <c r="CD112" i="1"/>
  <c r="CD113" i="1" s="1"/>
  <c r="CD126" i="1" s="1"/>
  <c r="CE96" i="1"/>
  <c r="CE144" i="1" l="1"/>
  <c r="CE97" i="1"/>
  <c r="CE94" i="1" s="1"/>
  <c r="CF95" i="1" s="1"/>
  <c r="CE112" i="1"/>
  <c r="CE113" i="1" s="1"/>
  <c r="CE126" i="1" s="1"/>
  <c r="CF96" i="1"/>
  <c r="CF112" i="1" l="1"/>
  <c r="CF113" i="1" s="1"/>
  <c r="CF126" i="1" s="1"/>
  <c r="CF97" i="1"/>
  <c r="CF94" i="1" s="1"/>
  <c r="CG95" i="1" s="1"/>
  <c r="CG96" i="1"/>
  <c r="CF144" i="1"/>
  <c r="CH96" i="1" l="1"/>
  <c r="CG112" i="1"/>
  <c r="CG113" i="1" s="1"/>
  <c r="CG126" i="1" s="1"/>
  <c r="CG144" i="1"/>
  <c r="CG97" i="1"/>
  <c r="CG94" i="1" s="1"/>
  <c r="CH95" i="1" s="1"/>
  <c r="CH144" i="1" l="1"/>
  <c r="CI96" i="1"/>
  <c r="CH112" i="1"/>
  <c r="CH113" i="1" s="1"/>
  <c r="CH126" i="1" s="1"/>
  <c r="CH97" i="1"/>
  <c r="CH94" i="1" s="1"/>
  <c r="CI95" i="1" s="1"/>
  <c r="CI144" i="1" l="1"/>
  <c r="CJ96" i="1"/>
  <c r="CI97" i="1"/>
  <c r="CI94" i="1" s="1"/>
  <c r="CJ95" i="1" s="1"/>
  <c r="CI112" i="1"/>
  <c r="CI113" i="1" s="1"/>
  <c r="CI126" i="1" s="1"/>
  <c r="CJ144" i="1" l="1"/>
  <c r="CJ112" i="1"/>
  <c r="CJ113" i="1" s="1"/>
  <c r="CJ126" i="1" s="1"/>
  <c r="CK96" i="1"/>
  <c r="CJ97" i="1"/>
  <c r="CJ94" i="1" s="1"/>
  <c r="CK95" i="1" s="1"/>
  <c r="CK144" i="1" l="1"/>
  <c r="CL96" i="1"/>
  <c r="CK97" i="1"/>
  <c r="CK94" i="1" s="1"/>
  <c r="CL95" i="1" s="1"/>
  <c r="CK112" i="1"/>
  <c r="CK113" i="1" s="1"/>
  <c r="CK126" i="1" s="1"/>
  <c r="CL112" i="1" l="1"/>
  <c r="CL113" i="1" s="1"/>
  <c r="CL126" i="1" s="1"/>
  <c r="CM96" i="1"/>
  <c r="CL144" i="1"/>
  <c r="CL97" i="1"/>
  <c r="CL94" i="1" s="1"/>
  <c r="CM95" i="1" s="1"/>
  <c r="CM112" i="1" l="1"/>
  <c r="CM113" i="1" s="1"/>
  <c r="CM126" i="1" s="1"/>
  <c r="CN96" i="1"/>
  <c r="CM144" i="1"/>
  <c r="CM97" i="1"/>
  <c r="CM94" i="1" s="1"/>
  <c r="CN95" i="1" s="1"/>
  <c r="CN97" i="1" l="1"/>
  <c r="CN94" i="1" s="1"/>
  <c r="CO95" i="1" s="1"/>
  <c r="CN144" i="1"/>
  <c r="CO96" i="1"/>
  <c r="CN112" i="1"/>
  <c r="CN113" i="1" s="1"/>
  <c r="CN126" i="1" s="1"/>
  <c r="CP96" i="1" l="1"/>
  <c r="CO97" i="1"/>
  <c r="CO94" i="1" s="1"/>
  <c r="CP95" i="1" s="1"/>
  <c r="CO112" i="1"/>
  <c r="CO113" i="1" s="1"/>
  <c r="CO126" i="1" s="1"/>
  <c r="CO144" i="1"/>
  <c r="CQ96" i="1" l="1"/>
  <c r="CP144" i="1"/>
  <c r="CP97" i="1"/>
  <c r="CP94" i="1" s="1"/>
  <c r="CQ95" i="1" s="1"/>
  <c r="CP112" i="1"/>
  <c r="CP113" i="1" s="1"/>
  <c r="CP126" i="1" s="1"/>
  <c r="CQ97" i="1" l="1"/>
  <c r="CQ94" i="1" s="1"/>
  <c r="CR95" i="1" s="1"/>
  <c r="CR96" i="1"/>
  <c r="CQ112" i="1"/>
  <c r="CQ113" i="1" s="1"/>
  <c r="CQ126" i="1" s="1"/>
  <c r="CQ144" i="1"/>
  <c r="CS96" i="1" l="1"/>
  <c r="CR97" i="1"/>
  <c r="CR94" i="1" s="1"/>
  <c r="CS95" i="1" s="1"/>
  <c r="CR112" i="1"/>
  <c r="CR113" i="1" s="1"/>
  <c r="CR126" i="1" s="1"/>
  <c r="CR144" i="1"/>
  <c r="CS97" i="1" l="1"/>
  <c r="CS94" i="1" s="1"/>
  <c r="CT95" i="1" s="1"/>
  <c r="CT96" i="1"/>
  <c r="CS112" i="1"/>
  <c r="CS113" i="1" s="1"/>
  <c r="CS126" i="1" s="1"/>
  <c r="CS144" i="1"/>
  <c r="CT112" i="1" l="1"/>
  <c r="CT113" i="1" s="1"/>
  <c r="CT126" i="1" s="1"/>
  <c r="CT144" i="1"/>
  <c r="CT97" i="1"/>
  <c r="CT94" i="1" s="1"/>
  <c r="CU95" i="1" s="1"/>
  <c r="CU96" i="1"/>
  <c r="CU112" i="1" l="1"/>
  <c r="CU113" i="1" s="1"/>
  <c r="CU126" i="1" s="1"/>
  <c r="CU144" i="1"/>
  <c r="CV96" i="1"/>
  <c r="CU97" i="1"/>
  <c r="CU94" i="1" s="1"/>
  <c r="CV95" i="1" s="1"/>
  <c r="CV97" i="1" l="1"/>
  <c r="CV94" i="1" s="1"/>
  <c r="CW95" i="1" s="1"/>
  <c r="CV144" i="1"/>
  <c r="CW96" i="1"/>
  <c r="CV112" i="1"/>
  <c r="CV113" i="1" s="1"/>
  <c r="CV126" i="1" s="1"/>
  <c r="CW97" i="1" l="1"/>
  <c r="CW94" i="1" s="1"/>
  <c r="CX95" i="1" s="1"/>
  <c r="CW144" i="1"/>
  <c r="CX96" i="1"/>
  <c r="CW112" i="1"/>
  <c r="CW113" i="1" s="1"/>
  <c r="CW126" i="1" s="1"/>
  <c r="CX112" i="1" l="1"/>
  <c r="CX113" i="1" s="1"/>
  <c r="CX126" i="1" s="1"/>
  <c r="CX97" i="1"/>
  <c r="CX94" i="1" s="1"/>
  <c r="CY95" i="1" s="1"/>
  <c r="CX144" i="1"/>
  <c r="CY96" i="1"/>
  <c r="CY144" i="1" l="1"/>
  <c r="CZ96" i="1"/>
  <c r="CY97" i="1"/>
  <c r="CY94" i="1" s="1"/>
  <c r="CZ95" i="1" s="1"/>
  <c r="CY112" i="1"/>
  <c r="CY113" i="1" s="1"/>
  <c r="CY126" i="1" s="1"/>
  <c r="DA96" i="1" l="1"/>
  <c r="CZ144" i="1"/>
  <c r="CZ112" i="1"/>
  <c r="CZ113" i="1" s="1"/>
  <c r="CZ126" i="1" s="1"/>
  <c r="CZ97" i="1"/>
  <c r="CZ94" i="1" s="1"/>
  <c r="DA95" i="1" s="1"/>
  <c r="DA144" i="1" l="1"/>
  <c r="DB96" i="1"/>
  <c r="DA112" i="1"/>
  <c r="DA113" i="1" s="1"/>
  <c r="DA126" i="1" s="1"/>
  <c r="DA97" i="1"/>
  <c r="DA94" i="1" s="1"/>
  <c r="DB95" i="1" s="1"/>
  <c r="DB144" i="1" l="1"/>
  <c r="DB112" i="1"/>
  <c r="DB113" i="1" s="1"/>
  <c r="DB126" i="1" s="1"/>
  <c r="DB97" i="1"/>
  <c r="DB94" i="1" s="1"/>
  <c r="DC95" i="1" s="1"/>
  <c r="DC96" i="1"/>
  <c r="DC144" i="1" l="1"/>
  <c r="DC97" i="1"/>
  <c r="DC94" i="1" s="1"/>
  <c r="DD95" i="1" s="1"/>
  <c r="DC112" i="1"/>
  <c r="DC113" i="1" s="1"/>
  <c r="DC126" i="1" s="1"/>
  <c r="DD96" i="1"/>
  <c r="DD97" i="1" l="1"/>
  <c r="DD94" i="1" s="1"/>
  <c r="DE95" i="1" s="1"/>
  <c r="DD144" i="1"/>
  <c r="DD112" i="1"/>
  <c r="DD113" i="1" s="1"/>
  <c r="DD126" i="1" s="1"/>
  <c r="DE96" i="1"/>
  <c r="DE112" i="1" l="1"/>
  <c r="DE113" i="1" s="1"/>
  <c r="DE126" i="1" s="1"/>
  <c r="DE144" i="1"/>
  <c r="DE97" i="1"/>
  <c r="DE94" i="1" s="1"/>
  <c r="DF95" i="1" s="1"/>
  <c r="DF96" i="1"/>
  <c r="DF144" i="1" l="1"/>
  <c r="DF112" i="1"/>
  <c r="DF113" i="1" s="1"/>
  <c r="DF126" i="1" s="1"/>
  <c r="DG96" i="1"/>
  <c r="DF97" i="1"/>
  <c r="DF94" i="1" s="1"/>
  <c r="DG95" i="1" s="1"/>
  <c r="DG112" i="1" l="1"/>
  <c r="DG113" i="1" s="1"/>
  <c r="DG126" i="1" s="1"/>
  <c r="DG144" i="1"/>
  <c r="DG97" i="1"/>
  <c r="DG9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tc={735C9239-FB8A-4B36-9D20-C68BC4D2B976}</author>
    <author>tc={701A54C3-1B46-4893-BC62-B2EFF266C055}</author>
    <author>tc={2562B8DD-0805-4553-A630-43D324DEF683}</author>
  </authors>
  <commentList>
    <comment ref="S71" authorId="0" shapeId="0" xr:uid="{735C9239-FB8A-4B36-9D20-C68BC4D2B976}">
      <text>
        <t>[Threaded comment]
Your version of Excel allows you to read this threaded comment; however, any edits to it will get removed if the file is opened in a newer version of Excel. Learn more: https://go.microsoft.com/fwlink/?linkid=870924
Comment:
    Tax Advice JMM Group LLC</t>
      </text>
    </comment>
    <comment ref="T71" authorId="1" shapeId="0" xr:uid="{701A54C3-1B46-4893-BC62-B2EFF266C055}">
      <text>
        <t>[Threaded comment]
Your version of Excel allows you to read this threaded comment; however, any edits to it will get removed if the file is opened in a newer version of Excel. Learn more: https://go.microsoft.com/fwlink/?linkid=870924
Comment:
    Offboarding JMM Group LLC</t>
      </text>
    </comment>
    <comment ref="AF76" authorId="2" shapeId="0" xr:uid="{2562B8DD-0805-4553-A630-43D324DEF683}">
      <text>
        <t>[Threaded comment]
Your version of Excel allows you to read this threaded comment; however, any edits to it will get removed if the file is opened in a newer version of Excel. Learn more: https://go.microsoft.com/fwlink/?linkid=870924
Comment:
    Need to question which utilities are business related</t>
      </text>
    </comment>
  </commentList>
</comments>
</file>

<file path=xl/sharedStrings.xml><?xml version="1.0" encoding="utf-8"?>
<sst xmlns="http://schemas.openxmlformats.org/spreadsheetml/2006/main" count="1159" uniqueCount="351">
  <si>
    <t>Total</t>
  </si>
  <si>
    <t>Income</t>
  </si>
  <si>
    <t xml:space="preserve">   Total 50000 Service Income</t>
  </si>
  <si>
    <t>Total Income</t>
  </si>
  <si>
    <t>Gross Profit</t>
  </si>
  <si>
    <t>Expenses</t>
  </si>
  <si>
    <t>Total Expenses</t>
  </si>
  <si>
    <t>Net Operating Income</t>
  </si>
  <si>
    <t>Other Income</t>
  </si>
  <si>
    <t xml:space="preserve">   Interest Income</t>
  </si>
  <si>
    <t>Total Other Income</t>
  </si>
  <si>
    <t>Net Other Income</t>
  </si>
  <si>
    <t>Net Income</t>
  </si>
  <si>
    <t>ASSETS</t>
  </si>
  <si>
    <t xml:space="preserve">   Current Assets</t>
  </si>
  <si>
    <t xml:space="preserve">      Bank Accounts</t>
  </si>
  <si>
    <t xml:space="preserve">      Total Bank Accounts</t>
  </si>
  <si>
    <t xml:space="preserve">      Accounts Receivable</t>
  </si>
  <si>
    <t xml:space="preserve">         20100 Accounts Receivable</t>
  </si>
  <si>
    <t xml:space="preserve">      Total Accounts Receivable</t>
  </si>
  <si>
    <t xml:space="preserve">   Total Current Assets</t>
  </si>
  <si>
    <t>TOTAL ASSETS</t>
  </si>
  <si>
    <t>LIABILITIES AND EQUITY</t>
  </si>
  <si>
    <t xml:space="preserve">   Liabilities</t>
  </si>
  <si>
    <t xml:space="preserve">   Total Liabilities</t>
  </si>
  <si>
    <t xml:space="preserve">   Equity</t>
  </si>
  <si>
    <t xml:space="preserve">      Net Income</t>
  </si>
  <si>
    <t xml:space="preserve">   Total Equity</t>
  </si>
  <si>
    <t>TOTAL LIABILITIES AND EQUITY</t>
  </si>
  <si>
    <t>Cash Flow From Operations</t>
  </si>
  <si>
    <t>Change in AR</t>
  </si>
  <si>
    <t>Change in Other Assets/Liabilities</t>
  </si>
  <si>
    <t>Change in Equity</t>
  </si>
  <si>
    <t>Cash Flow From Financing</t>
  </si>
  <si>
    <t>Net change in Cash Flow for the Period</t>
  </si>
  <si>
    <t>Beginning Balance</t>
  </si>
  <si>
    <t>Ending Balance</t>
  </si>
  <si>
    <t>Check</t>
  </si>
  <si>
    <t>Holidays</t>
  </si>
  <si>
    <t>New Years</t>
  </si>
  <si>
    <t>MLK</t>
  </si>
  <si>
    <t>Presidents Day</t>
  </si>
  <si>
    <t>Memorial Day</t>
  </si>
  <si>
    <t>Labor Day</t>
  </si>
  <si>
    <t>4th of July</t>
  </si>
  <si>
    <t>Thanksgiving</t>
  </si>
  <si>
    <t>Black Friday</t>
  </si>
  <si>
    <t>Christmas Eve</t>
  </si>
  <si>
    <t>Christmas</t>
  </si>
  <si>
    <t>Service Income</t>
  </si>
  <si>
    <t>Billing Days</t>
  </si>
  <si>
    <t>Realized / Effective Bill Rate</t>
  </si>
  <si>
    <t>Utilization %</t>
  </si>
  <si>
    <t>Student</t>
  </si>
  <si>
    <t>Date</t>
  </si>
  <si>
    <t>Hours</t>
  </si>
  <si>
    <t>Rate ($/hr)</t>
  </si>
  <si>
    <t>Coin</t>
  </si>
  <si>
    <t>Billed?</t>
  </si>
  <si>
    <t>Received payment?</t>
  </si>
  <si>
    <t>Topic</t>
  </si>
  <si>
    <t>Tip?</t>
  </si>
  <si>
    <t>Paid via invoice?</t>
  </si>
  <si>
    <t>Totals</t>
  </si>
  <si>
    <t>Abby Owen</t>
  </si>
  <si>
    <t>Yes</t>
  </si>
  <si>
    <t>Math (general homework)</t>
  </si>
  <si>
    <t>No</t>
  </si>
  <si>
    <t>BALANCED</t>
  </si>
  <si>
    <t>Algebra 2</t>
  </si>
  <si>
    <t>YES</t>
  </si>
  <si>
    <t>Emergency Math Lab</t>
  </si>
  <si>
    <t>Logarithmic Functions Review</t>
  </si>
  <si>
    <t>Precalc - Exponentials and Logs</t>
  </si>
  <si>
    <t>Addison O'Connor</t>
  </si>
  <si>
    <t>Choreography Review</t>
  </si>
  <si>
    <t>Caroline Frey</t>
  </si>
  <si>
    <t>TN and CoC Essay Supplement Finalization</t>
  </si>
  <si>
    <t>No - Venmo b/c tip; sent to personal account but transferred accordingly (sent to Eric and Eric venmo'd business acc)</t>
  </si>
  <si>
    <t>Bama Honors Appliation</t>
  </si>
  <si>
    <t>No - venmo b/c tip</t>
  </si>
  <si>
    <t>Claire Cecotti</t>
  </si>
  <si>
    <t>SAT Math, Piecewise Functions Test</t>
  </si>
  <si>
    <t>Elle Mishler</t>
  </si>
  <si>
    <t>Algebra 1</t>
  </si>
  <si>
    <t>Algebra 1 Review</t>
  </si>
  <si>
    <t>Gabby Bagot</t>
  </si>
  <si>
    <t>*Sujay 21 Oct, 23 Oct, 29 Oct, and 30 Oct were all billed together.</t>
  </si>
  <si>
    <t>Julia Cecotti</t>
  </si>
  <si>
    <t>Precalc - piecewise functions</t>
  </si>
  <si>
    <t>Limits and Discontinuity</t>
  </si>
  <si>
    <t>Kathryn Oakford</t>
  </si>
  <si>
    <t>Business Calculus</t>
  </si>
  <si>
    <t>Kaylie Thompson</t>
  </si>
  <si>
    <t>Common App Finalizaiton</t>
  </si>
  <si>
    <t>Maddie Wilson</t>
  </si>
  <si>
    <t>ACT Math</t>
  </si>
  <si>
    <t>No - received via PayPal and Transferred</t>
  </si>
  <si>
    <t>Maddox Rogers</t>
  </si>
  <si>
    <t>College Essay</t>
  </si>
  <si>
    <t>Naura Peters</t>
  </si>
  <si>
    <t>Private lesson</t>
  </si>
  <si>
    <t>Nicolette Batori</t>
  </si>
  <si>
    <t>AP Test Advice, Volunteering advice, SAT Math</t>
  </si>
  <si>
    <t>SAT Math</t>
  </si>
  <si>
    <t>Rohan Skanda</t>
  </si>
  <si>
    <t>AOS Integrated Math + Science</t>
  </si>
  <si>
    <t>Math and Physics Review</t>
  </si>
  <si>
    <t>Sienna Cormier</t>
  </si>
  <si>
    <t>Geometry</t>
  </si>
  <si>
    <t>Sophia Gonzales</t>
  </si>
  <si>
    <t>Yes (folded into next-day invoice)</t>
  </si>
  <si>
    <t>Physics</t>
  </si>
  <si>
    <t>Sujay Penugonda</t>
  </si>
  <si>
    <t>Supplemental Essays</t>
  </si>
  <si>
    <t>No - asked to send via Zelle. Transferred from personal to biz immediately.</t>
  </si>
  <si>
    <t>AOS Math/Science</t>
  </si>
  <si>
    <t>College Supplemental Essays</t>
  </si>
  <si>
    <t>Business Calc</t>
  </si>
  <si>
    <t>Math Practice for Quiz</t>
  </si>
  <si>
    <t>ACT Math, NHS Essay</t>
  </si>
  <si>
    <t>Mckenzie Frey</t>
  </si>
  <si>
    <t>Yes (accounted for in October w Caroline)</t>
  </si>
  <si>
    <t>PR/Project Planning</t>
  </si>
  <si>
    <t>NHS Essay</t>
  </si>
  <si>
    <t>Algebra Review/SAT Math</t>
  </si>
  <si>
    <t>Sam Cormier</t>
  </si>
  <si>
    <t>Adderal form</t>
  </si>
  <si>
    <t>SAT/ACT overview, college talk/prep</t>
  </si>
  <si>
    <t>ACT Science</t>
  </si>
  <si>
    <t>Essay</t>
  </si>
  <si>
    <t>ACT Math, college essay</t>
  </si>
  <si>
    <t>Matthew Aasen</t>
  </si>
  <si>
    <t>2nd read common app</t>
  </si>
  <si>
    <t>Row Labels</t>
  </si>
  <si>
    <t>Grand Total</t>
  </si>
  <si>
    <t>Sum of Hours</t>
  </si>
  <si>
    <t>Sum of Coin</t>
  </si>
  <si>
    <t>DATE</t>
  </si>
  <si>
    <t>TIME</t>
  </si>
  <si>
    <t>MONEY</t>
  </si>
  <si>
    <t>TOTAL EARNINGS FOR THIS PD:</t>
  </si>
  <si>
    <t>Paying through ESTINSTITUTE venmo. Should get tax forms from them.</t>
  </si>
  <si>
    <t>Made xfer of total - venmo tax removal to ensure everything would be viewable on NFCU</t>
  </si>
  <si>
    <t>BILLED</t>
  </si>
  <si>
    <t>TIP</t>
  </si>
  <si>
    <t>BALANCE</t>
  </si>
  <si>
    <t xml:space="preserve"> </t>
  </si>
  <si>
    <t>AR Days</t>
  </si>
  <si>
    <t>Gross Margin</t>
  </si>
  <si>
    <t>GM %</t>
  </si>
  <si>
    <t>Operating Expenses</t>
  </si>
  <si>
    <t>Net Operating Income (EBITDA)</t>
  </si>
  <si>
    <t>EBITDA %</t>
  </si>
  <si>
    <t>Other Income / (Expense)</t>
  </si>
  <si>
    <t>NI %</t>
  </si>
  <si>
    <t>Operating Cash</t>
  </si>
  <si>
    <t>Cash Inflow (Outflow)</t>
  </si>
  <si>
    <t>Misc.</t>
  </si>
  <si>
    <t>Operating Expense</t>
  </si>
  <si>
    <t>Misc</t>
  </si>
  <si>
    <t>Coverage</t>
  </si>
  <si>
    <t>Properties of logs and exponents; APERT</t>
  </si>
  <si>
    <t>Brayden Wulff</t>
  </si>
  <si>
    <t>Math Analysis</t>
  </si>
  <si>
    <t>QBA</t>
  </si>
  <si>
    <t>Algebra 1 - Absolute Value Functions</t>
  </si>
  <si>
    <t>Algebra 1 - Graphing, Domain, and Range</t>
  </si>
  <si>
    <t>Emma Thacker</t>
  </si>
  <si>
    <t>Algebra 2 Trig</t>
  </si>
  <si>
    <t>Precalc - rational functions, domain/range, holes, asymptotes, graphing, factoring</t>
  </si>
  <si>
    <t>Business Calc (College)</t>
  </si>
  <si>
    <t>Dance</t>
  </si>
  <si>
    <t>SAT Math (Calculator Section)</t>
  </si>
  <si>
    <t>Trig Proofs</t>
  </si>
  <si>
    <t>SAT English</t>
  </si>
  <si>
    <t>SAT Grammar</t>
  </si>
  <si>
    <t>* Billed with 27 Nov invoice</t>
  </si>
  <si>
    <t>SAT Reading Comprehension</t>
  </si>
  <si>
    <t>Difference Quotient, pre-calc</t>
  </si>
  <si>
    <t>AOS Integrated Math and Science</t>
  </si>
  <si>
    <t>Physics - Position and Veloicty</t>
  </si>
  <si>
    <t>Chemistry</t>
  </si>
  <si>
    <t>Physics - Angles, Motion</t>
  </si>
  <si>
    <t>MONTH GROSS</t>
  </si>
  <si>
    <t>***REMAINING BALANCE***</t>
  </si>
  <si>
    <t>Owner Guarenteed Payments</t>
  </si>
  <si>
    <t>General &amp; Admintrative Expenses</t>
  </si>
  <si>
    <t>Total G&amp;A Expenses</t>
  </si>
  <si>
    <t>Peak</t>
  </si>
  <si>
    <t>Trough</t>
  </si>
  <si>
    <t>Shoulder</t>
  </si>
  <si>
    <t>Average</t>
  </si>
  <si>
    <t xml:space="preserve">      70100 Accounts Payable</t>
  </si>
  <si>
    <t>Asynchronous</t>
  </si>
  <si>
    <t>Honors College Essays</t>
  </si>
  <si>
    <t>Venmo for Tip</t>
  </si>
  <si>
    <t>John Surles</t>
  </si>
  <si>
    <t>Advanced Functions - Fundamental Therem of Algebra, Conjugate Theorem</t>
  </si>
  <si>
    <t>Leyla Aggarwal</t>
  </si>
  <si>
    <t>Dance Private</t>
  </si>
  <si>
    <t>Yes (billed with 11-Dec invoice)</t>
  </si>
  <si>
    <t>Physics - Centripetal force and circular motion</t>
  </si>
  <si>
    <t>Physics - Energy</t>
  </si>
  <si>
    <t>YOY Compounded Growth %</t>
  </si>
  <si>
    <t xml:space="preserve">   Other Current Assets</t>
  </si>
  <si>
    <t xml:space="preserve">   Total Other Current Assets</t>
  </si>
  <si>
    <t xml:space="preserve">   70000 Tips/Miscellaneous</t>
  </si>
  <si>
    <t xml:space="preserve">         Undeposited Funds</t>
  </si>
  <si>
    <t>Actual</t>
  </si>
  <si>
    <t>Variance</t>
  </si>
  <si>
    <t>Additions</t>
  </si>
  <si>
    <t>Subtrctions</t>
  </si>
  <si>
    <t>Implied Tenure</t>
  </si>
  <si>
    <t>GM%</t>
  </si>
  <si>
    <t>LTV/CAC</t>
  </si>
  <si>
    <t>Payback</t>
  </si>
  <si>
    <t>T6M Avg Monthly Attrition</t>
  </si>
  <si>
    <t xml:space="preserve">   Sales</t>
  </si>
  <si>
    <t>Cost of Goods Sold</t>
  </si>
  <si>
    <t xml:space="preserve">   Materials - COGS</t>
  </si>
  <si>
    <t xml:space="preserve">   Software - COS</t>
  </si>
  <si>
    <t>Total Cost of Goods Sold</t>
  </si>
  <si>
    <t xml:space="preserve">         EveryDay Checking (4021) - 1</t>
  </si>
  <si>
    <t xml:space="preserve">         Membership Share Savings (4852) - 1</t>
  </si>
  <si>
    <t xml:space="preserve">      Owner Contributions</t>
  </si>
  <si>
    <t xml:space="preserve">      Personal Expenses</t>
  </si>
  <si>
    <t xml:space="preserve">      Retained Earnings</t>
  </si>
  <si>
    <t>Hours / Day / Client</t>
  </si>
  <si>
    <t>2024 Overview</t>
  </si>
  <si>
    <t># of Active Clients</t>
  </si>
  <si>
    <t>Total Operating (Business) Cash Balance</t>
  </si>
  <si>
    <t>Total Cash Inflow (Outflow)</t>
  </si>
  <si>
    <t>Operating Cash Burn</t>
  </si>
  <si>
    <t>Owner Cash Burn</t>
  </si>
  <si>
    <t>Operating Cash Runway</t>
  </si>
  <si>
    <t>Owner Cash Runway</t>
  </si>
  <si>
    <t>Operating Cash Runway - Burn Rate</t>
  </si>
  <si>
    <t>Cash Runway - Owner Burn Rate</t>
  </si>
  <si>
    <t>Total Cost of Goods Sold (COGS)</t>
  </si>
  <si>
    <t xml:space="preserve">   60200 Office Supplies &amp; Software</t>
  </si>
  <si>
    <t xml:space="preserve">   60210 Lodging &amp; Airfare</t>
  </si>
  <si>
    <t xml:space="preserve">   60220 Gas &amp; Auto Expense</t>
  </si>
  <si>
    <t xml:space="preserve">   60300 Finance &amp; Accounting</t>
  </si>
  <si>
    <t xml:space="preserve">   60400 Bank Fees</t>
  </si>
  <si>
    <t xml:space="preserve">   60700 Utilities</t>
  </si>
  <si>
    <t xml:space="preserve">   50100 Software - COS</t>
  </si>
  <si>
    <t xml:space="preserve">   50200 Materials - COGS</t>
  </si>
  <si>
    <t>COS as a % of Revenue</t>
  </si>
  <si>
    <t>COGS as a % of Revenue</t>
  </si>
  <si>
    <t xml:space="preserve">         10500 Cash in Transit</t>
  </si>
  <si>
    <t xml:space="preserve">            10510 Cash in Transit - Booksy</t>
  </si>
  <si>
    <t xml:space="preserve">            10520 Cash in Transit - Cash App</t>
  </si>
  <si>
    <t xml:space="preserve">            10530 Cash in Transit - Venmo</t>
  </si>
  <si>
    <t xml:space="preserve">            10540 Cash in Transit - Apple Cash</t>
  </si>
  <si>
    <t xml:space="preserve">            10550 Cash in Transit - Infinite Loop</t>
  </si>
  <si>
    <t xml:space="preserve">         Total 10500 Cash in Transit</t>
  </si>
  <si>
    <t>MRR</t>
  </si>
  <si>
    <t>Nonbillable Hours</t>
  </si>
  <si>
    <t>Total Billable Hours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</si>
  <si>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</si>
  <si>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</si>
  <si>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</si>
  <si>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</si>
  <si>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</si>
  <si>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</si>
  <si>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</si>
  <si>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</si>
  <si>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</si>
  <si>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</si>
  <si>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</si>
  <si>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</si>
  <si>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Productivity Utilization</t>
  </si>
  <si>
    <t xml:space="preserve">   69000 Contractors</t>
  </si>
  <si>
    <t>Owners' Personal Burden</t>
  </si>
  <si>
    <t>Name</t>
  </si>
  <si>
    <t>Position</t>
  </si>
  <si>
    <t>Hourly Rate</t>
  </si>
  <si>
    <t>Barber Sub</t>
  </si>
  <si>
    <t xml:space="preserve">   60230 Enterntainment/Meals (50% Deductible)</t>
  </si>
  <si>
    <t># of Successful Appointments</t>
  </si>
  <si>
    <t># of Anticipated Appointments</t>
  </si>
  <si>
    <t>Reschedule/Cancellation Rate</t>
  </si>
  <si>
    <t># of Recurring Client Base</t>
  </si>
  <si>
    <t># of Anticipated Clients</t>
  </si>
  <si>
    <t>Average Revenue</t>
  </si>
  <si>
    <t>Lifetime Revenue</t>
  </si>
  <si>
    <t>Nonbillable Hours/Lost Appt</t>
  </si>
  <si>
    <t>Client Base Growth Rate</t>
  </si>
  <si>
    <t>Client Hit Rate</t>
  </si>
  <si>
    <t>Net New Prospective Clients</t>
  </si>
  <si>
    <t>Appt Multiplier</t>
  </si>
  <si>
    <t>CAC</t>
  </si>
  <si>
    <t>Revenue</t>
  </si>
  <si>
    <t># of Appointments</t>
  </si>
  <si>
    <t>Recurring Client Base</t>
  </si>
  <si>
    <t>Total Cash Balance</t>
  </si>
  <si>
    <t>Forecast</t>
  </si>
  <si>
    <t>Q1 2024</t>
  </si>
  <si>
    <t>Q2 2024</t>
  </si>
  <si>
    <t>Q3 2024</t>
  </si>
  <si>
    <t>Q4 2024</t>
  </si>
  <si>
    <t>Q1</t>
  </si>
  <si>
    <t>Q2</t>
  </si>
  <si>
    <t>Q3</t>
  </si>
  <si>
    <t>Q4</t>
  </si>
  <si>
    <t>2024 AOP Income</t>
  </si>
  <si>
    <t>2024 AOP Net Income</t>
  </si>
  <si>
    <t>Variance (Forecast)</t>
  </si>
  <si>
    <t>Finance &amp; Accounting</t>
  </si>
  <si>
    <t>Bank Fees</t>
  </si>
  <si>
    <t>Utilities</t>
  </si>
  <si>
    <t>Contractors</t>
  </si>
  <si>
    <t>NOI%</t>
  </si>
  <si>
    <t>Office Supplies &amp; Software</t>
  </si>
  <si>
    <t>Lodging &amp; Airfare</t>
  </si>
  <si>
    <t>Gas &amp; Auto Expense</t>
  </si>
  <si>
    <t>Enterntainment/Meals (50% Deductible)</t>
  </si>
  <si>
    <t>Software - COS</t>
  </si>
  <si>
    <t>Materials - COGS</t>
  </si>
  <si>
    <t>Owner Personal Burden</t>
  </si>
  <si>
    <t>T6M LTV</t>
  </si>
  <si>
    <t>T6M CAC</t>
  </si>
  <si>
    <t>2024 AOP Avg. Appointments</t>
  </si>
  <si>
    <t>2024 AOP Avg. Client Base</t>
  </si>
  <si>
    <t>2024 AOP Avg. MRR</t>
  </si>
  <si>
    <t>Barber Services</t>
  </si>
  <si>
    <t xml:space="preserve">   60800 Insurance</t>
  </si>
  <si>
    <t>Adjusted Cash Balance (Operating)</t>
  </si>
  <si>
    <t>Change in Personal Burden</t>
  </si>
  <si>
    <t>Operating (Business) Cash</t>
  </si>
  <si>
    <t>Savings Cash</t>
  </si>
  <si>
    <t xml:space="preserve">   Contractors - COS</t>
  </si>
  <si>
    <t>GP%</t>
  </si>
  <si>
    <t xml:space="preserve">   60600 Facility Rent (Maintenance &amp; Repairs)</t>
  </si>
  <si>
    <t xml:space="preserve">   60500 Legal &amp; Professional Fees</t>
  </si>
  <si>
    <t>Net New Clients</t>
  </si>
  <si>
    <t>KPIs</t>
  </si>
  <si>
    <t>60000 General &amp; Administrative Expenses</t>
  </si>
  <si>
    <t xml:space="preserve">   30000 Advertising &amp; Marketing Expenses</t>
  </si>
  <si>
    <t xml:space="preserve">      30100 Branding</t>
  </si>
  <si>
    <t xml:space="preserve">   Total 30000 Advertising &amp; Marketing Expenses</t>
  </si>
  <si>
    <t>Advertising &amp; Marketing Expenses</t>
  </si>
  <si>
    <t>Branding</t>
  </si>
  <si>
    <t>Facility Rent &amp; Repairs</t>
  </si>
  <si>
    <t>Legal</t>
  </si>
  <si>
    <t>2024 AOP (H2)</t>
  </si>
  <si>
    <t>Furniture</t>
  </si>
  <si>
    <t xml:space="preserve">   61100 Furniture</t>
  </si>
  <si>
    <t>Insurance</t>
  </si>
  <si>
    <t>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</si>
</sst>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9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0\ _€"/>
    <numFmt numFmtId="165" formatCode="&quot;$&quot;* #,##0.00\ _€"/>
    <numFmt numFmtId="166" formatCode="m/d/yyyy;@"/>
    <numFmt numFmtId="167" formatCode="_(* #,##0_);_(* \(#,##0\);_(* &quot;-&quot;??_);_(@_)"/>
    <numFmt numFmtId="168" formatCode="_(#,##0.0%_);\(#,##0.0%\);_(&quot;–&quot;_)_%;_(@_)_%"/>
    <numFmt numFmtId="169" formatCode="_(* #,##0.0_);_(* \(#,##0.0\);_(* &quot;-&quot;??_);_(@_)"/>
    <numFmt numFmtId="170" formatCode="[$-409]mmmm;@"/>
    <numFmt numFmtId="171" formatCode="[$-409]mmmm\-yy;@"/>
    <numFmt numFmtId="172" formatCode="_(&quot;$&quot;* #,##0_);_(&quot;$&quot;* \(#,##0\);_(&quot;$&quot;* &quot;-&quot;??_);_(@_)"/>
    <numFmt numFmtId="173" formatCode="_([$$]#,##0_)_%;\([$$]#,##0\)_%;_(&quot;–&quot;_)_%;_(@_)_%"/>
    <numFmt numFmtId="174" formatCode="0.0%"/>
    <numFmt numFmtId="175" formatCode="0.00000"/>
    <numFmt numFmtId="176" formatCode="0.00\ \x"/>
    <numFmt numFmtId="177" formatCode="_(* #\ ##0.00_)&quot;months&quot;;_(* #\ ##0.00_);_(* &quot;-&quot;??_);_(@_)"/>
    <numFmt numFmtId="178" formatCode="[$-409]mmmm\ yyyy;@"/>
    <numFmt numFmtId="179" formatCode="0\ \x"/>
    <numFmt numFmtId="180" formatCode="_(* #,##0.00_)\ \x;_(* \(#,##0.00\)\ \x;_(* &quot;-&quot;??_);_(@_)\ \x"/>
  </numFmts>
  <fonts count="57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sz val="11"/>
      <color indexed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i/>
      <sz val="11"/>
      <color indexed="8"/>
      <name val="Calibri"/>
      <family val="2"/>
      <scheme val="minor"/>
    </font>
    <font>
      <b/>
      <sz val="8"/>
      <color indexed="8"/>
      <name val="Arial"/>
      <family val="2"/>
    </font>
    <font>
      <i/>
      <sz val="11"/>
      <color rgb="FF000000"/>
      <name val="Calibri"/>
      <family val="2"/>
      <scheme val="minor"/>
    </font>
    <font>
      <i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1"/>
      <name val="Calibri"/>
      <family val="2"/>
      <scheme val="minor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i/>
      <sz val="10"/>
      <name val="Calibri"/>
      <family val="2"/>
      <scheme val="minor"/>
    </font>
    <font>
      <b/>
      <sz val="1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i/>
      <sz val="8"/>
      <color indexed="8"/>
      <name val="Arial"/>
      <family val="2"/>
    </font>
    <font>
      <sz val="8"/>
      <color theme="4"/>
      <name val="Arial"/>
      <family val="2"/>
    </font>
    <font>
      <b/>
      <sz val="11"/>
      <color theme="9"/>
      <name val="Calibri"/>
      <family val="2"/>
      <scheme val="minor"/>
    </font>
    <font>
      <sz val="11"/>
      <color theme="4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indexed="8"/>
      <name val="Calibri"/>
      <family val="2"/>
      <scheme val="minor"/>
    </font>
    <font>
      <i/>
      <sz val="11"/>
      <color theme="0"/>
      <name val="Calibri"/>
      <family val="2"/>
      <scheme val="minor"/>
    </font>
    <font>
      <i/>
      <sz val="11"/>
      <color indexed="8"/>
      <name val="Calibri"/>
      <family val="2"/>
      <scheme val="minor"/>
    </font>
    <font>
      <i/>
      <sz val="8"/>
      <color indexed="8"/>
      <name val="Calibri"/>
      <family val="2"/>
      <scheme val="minor"/>
    </font>
    <font>
      <sz val="8"/>
      <color indexed="8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b/>
      <sz val="12"/>
      <name val="Calibri"/>
      <family val="2"/>
      <scheme val="minor"/>
    </font>
    <font>
      <b/>
      <i/>
      <sz val="11"/>
      <name val="Calibri"/>
      <family val="2"/>
      <scheme val="minor"/>
    </font>
    <font>
      <sz val="11"/>
      <color theme="9"/>
      <name val="Calibri"/>
      <family val="2"/>
      <scheme val="minor"/>
    </font>
    <font>
      <b/>
      <sz val="22"/>
      <color indexed="8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9"/>
      <name val="Arial"/>
      <family val="2"/>
    </font>
    <font>
      <sz val="10"/>
      <color indexed="8"/>
      <name val="Calibri"/>
      <family val="2"/>
      <scheme val="minor"/>
    </font>
    <font>
      <b/>
      <sz val="10"/>
      <color theme="0"/>
      <name val="Arial"/>
      <family val="2"/>
    </font>
    <font>
      <sz val="11"/>
      <color theme="0"/>
      <name val="Times New Roman"/>
      <family val="1"/>
    </font>
    <font>
      <b/>
      <sz val="10"/>
      <color indexed="8"/>
      <name val="Times New Roman"/>
      <family val="1"/>
    </font>
    <font>
      <b/>
      <sz val="10"/>
      <name val="Times New Roman"/>
      <family val="1"/>
    </font>
    <font>
      <sz val="10"/>
      <color rgb="FF000000"/>
      <name val="Times New Roman"/>
      <family val="1"/>
    </font>
    <font>
      <i/>
      <sz val="10"/>
      <color rgb="FF000000"/>
      <name val="Times New Roman"/>
      <family val="1"/>
    </font>
    <font>
      <sz val="10"/>
      <name val="Times New Roman"/>
      <family val="1"/>
    </font>
    <font>
      <i/>
      <sz val="10"/>
      <name val="Times New Roman"/>
      <family val="1"/>
    </font>
    <font>
      <b/>
      <sz val="11"/>
      <color rgb="FF3333FF"/>
      <name val="Calibri"/>
      <family val="2"/>
      <scheme val="minor"/>
    </font>
    <font>
      <sz val="11"/>
      <color rgb="FF3333FF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8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indexed="64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tted">
        <color auto="1"/>
      </right>
      <top/>
      <bottom/>
      <diagonal/>
    </border>
    <border>
      <left/>
      <right style="dotted">
        <color auto="1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 style="thin">
        <color auto="1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/>
      <diagonal/>
    </border>
    <border>
      <left style="medium">
        <color indexed="64"/>
      </left>
      <right style="dotted">
        <color indexed="64"/>
      </right>
      <top/>
      <bottom style="medium">
        <color indexed="64"/>
      </bottom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 style="thin">
        <color auto="1"/>
      </top>
      <bottom/>
      <diagonal/>
    </border>
    <border>
      <left/>
      <right style="thick">
        <color auto="1"/>
      </right>
      <top style="thin">
        <color indexed="64"/>
      </top>
      <bottom/>
      <diagonal/>
    </border>
    <border>
      <left style="thick">
        <color auto="1"/>
      </left>
      <right/>
      <top style="thin">
        <color auto="1"/>
      </top>
      <bottom style="medium">
        <color indexed="64"/>
      </bottom>
      <diagonal/>
    </border>
    <border>
      <left/>
      <right style="thick">
        <color auto="1"/>
      </right>
      <top style="thin">
        <color auto="1"/>
      </top>
      <bottom style="medium">
        <color auto="1"/>
      </bottom>
      <diagonal/>
    </border>
    <border>
      <left style="thick">
        <color auto="1"/>
      </left>
      <right/>
      <top style="thin">
        <color indexed="64"/>
      </top>
      <bottom style="thin">
        <color auto="1"/>
      </bottom>
      <diagonal/>
    </border>
    <border>
      <left/>
      <right style="thick">
        <color auto="1"/>
      </right>
      <top style="thin">
        <color indexed="64"/>
      </top>
      <bottom style="thin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 style="thin">
        <color auto="1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 style="thin">
        <color auto="1"/>
      </top>
      <bottom/>
      <diagonal/>
    </border>
    <border>
      <left/>
      <right style="hair">
        <color indexed="64"/>
      </right>
      <top/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/>
      <diagonal/>
    </border>
    <border>
      <left style="thick">
        <color auto="1"/>
      </left>
      <right/>
      <top style="thin">
        <color auto="1"/>
      </top>
      <bottom style="thick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/>
      <top style="thin">
        <color indexed="64"/>
      </top>
      <bottom style="thin">
        <color auto="1"/>
      </bottom>
      <diagonal/>
    </border>
    <border>
      <left/>
      <right style="dotted">
        <color auto="1"/>
      </right>
      <top style="thin">
        <color indexed="64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 style="hair">
        <color auto="1"/>
      </left>
      <right style="hair">
        <color auto="1"/>
      </right>
      <top style="medium">
        <color indexed="64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indexed="64"/>
      </left>
      <right/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/>
      <right style="hair">
        <color auto="1"/>
      </right>
      <top/>
      <bottom style="thin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 style="thin">
        <color indexed="64"/>
      </top>
      <bottom/>
      <diagonal/>
    </border>
    <border>
      <left/>
      <right style="dotted">
        <color auto="1"/>
      </right>
      <top style="thin">
        <color indexed="64"/>
      </top>
      <bottom style="medium">
        <color indexed="64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n">
        <color indexed="64"/>
      </top>
      <bottom style="thin">
        <color auto="1"/>
      </bottom>
      <diagonal/>
    </border>
    <border>
      <left/>
      <right style="dotted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/>
      <right style="dotted">
        <color auto="1"/>
      </right>
      <top/>
      <bottom style="thin">
        <color auto="1"/>
      </bottom>
      <diagonal/>
    </border>
    <border>
      <left/>
      <right style="dotted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auto="1"/>
      </right>
      <top/>
      <bottom/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dotted">
        <color auto="1"/>
      </right>
      <top/>
      <bottom/>
      <diagonal/>
    </border>
    <border>
      <left style="medium">
        <color indexed="64"/>
      </left>
      <right style="dotted">
        <color auto="1"/>
      </right>
      <top style="thin">
        <color auto="1"/>
      </top>
      <bottom/>
      <diagonal/>
    </border>
    <border>
      <left style="medium">
        <color indexed="64"/>
      </left>
      <right style="dotted">
        <color auto="1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auto="1"/>
      </right>
      <top style="medium">
        <color indexed="64"/>
      </top>
      <bottom style="medium">
        <color indexed="64"/>
      </bottom>
      <diagonal/>
    </border>
    <border>
      <left/>
      <right style="thick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</borders>
  <cellStyleXfs count="8">
    <xf numFmtId="0" fontId="0" fillId="0" borderId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15" fillId="0" borderId="0"/>
    <xf numFmtId="0" fontId="3" fillId="0" borderId="0"/>
    <xf numFmtId="0" fontId="2" fillId="0" borderId="0"/>
    <xf numFmtId="0" fontId="1" fillId="0" borderId="0"/>
  </cellStyleXfs>
  <cellXfs count="655">
    <xf numFmtId="0" fontId="0" fillId="0" borderId="0" xfId="0"/>
    <xf numFmtId="0" fontId="4" fillId="0" borderId="0" xfId="0" applyFont="1" applyAlignment="1">
      <alignment horizontal="left" wrapText="1"/>
    </xf>
    <xf numFmtId="164" fontId="5" fillId="0" borderId="0" xfId="0" applyNumberFormat="1" applyFont="1" applyAlignment="1">
      <alignment wrapText="1"/>
    </xf>
    <xf numFmtId="0" fontId="0" fillId="0" borderId="2" xfId="0" applyBorder="1"/>
    <xf numFmtId="0" fontId="4" fillId="0" borderId="2" xfId="0" applyFont="1" applyBorder="1" applyAlignment="1">
      <alignment horizontal="left" wrapText="1"/>
    </xf>
    <xf numFmtId="0" fontId="0" fillId="0" borderId="3" xfId="0" applyBorder="1"/>
    <xf numFmtId="0" fontId="4" fillId="0" borderId="3" xfId="0" applyFont="1" applyBorder="1" applyAlignment="1">
      <alignment horizontal="left" wrapText="1"/>
    </xf>
    <xf numFmtId="0" fontId="0" fillId="0" borderId="0" xfId="0" applyAlignment="1">
      <alignment horizontal="right"/>
    </xf>
    <xf numFmtId="0" fontId="11" fillId="0" borderId="0" xfId="0" applyFont="1" applyAlignment="1">
      <alignment horizontal="right"/>
    </xf>
    <xf numFmtId="44" fontId="0" fillId="0" borderId="0" xfId="0" applyNumberFormat="1"/>
    <xf numFmtId="44" fontId="0" fillId="0" borderId="2" xfId="0" applyNumberFormat="1" applyBorder="1"/>
    <xf numFmtId="0" fontId="12" fillId="0" borderId="0" xfId="0" applyFont="1" applyAlignment="1">
      <alignment horizontal="left" wrapText="1"/>
    </xf>
    <xf numFmtId="166" fontId="8" fillId="2" borderId="0" xfId="0" applyNumberFormat="1" applyFont="1" applyFill="1" applyAlignment="1">
      <alignment horizontal="centerContinuous"/>
    </xf>
    <xf numFmtId="0" fontId="8" fillId="2" borderId="0" xfId="0" applyFont="1" applyFill="1" applyAlignment="1">
      <alignment horizontal="centerContinuous"/>
    </xf>
    <xf numFmtId="166" fontId="0" fillId="0" borderId="0" xfId="0" applyNumberFormat="1" applyAlignment="1">
      <alignment horizontal="left"/>
    </xf>
    <xf numFmtId="167" fontId="18" fillId="0" borderId="0" xfId="1" applyNumberFormat="1" applyFont="1" applyFill="1" applyBorder="1"/>
    <xf numFmtId="167" fontId="17" fillId="2" borderId="0" xfId="1" applyNumberFormat="1" applyFont="1" applyFill="1" applyBorder="1" applyAlignment="1"/>
    <xf numFmtId="167" fontId="17" fillId="2" borderId="8" xfId="1" applyNumberFormat="1" applyFont="1" applyFill="1" applyBorder="1" applyAlignment="1"/>
    <xf numFmtId="167" fontId="20" fillId="0" borderId="0" xfId="1" applyNumberFormat="1" applyFont="1" applyFill="1" applyBorder="1"/>
    <xf numFmtId="167" fontId="20" fillId="2" borderId="0" xfId="1" applyNumberFormat="1" applyFont="1" applyFill="1" applyBorder="1"/>
    <xf numFmtId="167" fontId="20" fillId="2" borderId="8" xfId="1" applyNumberFormat="1" applyFont="1" applyFill="1" applyBorder="1"/>
    <xf numFmtId="43" fontId="17" fillId="0" borderId="0" xfId="1" applyFont="1" applyFill="1" applyBorder="1"/>
    <xf numFmtId="43" fontId="18" fillId="3" borderId="0" xfId="1" applyFont="1" applyFill="1" applyBorder="1"/>
    <xf numFmtId="43" fontId="20" fillId="2" borderId="0" xfId="1" applyFont="1" applyFill="1" applyBorder="1"/>
    <xf numFmtId="43" fontId="20" fillId="2" borderId="8" xfId="1" applyFont="1" applyFill="1" applyBorder="1"/>
    <xf numFmtId="167" fontId="17" fillId="2" borderId="0" xfId="1" applyNumberFormat="1" applyFont="1" applyFill="1" applyBorder="1"/>
    <xf numFmtId="167" fontId="17" fillId="2" borderId="8" xfId="1" applyNumberFormat="1" applyFont="1" applyFill="1" applyBorder="1"/>
    <xf numFmtId="44" fontId="17" fillId="0" borderId="0" xfId="2" applyFont="1" applyFill="1" applyBorder="1"/>
    <xf numFmtId="44" fontId="17" fillId="2" borderId="0" xfId="2" applyFont="1" applyFill="1" applyBorder="1"/>
    <xf numFmtId="44" fontId="17" fillId="2" borderId="8" xfId="2" applyFont="1" applyFill="1" applyBorder="1"/>
    <xf numFmtId="0" fontId="0" fillId="4" borderId="0" xfId="0" applyFill="1"/>
    <xf numFmtId="0" fontId="7" fillId="4" borderId="0" xfId="0" applyFont="1" applyFill="1" applyAlignment="1">
      <alignment horizontal="center"/>
    </xf>
    <xf numFmtId="0" fontId="8" fillId="4" borderId="0" xfId="0" applyFont="1" applyFill="1"/>
    <xf numFmtId="0" fontId="7" fillId="4" borderId="0" xfId="0" applyFont="1" applyFill="1"/>
    <xf numFmtId="14" fontId="7" fillId="4" borderId="0" xfId="0" applyNumberFormat="1" applyFont="1" applyFill="1" applyAlignment="1">
      <alignment horizontal="center"/>
    </xf>
    <xf numFmtId="43" fontId="16" fillId="2" borderId="0" xfId="0" applyNumberFormat="1" applyFont="1" applyFill="1" applyAlignment="1">
      <alignment vertical="center"/>
    </xf>
    <xf numFmtId="0" fontId="16" fillId="2" borderId="0" xfId="0" applyFont="1" applyFill="1" applyAlignment="1">
      <alignment vertical="center"/>
    </xf>
    <xf numFmtId="43" fontId="21" fillId="2" borderId="0" xfId="0" applyNumberFormat="1" applyFont="1" applyFill="1" applyAlignment="1">
      <alignment horizontal="center" vertical="center" wrapText="1"/>
    </xf>
    <xf numFmtId="0" fontId="3" fillId="0" borderId="0" xfId="5"/>
    <xf numFmtId="0" fontId="8" fillId="0" borderId="0" xfId="5" applyFont="1"/>
    <xf numFmtId="0" fontId="3" fillId="2" borderId="0" xfId="5" applyFill="1"/>
    <xf numFmtId="16" fontId="3" fillId="2" borderId="0" xfId="5" applyNumberFormat="1" applyFill="1"/>
    <xf numFmtId="0" fontId="3" fillId="5" borderId="0" xfId="5" applyFill="1"/>
    <xf numFmtId="16" fontId="3" fillId="0" borderId="0" xfId="5" applyNumberFormat="1"/>
    <xf numFmtId="0" fontId="3" fillId="6" borderId="0" xfId="5" applyFill="1"/>
    <xf numFmtId="16" fontId="3" fillId="6" borderId="0" xfId="5" applyNumberFormat="1" applyFill="1"/>
    <xf numFmtId="0" fontId="3" fillId="7" borderId="0" xfId="5" applyFill="1"/>
    <xf numFmtId="14" fontId="3" fillId="7" borderId="0" xfId="5" applyNumberFormat="1" applyFill="1"/>
    <xf numFmtId="0" fontId="0" fillId="0" borderId="0" xfId="0" pivotButton="1"/>
    <xf numFmtId="0" fontId="0" fillId="0" borderId="0" xfId="0" applyAlignment="1">
      <alignment horizontal="left"/>
    </xf>
    <xf numFmtId="167" fontId="19" fillId="3" borderId="0" xfId="1" applyNumberFormat="1" applyFont="1" applyFill="1" applyBorder="1"/>
    <xf numFmtId="167" fontId="3" fillId="0" borderId="0" xfId="1" applyNumberFormat="1" applyFont="1" applyFill="1" applyBorder="1"/>
    <xf numFmtId="165" fontId="4" fillId="0" borderId="0" xfId="0" applyNumberFormat="1" applyFont="1" applyAlignment="1">
      <alignment horizontal="right" wrapText="1"/>
    </xf>
    <xf numFmtId="0" fontId="7" fillId="4" borderId="8" xfId="0" applyFont="1" applyFill="1" applyBorder="1" applyAlignment="1">
      <alignment horizontal="center"/>
    </xf>
    <xf numFmtId="14" fontId="7" fillId="4" borderId="8" xfId="0" applyNumberFormat="1" applyFont="1" applyFill="1" applyBorder="1" applyAlignment="1">
      <alignment horizontal="center"/>
    </xf>
    <xf numFmtId="44" fontId="10" fillId="0" borderId="3" xfId="0" applyNumberFormat="1" applyFont="1" applyBorder="1"/>
    <xf numFmtId="44" fontId="10" fillId="0" borderId="2" xfId="0" applyNumberFormat="1" applyFont="1" applyBorder="1"/>
    <xf numFmtId="44" fontId="10" fillId="0" borderId="1" xfId="0" applyNumberFormat="1" applyFont="1" applyBorder="1"/>
    <xf numFmtId="44" fontId="10" fillId="0" borderId="0" xfId="0" applyNumberFormat="1" applyFont="1"/>
    <xf numFmtId="0" fontId="26" fillId="0" borderId="0" xfId="0" applyFont="1" applyAlignment="1">
      <alignment horizontal="right" wrapText="1"/>
    </xf>
    <xf numFmtId="2" fontId="0" fillId="0" borderId="2" xfId="3" applyNumberFormat="1" applyFont="1" applyBorder="1"/>
    <xf numFmtId="169" fontId="14" fillId="3" borderId="3" xfId="1" applyNumberFormat="1" applyFont="1" applyFill="1" applyBorder="1"/>
    <xf numFmtId="0" fontId="4" fillId="6" borderId="2" xfId="0" applyFont="1" applyFill="1" applyBorder="1" applyAlignment="1">
      <alignment horizontal="left" wrapText="1"/>
    </xf>
    <xf numFmtId="0" fontId="26" fillId="6" borderId="2" xfId="0" applyFont="1" applyFill="1" applyBorder="1" applyAlignment="1">
      <alignment horizontal="right" wrapText="1"/>
    </xf>
    <xf numFmtId="2" fontId="4" fillId="6" borderId="2" xfId="0" applyNumberFormat="1" applyFont="1" applyFill="1" applyBorder="1" applyAlignment="1">
      <alignment horizontal="right" wrapText="1"/>
    </xf>
    <xf numFmtId="0" fontId="0" fillId="6" borderId="2" xfId="0" applyFill="1" applyBorder="1"/>
    <xf numFmtId="44" fontId="28" fillId="0" borderId="2" xfId="0" applyNumberFormat="1" applyFont="1" applyBorder="1"/>
    <xf numFmtId="0" fontId="4" fillId="4" borderId="0" xfId="0" applyFont="1" applyFill="1" applyAlignment="1">
      <alignment horizontal="left" wrapText="1"/>
    </xf>
    <xf numFmtId="44" fontId="10" fillId="4" borderId="0" xfId="0" applyNumberFormat="1" applyFont="1" applyFill="1"/>
    <xf numFmtId="0" fontId="30" fillId="4" borderId="0" xfId="0" applyFont="1" applyFill="1" applyAlignment="1">
      <alignment horizontal="right" vertical="center"/>
    </xf>
    <xf numFmtId="170" fontId="31" fillId="4" borderId="0" xfId="0" applyNumberFormat="1" applyFont="1" applyFill="1" applyAlignment="1">
      <alignment horizontal="center" vertical="center"/>
    </xf>
    <xf numFmtId="0" fontId="32" fillId="4" borderId="0" xfId="0" applyFont="1" applyFill="1" applyAlignment="1">
      <alignment vertical="center"/>
    </xf>
    <xf numFmtId="171" fontId="31" fillId="4" borderId="0" xfId="0" applyNumberFormat="1" applyFont="1" applyFill="1" applyAlignment="1">
      <alignment horizontal="center" vertical="center"/>
    </xf>
    <xf numFmtId="0" fontId="0" fillId="0" borderId="0" xfId="0" applyAlignment="1">
      <alignment horizontal="right" vertical="center"/>
    </xf>
    <xf numFmtId="167" fontId="0" fillId="0" borderId="0" xfId="0" applyNumberFormat="1" applyAlignment="1">
      <alignment horizontal="right" vertical="center"/>
    </xf>
    <xf numFmtId="172" fontId="16" fillId="2" borderId="2" xfId="2" applyNumberFormat="1" applyFont="1" applyFill="1" applyBorder="1" applyAlignment="1">
      <alignment horizontal="right"/>
    </xf>
    <xf numFmtId="172" fontId="0" fillId="0" borderId="0" xfId="2" applyNumberFormat="1" applyFont="1" applyBorder="1" applyAlignment="1">
      <alignment horizontal="right"/>
    </xf>
    <xf numFmtId="173" fontId="0" fillId="0" borderId="0" xfId="0" applyNumberFormat="1"/>
    <xf numFmtId="172" fontId="32" fillId="0" borderId="0" xfId="2" applyNumberFormat="1" applyFont="1"/>
    <xf numFmtId="0" fontId="10" fillId="2" borderId="2" xfId="0" applyFont="1" applyFill="1" applyBorder="1" applyAlignment="1">
      <alignment horizontal="right"/>
    </xf>
    <xf numFmtId="172" fontId="10" fillId="2" borderId="2" xfId="2" applyNumberFormat="1" applyFont="1" applyFill="1" applyBorder="1" applyAlignment="1"/>
    <xf numFmtId="172" fontId="0" fillId="0" borderId="0" xfId="2" applyNumberFormat="1" applyFont="1" applyAlignment="1"/>
    <xf numFmtId="0" fontId="34" fillId="0" borderId="0" xfId="0" applyFont="1" applyAlignment="1">
      <alignment horizontal="right"/>
    </xf>
    <xf numFmtId="168" fontId="34" fillId="0" borderId="0" xfId="0" applyNumberFormat="1" applyFont="1"/>
    <xf numFmtId="0" fontId="7" fillId="4" borderId="4" xfId="0" applyFont="1" applyFill="1" applyBorder="1" applyAlignment="1">
      <alignment horizontal="right"/>
    </xf>
    <xf numFmtId="44" fontId="7" fillId="4" borderId="4" xfId="2" applyFont="1" applyFill="1" applyBorder="1" applyAlignment="1">
      <alignment horizontal="right"/>
    </xf>
    <xf numFmtId="0" fontId="7" fillId="4" borderId="9" xfId="0" applyFont="1" applyFill="1" applyBorder="1" applyAlignment="1">
      <alignment horizontal="right"/>
    </xf>
    <xf numFmtId="44" fontId="7" fillId="4" borderId="9" xfId="0" applyNumberFormat="1" applyFont="1" applyFill="1" applyBorder="1" applyAlignment="1">
      <alignment horizontal="right"/>
    </xf>
    <xf numFmtId="172" fontId="31" fillId="10" borderId="2" xfId="2" applyNumberFormat="1" applyFont="1" applyFill="1" applyBorder="1" applyAlignment="1">
      <alignment horizontal="right"/>
    </xf>
    <xf numFmtId="172" fontId="31" fillId="10" borderId="2" xfId="2" applyNumberFormat="1" applyFont="1" applyFill="1" applyBorder="1"/>
    <xf numFmtId="0" fontId="33" fillId="10" borderId="0" xfId="0" applyFont="1" applyFill="1" applyAlignment="1">
      <alignment horizontal="right"/>
    </xf>
    <xf numFmtId="168" fontId="33" fillId="10" borderId="0" xfId="0" applyNumberFormat="1" applyFont="1" applyFill="1" applyAlignment="1">
      <alignment horizontal="right"/>
    </xf>
    <xf numFmtId="14" fontId="9" fillId="0" borderId="0" xfId="0" applyNumberFormat="1" applyFont="1"/>
    <xf numFmtId="0" fontId="0" fillId="0" borderId="4" xfId="0" applyBorder="1"/>
    <xf numFmtId="0" fontId="0" fillId="0" borderId="5" xfId="0" applyBorder="1" applyAlignment="1">
      <alignment horizontal="right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0" xfId="0" applyAlignment="1">
      <alignment vertical="center"/>
    </xf>
    <xf numFmtId="167" fontId="0" fillId="0" borderId="0" xfId="1" applyNumberFormat="1" applyFont="1" applyBorder="1"/>
    <xf numFmtId="172" fontId="16" fillId="2" borderId="2" xfId="2" applyNumberFormat="1" applyFont="1" applyFill="1" applyBorder="1"/>
    <xf numFmtId="172" fontId="10" fillId="2" borderId="2" xfId="2" applyNumberFormat="1" applyFont="1" applyFill="1" applyBorder="1"/>
    <xf numFmtId="0" fontId="32" fillId="0" borderId="7" xfId="0" applyFont="1" applyBorder="1"/>
    <xf numFmtId="0" fontId="32" fillId="0" borderId="8" xfId="0" applyFont="1" applyBorder="1"/>
    <xf numFmtId="0" fontId="32" fillId="0" borderId="0" xfId="0" applyFont="1"/>
    <xf numFmtId="0" fontId="0" fillId="0" borderId="9" xfId="0" applyBorder="1"/>
    <xf numFmtId="0" fontId="0" fillId="0" borderId="10" xfId="0" applyBorder="1" applyAlignment="1">
      <alignment horizontal="right"/>
    </xf>
    <xf numFmtId="0" fontId="0" fillId="0" borderId="10" xfId="0" applyBorder="1"/>
    <xf numFmtId="0" fontId="0" fillId="0" borderId="11" xfId="0" applyBorder="1"/>
    <xf numFmtId="43" fontId="16" fillId="2" borderId="0" xfId="0" applyNumberFormat="1" applyFont="1" applyFill="1" applyAlignment="1">
      <alignment horizontal="center" vertical="center"/>
    </xf>
    <xf numFmtId="169" fontId="18" fillId="3" borderId="0" xfId="1" applyNumberFormat="1" applyFont="1" applyFill="1" applyBorder="1" applyAlignment="1">
      <alignment horizontal="center" vertical="center"/>
    </xf>
    <xf numFmtId="43" fontId="0" fillId="0" borderId="0" xfId="1" applyFont="1"/>
    <xf numFmtId="43" fontId="4" fillId="0" borderId="0" xfId="1" applyFont="1" applyAlignment="1">
      <alignment horizontal="left" wrapText="1"/>
    </xf>
    <xf numFmtId="43" fontId="0" fillId="0" borderId="0" xfId="1" applyFont="1" applyBorder="1"/>
    <xf numFmtId="0" fontId="0" fillId="0" borderId="12" xfId="0" applyBorder="1"/>
    <xf numFmtId="0" fontId="2" fillId="0" borderId="0" xfId="6"/>
    <xf numFmtId="0" fontId="8" fillId="0" borderId="0" xfId="6" applyFont="1"/>
    <xf numFmtId="16" fontId="2" fillId="5" borderId="0" xfId="6" applyNumberFormat="1" applyFill="1"/>
    <xf numFmtId="0" fontId="2" fillId="5" borderId="0" xfId="6" applyFill="1"/>
    <xf numFmtId="0" fontId="2" fillId="11" borderId="0" xfId="6" applyFill="1"/>
    <xf numFmtId="16" fontId="2" fillId="11" borderId="0" xfId="6" applyNumberFormat="1" applyFill="1"/>
    <xf numFmtId="0" fontId="2" fillId="12" borderId="0" xfId="6" applyFill="1"/>
    <xf numFmtId="16" fontId="2" fillId="12" borderId="0" xfId="6" applyNumberFormat="1" applyFill="1"/>
    <xf numFmtId="16" fontId="2" fillId="0" borderId="0" xfId="6" applyNumberFormat="1"/>
    <xf numFmtId="0" fontId="25" fillId="0" borderId="0" xfId="6" applyFont="1"/>
    <xf numFmtId="0" fontId="2" fillId="8" borderId="0" xfId="6" applyFill="1"/>
    <xf numFmtId="0" fontId="2" fillId="9" borderId="0" xfId="6" applyFill="1"/>
    <xf numFmtId="43" fontId="0" fillId="0" borderId="0" xfId="1" applyFont="1" applyAlignment="1">
      <alignment horizontal="right" vertical="center"/>
    </xf>
    <xf numFmtId="9" fontId="36" fillId="0" borderId="0" xfId="3" applyFont="1" applyBorder="1"/>
    <xf numFmtId="174" fontId="0" fillId="0" borderId="0" xfId="3" applyNumberFormat="1" applyFont="1"/>
    <xf numFmtId="43" fontId="0" fillId="0" borderId="0" xfId="1" applyFont="1" applyBorder="1" applyAlignment="1">
      <alignment horizontal="right" vertical="center"/>
    </xf>
    <xf numFmtId="167" fontId="0" fillId="0" borderId="1" xfId="0" applyNumberFormat="1" applyBorder="1" applyAlignment="1">
      <alignment horizontal="right" vertical="center"/>
    </xf>
    <xf numFmtId="44" fontId="0" fillId="0" borderId="1" xfId="0" applyNumberFormat="1" applyBorder="1"/>
    <xf numFmtId="0" fontId="1" fillId="0" borderId="0" xfId="7"/>
    <xf numFmtId="0" fontId="8" fillId="0" borderId="0" xfId="7" applyFont="1"/>
    <xf numFmtId="0" fontId="1" fillId="2" borderId="0" xfId="7" applyFill="1"/>
    <xf numFmtId="0" fontId="8" fillId="2" borderId="0" xfId="7" applyFont="1" applyFill="1"/>
    <xf numFmtId="16" fontId="1" fillId="2" borderId="0" xfId="7" applyNumberFormat="1" applyFill="1"/>
    <xf numFmtId="169" fontId="14" fillId="3" borderId="14" xfId="1" applyNumberFormat="1" applyFont="1" applyFill="1" applyBorder="1"/>
    <xf numFmtId="0" fontId="22" fillId="2" borderId="15" xfId="0" applyFont="1" applyFill="1" applyBorder="1"/>
    <xf numFmtId="0" fontId="24" fillId="2" borderId="15" xfId="0" applyFont="1" applyFill="1" applyBorder="1"/>
    <xf numFmtId="168" fontId="23" fillId="2" borderId="15" xfId="0" applyNumberFormat="1" applyFont="1" applyFill="1" applyBorder="1"/>
    <xf numFmtId="168" fontId="23" fillId="2" borderId="16" xfId="0" applyNumberFormat="1" applyFont="1" applyFill="1" applyBorder="1"/>
    <xf numFmtId="43" fontId="16" fillId="2" borderId="2" xfId="0" applyNumberFormat="1" applyFont="1" applyFill="1" applyBorder="1" applyAlignment="1">
      <alignment vertical="center"/>
    </xf>
    <xf numFmtId="167" fontId="18" fillId="0" borderId="2" xfId="1" applyNumberFormat="1" applyFont="1" applyFill="1" applyBorder="1"/>
    <xf numFmtId="167" fontId="19" fillId="3" borderId="2" xfId="1" applyNumberFormat="1" applyFont="1" applyFill="1" applyBorder="1"/>
    <xf numFmtId="167" fontId="17" fillId="2" borderId="2" xfId="1" applyNumberFormat="1" applyFont="1" applyFill="1" applyBorder="1" applyAlignment="1"/>
    <xf numFmtId="167" fontId="17" fillId="2" borderId="17" xfId="1" applyNumberFormat="1" applyFont="1" applyFill="1" applyBorder="1" applyAlignment="1"/>
    <xf numFmtId="170" fontId="31" fillId="4" borderId="12" xfId="0" applyNumberFormat="1" applyFont="1" applyFill="1" applyBorder="1" applyAlignment="1">
      <alignment horizontal="center" vertical="center"/>
    </xf>
    <xf numFmtId="14" fontId="9" fillId="0" borderId="12" xfId="0" applyNumberFormat="1" applyFont="1" applyBorder="1"/>
    <xf numFmtId="167" fontId="0" fillId="0" borderId="12" xfId="0" applyNumberFormat="1" applyBorder="1" applyAlignment="1">
      <alignment horizontal="right" vertical="center"/>
    </xf>
    <xf numFmtId="172" fontId="16" fillId="2" borderId="13" xfId="2" applyNumberFormat="1" applyFont="1" applyFill="1" applyBorder="1" applyAlignment="1">
      <alignment horizontal="right"/>
    </xf>
    <xf numFmtId="173" fontId="0" fillId="0" borderId="12" xfId="0" applyNumberFormat="1" applyBorder="1"/>
    <xf numFmtId="172" fontId="31" fillId="10" borderId="13" xfId="2" applyNumberFormat="1" applyFont="1" applyFill="1" applyBorder="1"/>
    <xf numFmtId="168" fontId="33" fillId="10" borderId="12" xfId="0" applyNumberFormat="1" applyFont="1" applyFill="1" applyBorder="1" applyAlignment="1">
      <alignment horizontal="right"/>
    </xf>
    <xf numFmtId="172" fontId="10" fillId="2" borderId="13" xfId="2" applyNumberFormat="1" applyFont="1" applyFill="1" applyBorder="1" applyAlignment="1"/>
    <xf numFmtId="168" fontId="34" fillId="0" borderId="12" xfId="0" applyNumberFormat="1" applyFont="1" applyBorder="1"/>
    <xf numFmtId="43" fontId="0" fillId="0" borderId="12" xfId="1" applyFont="1" applyBorder="1" applyAlignment="1">
      <alignment horizontal="right" vertical="center"/>
    </xf>
    <xf numFmtId="44" fontId="7" fillId="4" borderId="18" xfId="2" applyFont="1" applyFill="1" applyBorder="1" applyAlignment="1">
      <alignment horizontal="right"/>
    </xf>
    <xf numFmtId="44" fontId="7" fillId="4" borderId="19" xfId="0" applyNumberFormat="1" applyFont="1" applyFill="1" applyBorder="1" applyAlignment="1">
      <alignment horizontal="right"/>
    </xf>
    <xf numFmtId="44" fontId="7" fillId="4" borderId="5" xfId="2" applyFont="1" applyFill="1" applyBorder="1" applyAlignment="1">
      <alignment horizontal="right"/>
    </xf>
    <xf numFmtId="44" fontId="7" fillId="4" borderId="10" xfId="0" applyNumberFormat="1" applyFont="1" applyFill="1" applyBorder="1" applyAlignment="1">
      <alignment horizontal="right"/>
    </xf>
    <xf numFmtId="14" fontId="7" fillId="4" borderId="10" xfId="0" applyNumberFormat="1" applyFont="1" applyFill="1" applyBorder="1" applyAlignment="1">
      <alignment horizontal="center"/>
    </xf>
    <xf numFmtId="43" fontId="0" fillId="0" borderId="0" xfId="0" applyNumberFormat="1"/>
    <xf numFmtId="0" fontId="9" fillId="4" borderId="0" xfId="0" applyFont="1" applyFill="1" applyAlignment="1">
      <alignment horizontal="center"/>
    </xf>
    <xf numFmtId="167" fontId="10" fillId="0" borderId="0" xfId="0" applyNumberFormat="1" applyFont="1" applyAlignment="1">
      <alignment horizontal="right" vertical="center"/>
    </xf>
    <xf numFmtId="173" fontId="10" fillId="0" borderId="0" xfId="0" applyNumberFormat="1" applyFont="1"/>
    <xf numFmtId="0" fontId="10" fillId="0" borderId="0" xfId="0" applyFont="1"/>
    <xf numFmtId="168" fontId="11" fillId="0" borderId="0" xfId="0" applyNumberFormat="1" applyFont="1"/>
    <xf numFmtId="43" fontId="10" fillId="0" borderId="0" xfId="1" applyFont="1" applyBorder="1" applyAlignment="1">
      <alignment horizontal="right" vertical="center"/>
    </xf>
    <xf numFmtId="0" fontId="0" fillId="2" borderId="2" xfId="0" applyFill="1" applyBorder="1"/>
    <xf numFmtId="0" fontId="0" fillId="2" borderId="15" xfId="0" applyFill="1" applyBorder="1"/>
    <xf numFmtId="1" fontId="0" fillId="2" borderId="2" xfId="0" applyNumberFormat="1" applyFill="1" applyBorder="1"/>
    <xf numFmtId="44" fontId="0" fillId="0" borderId="3" xfId="0" applyNumberFormat="1" applyBorder="1"/>
    <xf numFmtId="0" fontId="0" fillId="2" borderId="0" xfId="0" applyFill="1"/>
    <xf numFmtId="14" fontId="0" fillId="0" borderId="0" xfId="0" applyNumberFormat="1"/>
    <xf numFmtId="44" fontId="0" fillId="0" borderId="0" xfId="2" applyFont="1" applyBorder="1"/>
    <xf numFmtId="44" fontId="0" fillId="0" borderId="22" xfId="0" applyNumberFormat="1" applyBorder="1"/>
    <xf numFmtId="44" fontId="0" fillId="0" borderId="28" xfId="0" applyNumberFormat="1" applyBorder="1"/>
    <xf numFmtId="0" fontId="0" fillId="0" borderId="29" xfId="0" applyBorder="1"/>
    <xf numFmtId="44" fontId="0" fillId="0" borderId="29" xfId="0" applyNumberFormat="1" applyBorder="1"/>
    <xf numFmtId="174" fontId="17" fillId="0" borderId="0" xfId="3" applyNumberFormat="1" applyFont="1" applyFill="1" applyBorder="1"/>
    <xf numFmtId="10" fontId="17" fillId="0" borderId="0" xfId="3" applyNumberFormat="1" applyFont="1" applyFill="1" applyBorder="1"/>
    <xf numFmtId="169" fontId="14" fillId="3" borderId="2" xfId="1" applyNumberFormat="1" applyFont="1" applyFill="1" applyBorder="1"/>
    <xf numFmtId="169" fontId="14" fillId="3" borderId="17" xfId="1" applyNumberFormat="1" applyFont="1" applyFill="1" applyBorder="1"/>
    <xf numFmtId="2" fontId="0" fillId="0" borderId="0" xfId="3" applyNumberFormat="1" applyFont="1"/>
    <xf numFmtId="175" fontId="0" fillId="0" borderId="0" xfId="0" applyNumberFormat="1"/>
    <xf numFmtId="1" fontId="17" fillId="0" borderId="0" xfId="2" applyNumberFormat="1" applyFont="1" applyFill="1" applyBorder="1"/>
    <xf numFmtId="1" fontId="17" fillId="2" borderId="0" xfId="2" applyNumberFormat="1" applyFont="1" applyFill="1" applyBorder="1"/>
    <xf numFmtId="1" fontId="17" fillId="2" borderId="8" xfId="2" applyNumberFormat="1" applyFont="1" applyFill="1" applyBorder="1"/>
    <xf numFmtId="174" fontId="17" fillId="2" borderId="0" xfId="3" applyNumberFormat="1" applyFont="1" applyFill="1" applyBorder="1"/>
    <xf numFmtId="174" fontId="17" fillId="2" borderId="8" xfId="3" applyNumberFormat="1" applyFont="1" applyFill="1" applyBorder="1"/>
    <xf numFmtId="176" fontId="17" fillId="0" borderId="0" xfId="3" applyNumberFormat="1" applyFont="1" applyFill="1" applyBorder="1"/>
    <xf numFmtId="176" fontId="17" fillId="0" borderId="0" xfId="2" applyNumberFormat="1" applyFont="1" applyFill="1" applyBorder="1"/>
    <xf numFmtId="176" fontId="17" fillId="2" borderId="0" xfId="2" applyNumberFormat="1" applyFont="1" applyFill="1" applyBorder="1"/>
    <xf numFmtId="176" fontId="17" fillId="2" borderId="8" xfId="2" applyNumberFormat="1" applyFont="1" applyFill="1" applyBorder="1"/>
    <xf numFmtId="177" fontId="17" fillId="0" borderId="0" xfId="2" applyNumberFormat="1" applyFont="1" applyFill="1" applyBorder="1"/>
    <xf numFmtId="177" fontId="17" fillId="2" borderId="0" xfId="2" applyNumberFormat="1" applyFont="1" applyFill="1" applyBorder="1"/>
    <xf numFmtId="177" fontId="17" fillId="2" borderId="8" xfId="2" applyNumberFormat="1" applyFont="1" applyFill="1" applyBorder="1"/>
    <xf numFmtId="174" fontId="40" fillId="0" borderId="0" xfId="3" applyNumberFormat="1" applyFont="1" applyFill="1" applyBorder="1"/>
    <xf numFmtId="174" fontId="40" fillId="2" borderId="0" xfId="3" applyNumberFormat="1" applyFont="1" applyFill="1" applyBorder="1"/>
    <xf numFmtId="174" fontId="40" fillId="2" borderId="8" xfId="3" applyNumberFormat="1" applyFont="1" applyFill="1" applyBorder="1"/>
    <xf numFmtId="170" fontId="31" fillId="4" borderId="32" xfId="0" applyNumberFormat="1" applyFont="1" applyFill="1" applyBorder="1" applyAlignment="1">
      <alignment horizontal="center" vertical="center"/>
    </xf>
    <xf numFmtId="14" fontId="9" fillId="0" borderId="32" xfId="0" applyNumberFormat="1" applyFont="1" applyBorder="1"/>
    <xf numFmtId="167" fontId="0" fillId="0" borderId="32" xfId="0" applyNumberFormat="1" applyBorder="1" applyAlignment="1">
      <alignment horizontal="right" vertical="center"/>
    </xf>
    <xf numFmtId="172" fontId="16" fillId="2" borderId="33" xfId="2" applyNumberFormat="1" applyFont="1" applyFill="1" applyBorder="1" applyAlignment="1">
      <alignment horizontal="right"/>
    </xf>
    <xf numFmtId="173" fontId="0" fillId="0" borderId="32" xfId="0" applyNumberFormat="1" applyBorder="1"/>
    <xf numFmtId="172" fontId="31" fillId="10" borderId="33" xfId="2" applyNumberFormat="1" applyFont="1" applyFill="1" applyBorder="1"/>
    <xf numFmtId="168" fontId="33" fillId="10" borderId="32" xfId="0" applyNumberFormat="1" applyFont="1" applyFill="1" applyBorder="1" applyAlignment="1">
      <alignment horizontal="right"/>
    </xf>
    <xf numFmtId="0" fontId="0" fillId="0" borderId="32" xfId="0" applyBorder="1"/>
    <xf numFmtId="172" fontId="10" fillId="2" borderId="33" xfId="2" applyNumberFormat="1" applyFont="1" applyFill="1" applyBorder="1" applyAlignment="1"/>
    <xf numFmtId="168" fontId="34" fillId="0" borderId="32" xfId="0" applyNumberFormat="1" applyFont="1" applyBorder="1"/>
    <xf numFmtId="43" fontId="0" fillId="0" borderId="32" xfId="1" applyFont="1" applyBorder="1" applyAlignment="1">
      <alignment horizontal="right" vertical="center"/>
    </xf>
    <xf numFmtId="44" fontId="7" fillId="4" borderId="35" xfId="2" applyFont="1" applyFill="1" applyBorder="1" applyAlignment="1">
      <alignment horizontal="right"/>
    </xf>
    <xf numFmtId="44" fontId="7" fillId="4" borderId="34" xfId="0" applyNumberFormat="1" applyFont="1" applyFill="1" applyBorder="1" applyAlignment="1">
      <alignment horizontal="right"/>
    </xf>
    <xf numFmtId="0" fontId="29" fillId="3" borderId="0" xfId="0" applyFont="1" applyFill="1"/>
    <xf numFmtId="2" fontId="0" fillId="0" borderId="0" xfId="3" applyNumberFormat="1" applyFont="1" applyBorder="1"/>
    <xf numFmtId="43" fontId="0" fillId="2" borderId="22" xfId="1" applyFont="1" applyFill="1" applyBorder="1"/>
    <xf numFmtId="0" fontId="9" fillId="0" borderId="0" xfId="0" applyFont="1"/>
    <xf numFmtId="167" fontId="10" fillId="7" borderId="32" xfId="0" applyNumberFormat="1" applyFont="1" applyFill="1" applyBorder="1" applyAlignment="1">
      <alignment horizontal="right" vertical="center"/>
    </xf>
    <xf numFmtId="172" fontId="16" fillId="7" borderId="33" xfId="2" applyNumberFormat="1" applyFont="1" applyFill="1" applyBorder="1" applyAlignment="1">
      <alignment horizontal="right"/>
    </xf>
    <xf numFmtId="173" fontId="10" fillId="7" borderId="32" xfId="0" applyNumberFormat="1" applyFont="1" applyFill="1" applyBorder="1"/>
    <xf numFmtId="172" fontId="38" fillId="7" borderId="33" xfId="2" applyNumberFormat="1" applyFont="1" applyFill="1" applyBorder="1"/>
    <xf numFmtId="168" fontId="39" fillId="7" borderId="32" xfId="0" applyNumberFormat="1" applyFont="1" applyFill="1" applyBorder="1" applyAlignment="1">
      <alignment horizontal="right"/>
    </xf>
    <xf numFmtId="0" fontId="16" fillId="7" borderId="32" xfId="0" applyFont="1" applyFill="1" applyBorder="1"/>
    <xf numFmtId="167" fontId="16" fillId="7" borderId="32" xfId="0" applyNumberFormat="1" applyFont="1" applyFill="1" applyBorder="1" applyAlignment="1">
      <alignment horizontal="right" vertical="center"/>
    </xf>
    <xf numFmtId="172" fontId="16" fillId="7" borderId="33" xfId="2" applyNumberFormat="1" applyFont="1" applyFill="1" applyBorder="1" applyAlignment="1"/>
    <xf numFmtId="168" fontId="39" fillId="7" borderId="32" xfId="0" applyNumberFormat="1" applyFont="1" applyFill="1" applyBorder="1"/>
    <xf numFmtId="43" fontId="16" fillId="7" borderId="32" xfId="1" applyFont="1" applyFill="1" applyBorder="1" applyAlignment="1">
      <alignment horizontal="right" vertical="center"/>
    </xf>
    <xf numFmtId="168" fontId="14" fillId="7" borderId="32" xfId="0" applyNumberFormat="1" applyFont="1" applyFill="1" applyBorder="1" applyAlignment="1">
      <alignment horizontal="right"/>
    </xf>
    <xf numFmtId="0" fontId="20" fillId="0" borderId="32" xfId="0" applyFont="1" applyBorder="1"/>
    <xf numFmtId="164" fontId="27" fillId="3" borderId="0" xfId="0" applyNumberFormat="1" applyFont="1" applyFill="1" applyAlignment="1">
      <alignment horizontal="right" wrapText="1"/>
    </xf>
    <xf numFmtId="0" fontId="30" fillId="4" borderId="7" xfId="0" applyFont="1" applyFill="1" applyBorder="1" applyAlignment="1">
      <alignment horizontal="right" vertical="center"/>
    </xf>
    <xf numFmtId="171" fontId="31" fillId="4" borderId="8" xfId="0" applyNumberFormat="1" applyFont="1" applyFill="1" applyBorder="1" applyAlignment="1">
      <alignment horizontal="center" vertical="center"/>
    </xf>
    <xf numFmtId="0" fontId="0" fillId="0" borderId="7" xfId="0" applyBorder="1" applyAlignment="1">
      <alignment horizontal="right"/>
    </xf>
    <xf numFmtId="0" fontId="0" fillId="0" borderId="7" xfId="0" applyBorder="1" applyAlignment="1">
      <alignment horizontal="right" vertical="center"/>
    </xf>
    <xf numFmtId="167" fontId="0" fillId="0" borderId="8" xfId="0" applyNumberFormat="1" applyBorder="1" applyAlignment="1">
      <alignment horizontal="right" vertical="center"/>
    </xf>
    <xf numFmtId="172" fontId="16" fillId="2" borderId="37" xfId="2" applyNumberFormat="1" applyFont="1" applyFill="1" applyBorder="1" applyAlignment="1">
      <alignment horizontal="right"/>
    </xf>
    <xf numFmtId="172" fontId="16" fillId="2" borderId="38" xfId="2" applyNumberFormat="1" applyFont="1" applyFill="1" applyBorder="1" applyAlignment="1">
      <alignment horizontal="right"/>
    </xf>
    <xf numFmtId="172" fontId="16" fillId="2" borderId="39" xfId="2" applyNumberFormat="1" applyFont="1" applyFill="1" applyBorder="1" applyAlignment="1">
      <alignment horizontal="right"/>
    </xf>
    <xf numFmtId="167" fontId="16" fillId="2" borderId="3" xfId="1" applyNumberFormat="1" applyFont="1" applyFill="1" applyBorder="1" applyAlignment="1">
      <alignment horizontal="right"/>
    </xf>
    <xf numFmtId="167" fontId="16" fillId="2" borderId="40" xfId="1" applyNumberFormat="1" applyFont="1" applyFill="1" applyBorder="1" applyAlignment="1">
      <alignment horizontal="right"/>
    </xf>
    <xf numFmtId="167" fontId="16" fillId="2" borderId="38" xfId="1" applyNumberFormat="1" applyFont="1" applyFill="1" applyBorder="1" applyAlignment="1">
      <alignment horizontal="center"/>
    </xf>
    <xf numFmtId="172" fontId="16" fillId="2" borderId="7" xfId="2" applyNumberFormat="1" applyFont="1" applyFill="1" applyBorder="1" applyAlignment="1">
      <alignment horizontal="right"/>
    </xf>
    <xf numFmtId="172" fontId="16" fillId="2" borderId="3" xfId="2" applyNumberFormat="1" applyFont="1" applyFill="1" applyBorder="1" applyAlignment="1">
      <alignment horizontal="right"/>
    </xf>
    <xf numFmtId="172" fontId="16" fillId="2" borderId="0" xfId="2" applyNumberFormat="1" applyFont="1" applyFill="1" applyBorder="1" applyAlignment="1">
      <alignment horizontal="right"/>
    </xf>
    <xf numFmtId="172" fontId="16" fillId="2" borderId="12" xfId="2" applyNumberFormat="1" applyFont="1" applyFill="1" applyBorder="1" applyAlignment="1">
      <alignment horizontal="right"/>
    </xf>
    <xf numFmtId="172" fontId="16" fillId="2" borderId="41" xfId="2" applyNumberFormat="1" applyFont="1" applyFill="1" applyBorder="1" applyAlignment="1">
      <alignment horizontal="center"/>
    </xf>
    <xf numFmtId="167" fontId="16" fillId="2" borderId="2" xfId="1" applyNumberFormat="1" applyFont="1" applyFill="1" applyBorder="1" applyAlignment="1">
      <alignment horizontal="right"/>
    </xf>
    <xf numFmtId="173" fontId="0" fillId="0" borderId="8" xfId="0" applyNumberFormat="1" applyBorder="1"/>
    <xf numFmtId="172" fontId="31" fillId="10" borderId="37" xfId="2" applyNumberFormat="1" applyFont="1" applyFill="1" applyBorder="1" applyAlignment="1">
      <alignment horizontal="right"/>
    </xf>
    <xf numFmtId="172" fontId="31" fillId="10" borderId="38" xfId="2" applyNumberFormat="1" applyFont="1" applyFill="1" applyBorder="1"/>
    <xf numFmtId="0" fontId="33" fillId="10" borderId="7" xfId="0" applyFont="1" applyFill="1" applyBorder="1" applyAlignment="1">
      <alignment horizontal="right"/>
    </xf>
    <xf numFmtId="168" fontId="33" fillId="10" borderId="8" xfId="0" applyNumberFormat="1" applyFont="1" applyFill="1" applyBorder="1" applyAlignment="1">
      <alignment horizontal="right"/>
    </xf>
    <xf numFmtId="172" fontId="0" fillId="0" borderId="0" xfId="2" applyNumberFormat="1" applyFont="1" applyBorder="1" applyAlignment="1"/>
    <xf numFmtId="0" fontId="10" fillId="2" borderId="37" xfId="0" applyFont="1" applyFill="1" applyBorder="1" applyAlignment="1">
      <alignment horizontal="right"/>
    </xf>
    <xf numFmtId="172" fontId="32" fillId="0" borderId="0" xfId="2" applyNumberFormat="1" applyFont="1" applyBorder="1"/>
    <xf numFmtId="172" fontId="10" fillId="2" borderId="38" xfId="2" applyNumberFormat="1" applyFont="1" applyFill="1" applyBorder="1" applyAlignment="1"/>
    <xf numFmtId="0" fontId="34" fillId="0" borderId="7" xfId="0" applyFont="1" applyBorder="1" applyAlignment="1">
      <alignment horizontal="right"/>
    </xf>
    <xf numFmtId="168" fontId="34" fillId="0" borderId="8" xfId="0" applyNumberFormat="1" applyFont="1" applyBorder="1"/>
    <xf numFmtId="43" fontId="0" fillId="0" borderId="8" xfId="1" applyFont="1" applyBorder="1"/>
    <xf numFmtId="0" fontId="16" fillId="13" borderId="42" xfId="0" applyFont="1" applyFill="1" applyBorder="1" applyAlignment="1">
      <alignment horizontal="right"/>
    </xf>
    <xf numFmtId="44" fontId="42" fillId="13" borderId="43" xfId="2" applyFont="1" applyFill="1" applyBorder="1" applyAlignment="1">
      <alignment horizontal="right"/>
    </xf>
    <xf numFmtId="44" fontId="42" fillId="13" borderId="44" xfId="2" applyFont="1" applyFill="1" applyBorder="1" applyAlignment="1">
      <alignment horizontal="right"/>
    </xf>
    <xf numFmtId="44" fontId="42" fillId="13" borderId="42" xfId="2" applyFont="1" applyFill="1" applyBorder="1" applyAlignment="1">
      <alignment horizontal="right"/>
    </xf>
    <xf numFmtId="0" fontId="16" fillId="13" borderId="45" xfId="0" applyFont="1" applyFill="1" applyBorder="1" applyAlignment="1">
      <alignment horizontal="right"/>
    </xf>
    <xf numFmtId="44" fontId="28" fillId="13" borderId="43" xfId="2" applyFont="1" applyFill="1" applyBorder="1" applyAlignment="1">
      <alignment horizontal="right"/>
    </xf>
    <xf numFmtId="44" fontId="28" fillId="13" borderId="44" xfId="2" applyFont="1" applyFill="1" applyBorder="1" applyAlignment="1">
      <alignment horizontal="right"/>
    </xf>
    <xf numFmtId="44" fontId="28" fillId="13" borderId="42" xfId="2" applyFont="1" applyFill="1" applyBorder="1" applyAlignment="1">
      <alignment horizontal="right"/>
    </xf>
    <xf numFmtId="0" fontId="7" fillId="4" borderId="7" xfId="0" applyFont="1" applyFill="1" applyBorder="1" applyAlignment="1">
      <alignment horizontal="right"/>
    </xf>
    <xf numFmtId="44" fontId="43" fillId="4" borderId="9" xfId="0" applyNumberFormat="1" applyFont="1" applyFill="1" applyBorder="1" applyAlignment="1">
      <alignment horizontal="right"/>
    </xf>
    <xf numFmtId="44" fontId="43" fillId="4" borderId="0" xfId="0" applyNumberFormat="1" applyFont="1" applyFill="1" applyAlignment="1">
      <alignment horizontal="right"/>
    </xf>
    <xf numFmtId="44" fontId="7" fillId="4" borderId="0" xfId="0" applyNumberFormat="1" applyFont="1" applyFill="1" applyAlignment="1">
      <alignment horizontal="right"/>
    </xf>
    <xf numFmtId="177" fontId="7" fillId="4" borderId="5" xfId="0" applyNumberFormat="1" applyFont="1" applyFill="1" applyBorder="1" applyAlignment="1">
      <alignment horizontal="right"/>
    </xf>
    <xf numFmtId="177" fontId="7" fillId="4" borderId="0" xfId="0" applyNumberFormat="1" applyFont="1" applyFill="1" applyAlignment="1">
      <alignment horizontal="right"/>
    </xf>
    <xf numFmtId="44" fontId="10" fillId="0" borderId="2" xfId="0" applyNumberFormat="1" applyFont="1" applyBorder="1" applyAlignment="1">
      <alignment horizontal="center"/>
    </xf>
    <xf numFmtId="0" fontId="0" fillId="7" borderId="0" xfId="0" applyFill="1"/>
    <xf numFmtId="0" fontId="4" fillId="7" borderId="0" xfId="0" applyFont="1" applyFill="1" applyAlignment="1">
      <alignment horizontal="left" wrapText="1"/>
    </xf>
    <xf numFmtId="44" fontId="10" fillId="7" borderId="0" xfId="0" applyNumberFormat="1" applyFont="1" applyFill="1"/>
    <xf numFmtId="174" fontId="10" fillId="7" borderId="0" xfId="3" applyNumberFormat="1" applyFont="1" applyFill="1" applyBorder="1"/>
    <xf numFmtId="0" fontId="7" fillId="4" borderId="46" xfId="0" applyFont="1" applyFill="1" applyBorder="1" applyAlignment="1">
      <alignment horizontal="center"/>
    </xf>
    <xf numFmtId="0" fontId="9" fillId="4" borderId="46" xfId="0" applyFont="1" applyFill="1" applyBorder="1" applyAlignment="1">
      <alignment horizontal="center"/>
    </xf>
    <xf numFmtId="14" fontId="7" fillId="4" borderId="46" xfId="0" applyNumberFormat="1" applyFont="1" applyFill="1" applyBorder="1" applyAlignment="1">
      <alignment horizontal="center"/>
    </xf>
    <xf numFmtId="0" fontId="0" fillId="0" borderId="46" xfId="0" applyBorder="1"/>
    <xf numFmtId="43" fontId="0" fillId="0" borderId="46" xfId="1" applyFont="1" applyBorder="1"/>
    <xf numFmtId="44" fontId="10" fillId="0" borderId="17" xfId="0" applyNumberFormat="1" applyFont="1" applyBorder="1"/>
    <xf numFmtId="44" fontId="10" fillId="0" borderId="46" xfId="0" applyNumberFormat="1" applyFont="1" applyBorder="1"/>
    <xf numFmtId="168" fontId="23" fillId="2" borderId="47" xfId="0" applyNumberFormat="1" applyFont="1" applyFill="1" applyBorder="1"/>
    <xf numFmtId="174" fontId="10" fillId="7" borderId="46" xfId="3" applyNumberFormat="1" applyFont="1" applyFill="1" applyBorder="1"/>
    <xf numFmtId="44" fontId="10" fillId="0" borderId="14" xfId="0" applyNumberFormat="1" applyFont="1" applyBorder="1"/>
    <xf numFmtId="44" fontId="10" fillId="4" borderId="46" xfId="0" applyNumberFormat="1" applyFont="1" applyFill="1" applyBorder="1"/>
    <xf numFmtId="2" fontId="4" fillId="6" borderId="17" xfId="0" applyNumberFormat="1" applyFont="1" applyFill="1" applyBorder="1" applyAlignment="1">
      <alignment horizontal="right" wrapText="1"/>
    </xf>
    <xf numFmtId="0" fontId="0" fillId="4" borderId="46" xfId="0" applyFill="1" applyBorder="1"/>
    <xf numFmtId="44" fontId="0" fillId="0" borderId="17" xfId="0" applyNumberFormat="1" applyBorder="1"/>
    <xf numFmtId="44" fontId="0" fillId="0" borderId="46" xfId="0" applyNumberFormat="1" applyBorder="1"/>
    <xf numFmtId="44" fontId="40" fillId="0" borderId="0" xfId="2" applyFont="1" applyFill="1" applyBorder="1"/>
    <xf numFmtId="44" fontId="40" fillId="2" borderId="0" xfId="2" applyFont="1" applyFill="1" applyBorder="1"/>
    <xf numFmtId="44" fontId="40" fillId="2" borderId="8" xfId="2" applyFont="1" applyFill="1" applyBorder="1"/>
    <xf numFmtId="174" fontId="18" fillId="3" borderId="0" xfId="3" applyNumberFormat="1" applyFont="1" applyFill="1" applyBorder="1"/>
    <xf numFmtId="174" fontId="43" fillId="0" borderId="0" xfId="3" applyNumberFormat="1" applyFont="1" applyFill="1" applyBorder="1"/>
    <xf numFmtId="174" fontId="44" fillId="2" borderId="0" xfId="3" applyNumberFormat="1" applyFont="1" applyFill="1" applyBorder="1" applyAlignment="1"/>
    <xf numFmtId="44" fontId="28" fillId="0" borderId="17" xfId="0" applyNumberFormat="1" applyFont="1" applyBorder="1"/>
    <xf numFmtId="174" fontId="44" fillId="2" borderId="46" xfId="3" applyNumberFormat="1" applyFont="1" applyFill="1" applyBorder="1" applyAlignment="1"/>
    <xf numFmtId="167" fontId="17" fillId="2" borderId="46" xfId="1" applyNumberFormat="1" applyFont="1" applyFill="1" applyBorder="1" applyAlignment="1"/>
    <xf numFmtId="167" fontId="20" fillId="2" borderId="46" xfId="1" applyNumberFormat="1" applyFont="1" applyFill="1" applyBorder="1"/>
    <xf numFmtId="43" fontId="20" fillId="2" borderId="46" xfId="1" applyFont="1" applyFill="1" applyBorder="1"/>
    <xf numFmtId="167" fontId="17" fillId="2" borderId="46" xfId="1" applyNumberFormat="1" applyFont="1" applyFill="1" applyBorder="1"/>
    <xf numFmtId="44" fontId="17" fillId="2" borderId="46" xfId="2" applyFont="1" applyFill="1" applyBorder="1"/>
    <xf numFmtId="174" fontId="17" fillId="2" borderId="46" xfId="3" applyNumberFormat="1" applyFont="1" applyFill="1" applyBorder="1"/>
    <xf numFmtId="1" fontId="17" fillId="2" borderId="46" xfId="2" applyNumberFormat="1" applyFont="1" applyFill="1" applyBorder="1"/>
    <xf numFmtId="174" fontId="40" fillId="2" borderId="46" xfId="3" applyNumberFormat="1" applyFont="1" applyFill="1" applyBorder="1"/>
    <xf numFmtId="44" fontId="40" fillId="2" borderId="46" xfId="2" applyFont="1" applyFill="1" applyBorder="1"/>
    <xf numFmtId="176" fontId="17" fillId="2" borderId="46" xfId="2" applyNumberFormat="1" applyFont="1" applyFill="1" applyBorder="1"/>
    <xf numFmtId="177" fontId="17" fillId="2" borderId="46" xfId="2" applyNumberFormat="1" applyFont="1" applyFill="1" applyBorder="1"/>
    <xf numFmtId="0" fontId="0" fillId="0" borderId="17" xfId="0" applyBorder="1"/>
    <xf numFmtId="43" fontId="40" fillId="0" borderId="0" xfId="1" applyFont="1" applyBorder="1"/>
    <xf numFmtId="43" fontId="40" fillId="0" borderId="46" xfId="1" applyFont="1" applyBorder="1"/>
    <xf numFmtId="164" fontId="45" fillId="3" borderId="0" xfId="0" applyNumberFormat="1" applyFont="1" applyFill="1" applyAlignment="1">
      <alignment horizontal="right" wrapText="1"/>
    </xf>
    <xf numFmtId="0" fontId="4" fillId="2" borderId="0" xfId="0" applyFont="1" applyFill="1" applyAlignment="1">
      <alignment horizontal="left" wrapText="1"/>
    </xf>
    <xf numFmtId="44" fontId="10" fillId="2" borderId="0" xfId="0" applyNumberFormat="1" applyFont="1" applyFill="1"/>
    <xf numFmtId="44" fontId="10" fillId="2" borderId="46" xfId="0" applyNumberFormat="1" applyFont="1" applyFill="1" applyBorder="1"/>
    <xf numFmtId="172" fontId="0" fillId="0" borderId="0" xfId="2" applyNumberFormat="1" applyFont="1"/>
    <xf numFmtId="44" fontId="0" fillId="2" borderId="0" xfId="0" applyNumberFormat="1" applyFill="1"/>
    <xf numFmtId="44" fontId="0" fillId="2" borderId="46" xfId="0" applyNumberFormat="1" applyFill="1" applyBorder="1"/>
    <xf numFmtId="0" fontId="30" fillId="4" borderId="4" xfId="0" applyFont="1" applyFill="1" applyBorder="1" applyAlignment="1">
      <alignment horizontal="right" vertical="center"/>
    </xf>
    <xf numFmtId="0" fontId="31" fillId="4" borderId="5" xfId="0" applyFont="1" applyFill="1" applyBorder="1" applyAlignment="1">
      <alignment horizontal="center" vertical="center"/>
    </xf>
    <xf numFmtId="0" fontId="31" fillId="4" borderId="6" xfId="0" applyFont="1" applyFill="1" applyBorder="1" applyAlignment="1">
      <alignment horizontal="center" vertical="center"/>
    </xf>
    <xf numFmtId="0" fontId="34" fillId="0" borderId="7" xfId="0" applyFont="1" applyBorder="1" applyAlignment="1">
      <alignment horizontal="left"/>
    </xf>
    <xf numFmtId="0" fontId="31" fillId="0" borderId="0" xfId="0" applyFont="1" applyAlignment="1">
      <alignment horizontal="center"/>
    </xf>
    <xf numFmtId="0" fontId="31" fillId="0" borderId="8" xfId="0" applyFont="1" applyBorder="1" applyAlignment="1">
      <alignment horizontal="center"/>
    </xf>
    <xf numFmtId="167" fontId="0" fillId="0" borderId="8" xfId="1" applyNumberFormat="1" applyFont="1" applyBorder="1"/>
    <xf numFmtId="172" fontId="16" fillId="2" borderId="38" xfId="2" applyNumberFormat="1" applyFont="1" applyFill="1" applyBorder="1"/>
    <xf numFmtId="0" fontId="35" fillId="0" borderId="7" xfId="0" applyFont="1" applyBorder="1" applyAlignment="1">
      <alignment horizontal="right" vertical="top"/>
    </xf>
    <xf numFmtId="9" fontId="36" fillId="0" borderId="8" xfId="3" applyFont="1" applyBorder="1"/>
    <xf numFmtId="172" fontId="10" fillId="2" borderId="37" xfId="2" applyNumberFormat="1" applyFont="1" applyFill="1" applyBorder="1" applyAlignment="1">
      <alignment horizontal="right"/>
    </xf>
    <xf numFmtId="172" fontId="10" fillId="2" borderId="38" xfId="2" applyNumberFormat="1" applyFont="1" applyFill="1" applyBorder="1"/>
    <xf numFmtId="0" fontId="33" fillId="10" borderId="9" xfId="0" applyFont="1" applyFill="1" applyBorder="1" applyAlignment="1">
      <alignment horizontal="right"/>
    </xf>
    <xf numFmtId="168" fontId="33" fillId="10" borderId="10" xfId="0" applyNumberFormat="1" applyFont="1" applyFill="1" applyBorder="1" applyAlignment="1">
      <alignment horizontal="right"/>
    </xf>
    <xf numFmtId="168" fontId="33" fillId="10" borderId="11" xfId="0" applyNumberFormat="1" applyFont="1" applyFill="1" applyBorder="1" applyAlignment="1">
      <alignment horizontal="right"/>
    </xf>
    <xf numFmtId="0" fontId="0" fillId="4" borderId="5" xfId="0" applyFill="1" applyBorder="1"/>
    <xf numFmtId="0" fontId="7" fillId="4" borderId="5" xfId="0" applyFont="1" applyFill="1" applyBorder="1" applyAlignment="1">
      <alignment horizontal="center"/>
    </xf>
    <xf numFmtId="0" fontId="7" fillId="4" borderId="48" xfId="0" applyFont="1" applyFill="1" applyBorder="1" applyAlignment="1">
      <alignment horizontal="center"/>
    </xf>
    <xf numFmtId="174" fontId="28" fillId="0" borderId="0" xfId="3" applyNumberFormat="1" applyFont="1" applyFill="1" applyBorder="1"/>
    <xf numFmtId="174" fontId="40" fillId="2" borderId="0" xfId="3" applyNumberFormat="1" applyFont="1" applyFill="1" applyBorder="1" applyAlignment="1"/>
    <xf numFmtId="174" fontId="40" fillId="2" borderId="46" xfId="3" applyNumberFormat="1" applyFont="1" applyFill="1" applyBorder="1" applyAlignment="1"/>
    <xf numFmtId="0" fontId="40" fillId="0" borderId="0" xfId="0" applyFont="1"/>
    <xf numFmtId="43" fontId="44" fillId="0" borderId="0" xfId="1" applyFont="1" applyFill="1" applyBorder="1"/>
    <xf numFmtId="44" fontId="43" fillId="2" borderId="0" xfId="0" applyNumberFormat="1" applyFont="1" applyFill="1" applyAlignment="1">
      <alignment horizontal="center"/>
    </xf>
    <xf numFmtId="44" fontId="43" fillId="2" borderId="0" xfId="0" applyNumberFormat="1" applyFont="1" applyFill="1"/>
    <xf numFmtId="44" fontId="43" fillId="2" borderId="46" xfId="0" applyNumberFormat="1" applyFont="1" applyFill="1" applyBorder="1"/>
    <xf numFmtId="0" fontId="30" fillId="4" borderId="49" xfId="0" applyFont="1" applyFill="1" applyBorder="1" applyAlignment="1">
      <alignment horizontal="right" vertical="center"/>
    </xf>
    <xf numFmtId="170" fontId="31" fillId="4" borderId="2" xfId="0" applyNumberFormat="1" applyFont="1" applyFill="1" applyBorder="1" applyAlignment="1">
      <alignment horizontal="center" vertical="center"/>
    </xf>
    <xf numFmtId="170" fontId="31" fillId="4" borderId="50" xfId="0" applyNumberFormat="1" applyFont="1" applyFill="1" applyBorder="1" applyAlignment="1">
      <alignment horizontal="center" vertical="center"/>
    </xf>
    <xf numFmtId="170" fontId="31" fillId="4" borderId="33" xfId="0" applyNumberFormat="1" applyFont="1" applyFill="1" applyBorder="1" applyAlignment="1">
      <alignment horizontal="center" vertical="center"/>
    </xf>
    <xf numFmtId="0" fontId="32" fillId="4" borderId="2" xfId="0" applyFont="1" applyFill="1" applyBorder="1" applyAlignment="1">
      <alignment vertical="center"/>
    </xf>
    <xf numFmtId="0" fontId="0" fillId="0" borderId="51" xfId="0" applyBorder="1" applyAlignment="1">
      <alignment horizontal="right"/>
    </xf>
    <xf numFmtId="14" fontId="9" fillId="0" borderId="52" xfId="0" applyNumberFormat="1" applyFont="1" applyBorder="1"/>
    <xf numFmtId="0" fontId="0" fillId="0" borderId="51" xfId="0" applyBorder="1" applyAlignment="1">
      <alignment horizontal="right" vertical="center"/>
    </xf>
    <xf numFmtId="167" fontId="10" fillId="7" borderId="52" xfId="0" applyNumberFormat="1" applyFont="1" applyFill="1" applyBorder="1" applyAlignment="1">
      <alignment horizontal="right" vertical="center"/>
    </xf>
    <xf numFmtId="172" fontId="16" fillId="2" borderId="49" xfId="2" applyNumberFormat="1" applyFont="1" applyFill="1" applyBorder="1" applyAlignment="1">
      <alignment horizontal="right"/>
    </xf>
    <xf numFmtId="172" fontId="16" fillId="7" borderId="50" xfId="2" applyNumberFormat="1" applyFont="1" applyFill="1" applyBorder="1" applyAlignment="1">
      <alignment horizontal="right"/>
    </xf>
    <xf numFmtId="172" fontId="16" fillId="2" borderId="17" xfId="2" applyNumberFormat="1" applyFont="1" applyFill="1" applyBorder="1" applyAlignment="1">
      <alignment horizontal="right"/>
    </xf>
    <xf numFmtId="172" fontId="16" fillId="2" borderId="51" xfId="2" applyNumberFormat="1" applyFont="1" applyFill="1" applyBorder="1" applyAlignment="1">
      <alignment horizontal="right"/>
    </xf>
    <xf numFmtId="167" fontId="16" fillId="2" borderId="0" xfId="1" applyNumberFormat="1" applyFont="1" applyFill="1" applyBorder="1" applyAlignment="1">
      <alignment horizontal="right"/>
    </xf>
    <xf numFmtId="167" fontId="16" fillId="7" borderId="52" xfId="1" applyNumberFormat="1" applyFont="1" applyFill="1" applyBorder="1" applyAlignment="1">
      <alignment horizontal="right"/>
    </xf>
    <xf numFmtId="167" fontId="16" fillId="7" borderId="32" xfId="1" applyNumberFormat="1" applyFont="1" applyFill="1" applyBorder="1" applyAlignment="1">
      <alignment horizontal="right"/>
    </xf>
    <xf numFmtId="173" fontId="10" fillId="7" borderId="52" xfId="0" applyNumberFormat="1" applyFont="1" applyFill="1" applyBorder="1"/>
    <xf numFmtId="172" fontId="31" fillId="10" borderId="49" xfId="2" applyNumberFormat="1" applyFont="1" applyFill="1" applyBorder="1" applyAlignment="1">
      <alignment horizontal="right"/>
    </xf>
    <xf numFmtId="172" fontId="38" fillId="7" borderId="50" xfId="2" applyNumberFormat="1" applyFont="1" applyFill="1" applyBorder="1"/>
    <xf numFmtId="172" fontId="31" fillId="10" borderId="17" xfId="2" applyNumberFormat="1" applyFont="1" applyFill="1" applyBorder="1"/>
    <xf numFmtId="168" fontId="33" fillId="10" borderId="46" xfId="0" applyNumberFormat="1" applyFont="1" applyFill="1" applyBorder="1" applyAlignment="1">
      <alignment horizontal="right"/>
    </xf>
    <xf numFmtId="0" fontId="16" fillId="7" borderId="52" xfId="0" applyFont="1" applyFill="1" applyBorder="1"/>
    <xf numFmtId="167" fontId="16" fillId="7" borderId="52" xfId="0" applyNumberFormat="1" applyFont="1" applyFill="1" applyBorder="1" applyAlignment="1">
      <alignment horizontal="right" vertical="center"/>
    </xf>
    <xf numFmtId="172" fontId="10" fillId="2" borderId="17" xfId="2" applyNumberFormat="1" applyFont="1" applyFill="1" applyBorder="1" applyAlignment="1"/>
    <xf numFmtId="0" fontId="34" fillId="0" borderId="51" xfId="0" applyFont="1" applyBorder="1" applyAlignment="1">
      <alignment horizontal="right"/>
    </xf>
    <xf numFmtId="168" fontId="39" fillId="7" borderId="52" xfId="0" applyNumberFormat="1" applyFont="1" applyFill="1" applyBorder="1"/>
    <xf numFmtId="43" fontId="16" fillId="7" borderId="52" xfId="1" applyFont="1" applyFill="1" applyBorder="1" applyAlignment="1">
      <alignment horizontal="right" vertical="center"/>
    </xf>
    <xf numFmtId="172" fontId="0" fillId="0" borderId="0" xfId="0" applyNumberFormat="1"/>
    <xf numFmtId="0" fontId="0" fillId="0" borderId="52" xfId="0" applyBorder="1"/>
    <xf numFmtId="0" fontId="7" fillId="4" borderId="53" xfId="0" applyFont="1" applyFill="1" applyBorder="1" applyAlignment="1">
      <alignment horizontal="right"/>
    </xf>
    <xf numFmtId="44" fontId="28" fillId="4" borderId="54" xfId="2" applyFont="1" applyFill="1" applyBorder="1" applyAlignment="1">
      <alignment horizontal="right"/>
    </xf>
    <xf numFmtId="0" fontId="7" fillId="4" borderId="55" xfId="0" applyFont="1" applyFill="1" applyBorder="1" applyAlignment="1">
      <alignment horizontal="right"/>
    </xf>
    <xf numFmtId="44" fontId="7" fillId="4" borderId="56" xfId="0" applyNumberFormat="1" applyFont="1" applyFill="1" applyBorder="1" applyAlignment="1">
      <alignment horizontal="right"/>
    </xf>
    <xf numFmtId="44" fontId="7" fillId="4" borderId="1" xfId="0" applyNumberFormat="1" applyFont="1" applyFill="1" applyBorder="1" applyAlignment="1">
      <alignment horizontal="right"/>
    </xf>
    <xf numFmtId="44" fontId="7" fillId="4" borderId="58" xfId="0" applyNumberFormat="1" applyFont="1" applyFill="1" applyBorder="1" applyAlignment="1">
      <alignment horizontal="right"/>
    </xf>
    <xf numFmtId="0" fontId="0" fillId="0" borderId="1" xfId="0" applyBorder="1"/>
    <xf numFmtId="44" fontId="0" fillId="0" borderId="0" xfId="2" applyFont="1"/>
    <xf numFmtId="167" fontId="0" fillId="0" borderId="0" xfId="1" applyNumberFormat="1" applyFont="1"/>
    <xf numFmtId="0" fontId="46" fillId="0" borderId="0" xfId="0" applyFont="1"/>
    <xf numFmtId="0" fontId="47" fillId="4" borderId="21" xfId="0" applyFont="1" applyFill="1" applyBorder="1" applyAlignment="1">
      <alignment vertical="center" wrapText="1"/>
    </xf>
    <xf numFmtId="0" fontId="48" fillId="4" borderId="20" xfId="0" applyFont="1" applyFill="1" applyBorder="1" applyAlignment="1">
      <alignment horizontal="center"/>
    </xf>
    <xf numFmtId="14" fontId="48" fillId="4" borderId="20" xfId="0" applyNumberFormat="1" applyFont="1" applyFill="1" applyBorder="1" applyAlignment="1">
      <alignment horizontal="center"/>
    </xf>
    <xf numFmtId="0" fontId="48" fillId="4" borderId="62" xfId="0" applyFont="1" applyFill="1" applyBorder="1" applyAlignment="1">
      <alignment horizontal="center"/>
    </xf>
    <xf numFmtId="44" fontId="0" fillId="0" borderId="12" xfId="2" applyFont="1" applyBorder="1"/>
    <xf numFmtId="44" fontId="0" fillId="0" borderId="22" xfId="2" applyFont="1" applyBorder="1"/>
    <xf numFmtId="1" fontId="0" fillId="2" borderId="13" xfId="0" applyNumberFormat="1" applyFill="1" applyBorder="1"/>
    <xf numFmtId="1" fontId="0" fillId="2" borderId="24" xfId="0" applyNumberFormat="1" applyFill="1" applyBorder="1"/>
    <xf numFmtId="43" fontId="20" fillId="2" borderId="0" xfId="1" applyFont="1" applyFill="1" applyBorder="1" applyAlignment="1">
      <alignment horizontal="center"/>
    </xf>
    <xf numFmtId="1" fontId="0" fillId="2" borderId="12" xfId="0" applyNumberFormat="1" applyFill="1" applyBorder="1"/>
    <xf numFmtId="1" fontId="0" fillId="2" borderId="22" xfId="0" applyNumberFormat="1" applyFill="1" applyBorder="1"/>
    <xf numFmtId="43" fontId="50" fillId="2" borderId="21" xfId="0" applyNumberFormat="1" applyFont="1" applyFill="1" applyBorder="1" applyAlignment="1">
      <alignment horizontal="center" vertical="center" wrapText="1"/>
    </xf>
    <xf numFmtId="2" fontId="0" fillId="2" borderId="12" xfId="0" applyNumberFormat="1" applyFill="1" applyBorder="1"/>
    <xf numFmtId="2" fontId="0" fillId="2" borderId="22" xfId="0" applyNumberFormat="1" applyFill="1" applyBorder="1"/>
    <xf numFmtId="0" fontId="0" fillId="2" borderId="12" xfId="0" applyFill="1" applyBorder="1"/>
    <xf numFmtId="0" fontId="0" fillId="2" borderId="22" xfId="0" applyFill="1" applyBorder="1"/>
    <xf numFmtId="0" fontId="50" fillId="2" borderId="21" xfId="0" applyFont="1" applyFill="1" applyBorder="1" applyAlignment="1">
      <alignment vertical="center"/>
    </xf>
    <xf numFmtId="0" fontId="53" fillId="2" borderId="25" xfId="0" applyFont="1" applyFill="1" applyBorder="1"/>
    <xf numFmtId="10" fontId="0" fillId="2" borderId="15" xfId="3" applyNumberFormat="1" applyFont="1" applyFill="1" applyBorder="1" applyAlignment="1"/>
    <xf numFmtId="10" fontId="0" fillId="2" borderId="0" xfId="3" applyNumberFormat="1" applyFont="1" applyFill="1" applyBorder="1" applyAlignment="1"/>
    <xf numFmtId="10" fontId="0" fillId="2" borderId="65" xfId="3" applyNumberFormat="1" applyFont="1" applyFill="1" applyBorder="1" applyAlignment="1"/>
    <xf numFmtId="10" fontId="0" fillId="2" borderId="26" xfId="3" applyNumberFormat="1" applyFont="1" applyFill="1" applyBorder="1" applyAlignment="1"/>
    <xf numFmtId="44" fontId="0" fillId="0" borderId="0" xfId="2" applyFont="1" applyBorder="1" applyAlignment="1"/>
    <xf numFmtId="44" fontId="0" fillId="0" borderId="12" xfId="2" applyFont="1" applyBorder="1" applyAlignment="1"/>
    <xf numFmtId="44" fontId="0" fillId="0" borderId="22" xfId="2" applyFont="1" applyBorder="1" applyAlignment="1"/>
    <xf numFmtId="44" fontId="0" fillId="0" borderId="40" xfId="0" applyNumberFormat="1" applyBorder="1"/>
    <xf numFmtId="44" fontId="0" fillId="0" borderId="12" xfId="0" applyNumberFormat="1" applyBorder="1"/>
    <xf numFmtId="44" fontId="20" fillId="0" borderId="63" xfId="0" applyNumberFormat="1" applyFont="1" applyBorder="1" applyAlignment="1">
      <alignment horizontal="center"/>
    </xf>
    <xf numFmtId="174" fontId="0" fillId="2" borderId="2" xfId="3" applyNumberFormat="1" applyFont="1" applyFill="1" applyBorder="1"/>
    <xf numFmtId="174" fontId="0" fillId="2" borderId="13" xfId="3" applyNumberFormat="1" applyFont="1" applyFill="1" applyBorder="1"/>
    <xf numFmtId="174" fontId="0" fillId="2" borderId="24" xfId="3" applyNumberFormat="1" applyFont="1" applyFill="1" applyBorder="1"/>
    <xf numFmtId="44" fontId="0" fillId="0" borderId="13" xfId="0" applyNumberFormat="1" applyBorder="1"/>
    <xf numFmtId="44" fontId="0" fillId="0" borderId="24" xfId="0" applyNumberFormat="1" applyBorder="1"/>
    <xf numFmtId="0" fontId="0" fillId="2" borderId="3" xfId="0" applyFill="1" applyBorder="1"/>
    <xf numFmtId="44" fontId="0" fillId="2" borderId="3" xfId="0" applyNumberFormat="1" applyFill="1" applyBorder="1"/>
    <xf numFmtId="44" fontId="0" fillId="2" borderId="40" xfId="0" applyNumberFormat="1" applyFill="1" applyBorder="1"/>
    <xf numFmtId="44" fontId="0" fillId="2" borderId="28" xfId="0" applyNumberFormat="1" applyFill="1" applyBorder="1"/>
    <xf numFmtId="44" fontId="0" fillId="0" borderId="68" xfId="0" applyNumberFormat="1" applyBorder="1"/>
    <xf numFmtId="0" fontId="49" fillId="0" borderId="0" xfId="0" applyFont="1" applyAlignment="1">
      <alignment horizontal="center" wrapText="1"/>
    </xf>
    <xf numFmtId="44" fontId="0" fillId="0" borderId="0" xfId="0" applyNumberFormat="1" applyAlignment="1">
      <alignment horizontal="center"/>
    </xf>
    <xf numFmtId="0" fontId="47" fillId="4" borderId="0" xfId="0" applyFont="1" applyFill="1" applyAlignment="1">
      <alignment vertical="center" wrapText="1"/>
    </xf>
    <xf numFmtId="0" fontId="9" fillId="4" borderId="0" xfId="0" applyFont="1" applyFill="1"/>
    <xf numFmtId="0" fontId="48" fillId="4" borderId="0" xfId="0" applyFont="1" applyFill="1" applyAlignment="1">
      <alignment horizontal="center"/>
    </xf>
    <xf numFmtId="1" fontId="0" fillId="2" borderId="0" xfId="0" applyNumberFormat="1" applyFill="1"/>
    <xf numFmtId="2" fontId="0" fillId="2" borderId="0" xfId="0" applyNumberFormat="1" applyFill="1"/>
    <xf numFmtId="174" fontId="0" fillId="2" borderId="22" xfId="3" applyNumberFormat="1" applyFont="1" applyFill="1" applyBorder="1"/>
    <xf numFmtId="44" fontId="0" fillId="2" borderId="22" xfId="2" applyFont="1" applyFill="1" applyBorder="1"/>
    <xf numFmtId="44" fontId="0" fillId="0" borderId="30" xfId="2" applyFont="1" applyBorder="1" applyAlignment="1"/>
    <xf numFmtId="179" fontId="0" fillId="2" borderId="0" xfId="0" applyNumberFormat="1" applyFill="1"/>
    <xf numFmtId="176" fontId="0" fillId="2" borderId="22" xfId="0" applyNumberFormat="1" applyFill="1" applyBorder="1"/>
    <xf numFmtId="174" fontId="0" fillId="2" borderId="3" xfId="3" applyNumberFormat="1" applyFont="1" applyFill="1" applyBorder="1"/>
    <xf numFmtId="174" fontId="0" fillId="2" borderId="28" xfId="3" applyNumberFormat="1" applyFont="1" applyFill="1" applyBorder="1"/>
    <xf numFmtId="44" fontId="0" fillId="2" borderId="12" xfId="2" applyFont="1" applyFill="1" applyBorder="1"/>
    <xf numFmtId="174" fontId="0" fillId="2" borderId="40" xfId="3" applyNumberFormat="1" applyFont="1" applyFill="1" applyBorder="1"/>
    <xf numFmtId="43" fontId="51" fillId="2" borderId="13" xfId="0" applyNumberFormat="1" applyFont="1" applyFill="1" applyBorder="1" applyAlignment="1">
      <alignment horizontal="right"/>
    </xf>
    <xf numFmtId="0" fontId="52" fillId="2" borderId="12" xfId="0" applyFont="1" applyFill="1" applyBorder="1" applyAlignment="1">
      <alignment horizontal="right"/>
    </xf>
    <xf numFmtId="43" fontId="51" fillId="2" borderId="12" xfId="0" applyNumberFormat="1" applyFont="1" applyFill="1" applyBorder="1" applyAlignment="1">
      <alignment horizontal="right"/>
    </xf>
    <xf numFmtId="0" fontId="51" fillId="2" borderId="12" xfId="0" applyFont="1" applyFill="1" applyBorder="1" applyAlignment="1">
      <alignment horizontal="right"/>
    </xf>
    <xf numFmtId="0" fontId="54" fillId="2" borderId="65" xfId="0" applyFont="1" applyFill="1" applyBorder="1" applyAlignment="1">
      <alignment horizontal="right"/>
    </xf>
    <xf numFmtId="167" fontId="20" fillId="2" borderId="12" xfId="1" applyNumberFormat="1" applyFont="1" applyFill="1" applyBorder="1" applyAlignment="1">
      <alignment horizontal="center"/>
    </xf>
    <xf numFmtId="174" fontId="0" fillId="2" borderId="12" xfId="3" applyNumberFormat="1" applyFont="1" applyFill="1" applyBorder="1"/>
    <xf numFmtId="176" fontId="0" fillId="2" borderId="12" xfId="0" applyNumberFormat="1" applyFill="1" applyBorder="1"/>
    <xf numFmtId="44" fontId="20" fillId="2" borderId="67" xfId="0" applyNumberFormat="1" applyFont="1" applyFill="1" applyBorder="1" applyAlignment="1">
      <alignment horizontal="center"/>
    </xf>
    <xf numFmtId="173" fontId="10" fillId="0" borderId="52" xfId="0" applyNumberFormat="1" applyFont="1" applyBorder="1"/>
    <xf numFmtId="173" fontId="10" fillId="0" borderId="32" xfId="0" applyNumberFormat="1" applyFont="1" applyBorder="1"/>
    <xf numFmtId="170" fontId="31" fillId="4" borderId="17" xfId="0" applyNumberFormat="1" applyFont="1" applyFill="1" applyBorder="1" applyAlignment="1">
      <alignment horizontal="center" vertical="center"/>
    </xf>
    <xf numFmtId="14" fontId="9" fillId="0" borderId="46" xfId="0" applyNumberFormat="1" applyFont="1" applyBorder="1"/>
    <xf numFmtId="167" fontId="10" fillId="0" borderId="46" xfId="0" applyNumberFormat="1" applyFont="1" applyBorder="1" applyAlignment="1">
      <alignment horizontal="right" vertical="center"/>
    </xf>
    <xf numFmtId="167" fontId="16" fillId="2" borderId="46" xfId="1" applyNumberFormat="1" applyFont="1" applyFill="1" applyBorder="1" applyAlignment="1">
      <alignment horizontal="right"/>
    </xf>
    <xf numFmtId="173" fontId="10" fillId="0" borderId="46" xfId="0" applyNumberFormat="1" applyFont="1" applyBorder="1"/>
    <xf numFmtId="0" fontId="10" fillId="0" borderId="46" xfId="0" applyFont="1" applyBorder="1"/>
    <xf numFmtId="168" fontId="11" fillId="0" borderId="46" xfId="0" applyNumberFormat="1" applyFont="1" applyBorder="1"/>
    <xf numFmtId="43" fontId="10" fillId="0" borderId="46" xfId="1" applyFont="1" applyBorder="1" applyAlignment="1">
      <alignment horizontal="right" vertical="center"/>
    </xf>
    <xf numFmtId="171" fontId="31" fillId="4" borderId="73" xfId="0" applyNumberFormat="1" applyFont="1" applyFill="1" applyBorder="1" applyAlignment="1">
      <alignment horizontal="center" vertical="center"/>
    </xf>
    <xf numFmtId="0" fontId="0" fillId="0" borderId="74" xfId="0" applyBorder="1"/>
    <xf numFmtId="167" fontId="0" fillId="0" borderId="74" xfId="0" applyNumberFormat="1" applyBorder="1" applyAlignment="1">
      <alignment horizontal="right" vertical="center"/>
    </xf>
    <xf numFmtId="172" fontId="16" fillId="2" borderId="73" xfId="2" applyNumberFormat="1" applyFont="1" applyFill="1" applyBorder="1" applyAlignment="1">
      <alignment horizontal="right"/>
    </xf>
    <xf numFmtId="173" fontId="0" fillId="0" borderId="74" xfId="0" applyNumberFormat="1" applyBorder="1"/>
    <xf numFmtId="172" fontId="31" fillId="10" borderId="73" xfId="2" applyNumberFormat="1" applyFont="1" applyFill="1" applyBorder="1"/>
    <xf numFmtId="168" fontId="34" fillId="0" borderId="74" xfId="0" applyNumberFormat="1" applyFont="1" applyBorder="1"/>
    <xf numFmtId="43" fontId="0" fillId="0" borderId="74" xfId="1" applyFont="1" applyBorder="1"/>
    <xf numFmtId="0" fontId="0" fillId="0" borderId="75" xfId="0" applyBorder="1"/>
    <xf numFmtId="172" fontId="16" fillId="2" borderId="74" xfId="2" applyNumberFormat="1" applyFont="1" applyFill="1" applyBorder="1" applyAlignment="1">
      <alignment horizontal="right"/>
    </xf>
    <xf numFmtId="167" fontId="16" fillId="2" borderId="74" xfId="1" applyNumberFormat="1" applyFont="1" applyFill="1" applyBorder="1" applyAlignment="1">
      <alignment horizontal="right"/>
    </xf>
    <xf numFmtId="174" fontId="44" fillId="0" borderId="0" xfId="3" applyNumberFormat="1" applyFont="1" applyFill="1" applyBorder="1"/>
    <xf numFmtId="174" fontId="44" fillId="2" borderId="0" xfId="3" applyNumberFormat="1" applyFont="1" applyFill="1" applyBorder="1"/>
    <xf numFmtId="174" fontId="44" fillId="2" borderId="46" xfId="3" applyNumberFormat="1" applyFont="1" applyFill="1" applyBorder="1"/>
    <xf numFmtId="174" fontId="44" fillId="3" borderId="0" xfId="3" applyNumberFormat="1" applyFont="1" applyFill="1" applyBorder="1"/>
    <xf numFmtId="174" fontId="44" fillId="2" borderId="8" xfId="3" applyNumberFormat="1" applyFont="1" applyFill="1" applyBorder="1"/>
    <xf numFmtId="172" fontId="16" fillId="2" borderId="4" xfId="2" applyNumberFormat="1" applyFont="1" applyFill="1" applyBorder="1" applyAlignment="1">
      <alignment horizontal="right"/>
    </xf>
    <xf numFmtId="172" fontId="16" fillId="2" borderId="3" xfId="2" applyNumberFormat="1" applyFont="1" applyFill="1" applyBorder="1"/>
    <xf numFmtId="172" fontId="16" fillId="2" borderId="41" xfId="2" applyNumberFormat="1" applyFont="1" applyFill="1" applyBorder="1"/>
    <xf numFmtId="167" fontId="16" fillId="2" borderId="5" xfId="1" applyNumberFormat="1" applyFont="1" applyFill="1" applyBorder="1"/>
    <xf numFmtId="167" fontId="16" fillId="2" borderId="6" xfId="1" applyNumberFormat="1" applyFont="1" applyFill="1" applyBorder="1"/>
    <xf numFmtId="167" fontId="16" fillId="2" borderId="3" xfId="1" applyNumberFormat="1" applyFont="1" applyFill="1" applyBorder="1"/>
    <xf numFmtId="167" fontId="16" fillId="2" borderId="41" xfId="1" applyNumberFormat="1" applyFont="1" applyFill="1" applyBorder="1"/>
    <xf numFmtId="44" fontId="0" fillId="0" borderId="46" xfId="2" applyFont="1" applyBorder="1"/>
    <xf numFmtId="167" fontId="16" fillId="2" borderId="14" xfId="1" applyNumberFormat="1" applyFont="1" applyFill="1" applyBorder="1" applyAlignment="1">
      <alignment horizontal="right"/>
    </xf>
    <xf numFmtId="44" fontId="16" fillId="13" borderId="44" xfId="2" applyFont="1" applyFill="1" applyBorder="1" applyAlignment="1">
      <alignment horizontal="right"/>
    </xf>
    <xf numFmtId="44" fontId="16" fillId="13" borderId="43" xfId="2" applyFont="1" applyFill="1" applyBorder="1" applyAlignment="1">
      <alignment horizontal="right"/>
    </xf>
    <xf numFmtId="44" fontId="16" fillId="13" borderId="42" xfId="2" applyFont="1" applyFill="1" applyBorder="1" applyAlignment="1">
      <alignment horizontal="right"/>
    </xf>
    <xf numFmtId="0" fontId="16" fillId="14" borderId="45" xfId="0" applyFont="1" applyFill="1" applyBorder="1" applyAlignment="1">
      <alignment horizontal="right"/>
    </xf>
    <xf numFmtId="44" fontId="28" fillId="14" borderId="44" xfId="2" applyFont="1" applyFill="1" applyBorder="1" applyAlignment="1">
      <alignment horizontal="right"/>
    </xf>
    <xf numFmtId="44" fontId="28" fillId="14" borderId="43" xfId="2" applyFont="1" applyFill="1" applyBorder="1" applyAlignment="1">
      <alignment horizontal="right"/>
    </xf>
    <xf numFmtId="44" fontId="28" fillId="14" borderId="42" xfId="2" applyFont="1" applyFill="1" applyBorder="1" applyAlignment="1">
      <alignment horizontal="right"/>
    </xf>
    <xf numFmtId="43" fontId="20" fillId="0" borderId="0" xfId="1" applyFont="1" applyBorder="1"/>
    <xf numFmtId="43" fontId="20" fillId="0" borderId="46" xfId="1" applyFont="1" applyBorder="1"/>
    <xf numFmtId="174" fontId="43" fillId="3" borderId="0" xfId="3" applyNumberFormat="1" applyFont="1" applyFill="1" applyBorder="1"/>
    <xf numFmtId="174" fontId="55" fillId="3" borderId="0" xfId="3" applyNumberFormat="1" applyFont="1" applyFill="1" applyBorder="1" applyAlignment="1"/>
    <xf numFmtId="176" fontId="55" fillId="3" borderId="0" xfId="1" applyNumberFormat="1" applyFont="1" applyFill="1" applyBorder="1"/>
    <xf numFmtId="43" fontId="19" fillId="3" borderId="0" xfId="1" applyFont="1" applyFill="1" applyBorder="1"/>
    <xf numFmtId="44" fontId="19" fillId="3" borderId="0" xfId="2" applyFont="1" applyFill="1" applyBorder="1"/>
    <xf numFmtId="174" fontId="20" fillId="2" borderId="0" xfId="3" applyNumberFormat="1" applyFont="1" applyFill="1" applyBorder="1"/>
    <xf numFmtId="1" fontId="17" fillId="2" borderId="0" xfId="1" applyNumberFormat="1" applyFont="1" applyFill="1" applyBorder="1"/>
    <xf numFmtId="176" fontId="17" fillId="2" borderId="0" xfId="1" applyNumberFormat="1" applyFont="1" applyFill="1" applyBorder="1"/>
    <xf numFmtId="174" fontId="42" fillId="3" borderId="0" xfId="3" applyNumberFormat="1" applyFont="1" applyFill="1" applyBorder="1"/>
    <xf numFmtId="167" fontId="20" fillId="2" borderId="64" xfId="1" applyNumberFormat="1" applyFont="1" applyFill="1" applyBorder="1" applyAlignment="1">
      <alignment horizontal="center" vertical="center"/>
    </xf>
    <xf numFmtId="167" fontId="20" fillId="2" borderId="63" xfId="1" applyNumberFormat="1" applyFont="1" applyFill="1" applyBorder="1" applyAlignment="1">
      <alignment horizontal="center" vertical="center"/>
    </xf>
    <xf numFmtId="174" fontId="20" fillId="2" borderId="63" xfId="1" applyNumberFormat="1" applyFont="1" applyFill="1" applyBorder="1" applyAlignment="1">
      <alignment horizontal="right" vertical="center"/>
    </xf>
    <xf numFmtId="180" fontId="20" fillId="2" borderId="63" xfId="1" applyNumberFormat="1" applyFont="1" applyFill="1" applyBorder="1" applyAlignment="1">
      <alignment horizontal="center" vertical="center"/>
    </xf>
    <xf numFmtId="43" fontId="20" fillId="2" borderId="63" xfId="1" applyFont="1" applyFill="1" applyBorder="1" applyAlignment="1">
      <alignment horizontal="center" vertical="center"/>
    </xf>
    <xf numFmtId="44" fontId="20" fillId="2" borderId="63" xfId="2" applyFont="1" applyFill="1" applyBorder="1" applyAlignment="1">
      <alignment horizontal="center" vertical="center"/>
    </xf>
    <xf numFmtId="44" fontId="20" fillId="2" borderId="63" xfId="0" applyNumberFormat="1" applyFont="1" applyFill="1" applyBorder="1" applyAlignment="1">
      <alignment horizontal="center"/>
    </xf>
    <xf numFmtId="10" fontId="20" fillId="2" borderId="66" xfId="3" applyNumberFormat="1" applyFont="1" applyFill="1" applyBorder="1" applyAlignment="1">
      <alignment horizontal="center"/>
    </xf>
    <xf numFmtId="44" fontId="20" fillId="0" borderId="67" xfId="0" applyNumberFormat="1" applyFont="1" applyBorder="1" applyAlignment="1">
      <alignment horizontal="center"/>
    </xf>
    <xf numFmtId="174" fontId="20" fillId="2" borderId="67" xfId="0" applyNumberFormat="1" applyFont="1" applyFill="1" applyBorder="1" applyAlignment="1">
      <alignment horizontal="center"/>
    </xf>
    <xf numFmtId="174" fontId="20" fillId="2" borderId="64" xfId="0" applyNumberFormat="1" applyFont="1" applyFill="1" applyBorder="1" applyAlignment="1">
      <alignment horizontal="center"/>
    </xf>
    <xf numFmtId="44" fontId="20" fillId="0" borderId="64" xfId="0" applyNumberFormat="1" applyFont="1" applyBorder="1" applyAlignment="1">
      <alignment horizontal="center"/>
    </xf>
    <xf numFmtId="44" fontId="20" fillId="0" borderId="69" xfId="0" applyNumberFormat="1" applyFont="1" applyBorder="1" applyAlignment="1">
      <alignment horizontal="center"/>
    </xf>
    <xf numFmtId="171" fontId="31" fillId="4" borderId="77" xfId="0" applyNumberFormat="1" applyFont="1" applyFill="1" applyBorder="1" applyAlignment="1">
      <alignment horizontal="center" vertical="center"/>
    </xf>
    <xf numFmtId="0" fontId="0" fillId="0" borderId="78" xfId="0" applyBorder="1"/>
    <xf numFmtId="167" fontId="0" fillId="0" borderId="78" xfId="0" applyNumberFormat="1" applyBorder="1" applyAlignment="1">
      <alignment horizontal="right" vertical="center"/>
    </xf>
    <xf numFmtId="172" fontId="16" fillId="2" borderId="77" xfId="2" applyNumberFormat="1" applyFont="1" applyFill="1" applyBorder="1" applyAlignment="1">
      <alignment horizontal="right"/>
    </xf>
    <xf numFmtId="167" fontId="16" fillId="2" borderId="77" xfId="1" applyNumberFormat="1" applyFont="1" applyFill="1" applyBorder="1" applyAlignment="1">
      <alignment horizontal="center"/>
    </xf>
    <xf numFmtId="172" fontId="16" fillId="2" borderId="76" xfId="2" applyNumberFormat="1" applyFont="1" applyFill="1" applyBorder="1" applyAlignment="1">
      <alignment horizontal="center"/>
    </xf>
    <xf numFmtId="173" fontId="0" fillId="0" borderId="78" xfId="0" applyNumberFormat="1" applyBorder="1"/>
    <xf numFmtId="172" fontId="31" fillId="10" borderId="77" xfId="2" applyNumberFormat="1" applyFont="1" applyFill="1" applyBorder="1"/>
    <xf numFmtId="168" fontId="33" fillId="10" borderId="78" xfId="0" applyNumberFormat="1" applyFont="1" applyFill="1" applyBorder="1" applyAlignment="1">
      <alignment horizontal="right"/>
    </xf>
    <xf numFmtId="172" fontId="10" fillId="2" borderId="77" xfId="2" applyNumberFormat="1" applyFont="1" applyFill="1" applyBorder="1" applyAlignment="1"/>
    <xf numFmtId="168" fontId="34" fillId="0" borderId="78" xfId="0" applyNumberFormat="1" applyFont="1" applyBorder="1"/>
    <xf numFmtId="43" fontId="0" fillId="0" borderId="78" xfId="1" applyFont="1" applyBorder="1"/>
    <xf numFmtId="168" fontId="33" fillId="10" borderId="79" xfId="0" applyNumberFormat="1" applyFont="1" applyFill="1" applyBorder="1" applyAlignment="1">
      <alignment horizontal="right"/>
    </xf>
    <xf numFmtId="170" fontId="31" fillId="4" borderId="46" xfId="0" applyNumberFormat="1" applyFont="1" applyFill="1" applyBorder="1" applyAlignment="1">
      <alignment horizontal="center" vertical="center"/>
    </xf>
    <xf numFmtId="167" fontId="0" fillId="0" borderId="46" xfId="0" applyNumberFormat="1" applyBorder="1" applyAlignment="1">
      <alignment horizontal="right" vertical="center"/>
    </xf>
    <xf numFmtId="172" fontId="16" fillId="2" borderId="46" xfId="2" applyNumberFormat="1" applyFont="1" applyFill="1" applyBorder="1" applyAlignment="1">
      <alignment horizontal="right"/>
    </xf>
    <xf numFmtId="173" fontId="0" fillId="0" borderId="46" xfId="0" applyNumberFormat="1" applyBorder="1"/>
    <xf numFmtId="168" fontId="34" fillId="0" borderId="46" xfId="0" applyNumberFormat="1" applyFont="1" applyBorder="1"/>
    <xf numFmtId="43" fontId="0" fillId="0" borderId="46" xfId="1" applyFont="1" applyBorder="1" applyAlignment="1">
      <alignment horizontal="right" vertical="center"/>
    </xf>
    <xf numFmtId="0" fontId="4" fillId="0" borderId="80" xfId="0" applyFont="1" applyBorder="1" applyAlignment="1">
      <alignment horizontal="left" wrapText="1"/>
    </xf>
    <xf numFmtId="0" fontId="4" fillId="0" borderId="81" xfId="0" applyFont="1" applyBorder="1" applyAlignment="1">
      <alignment horizontal="right" wrapText="1"/>
    </xf>
    <xf numFmtId="43" fontId="4" fillId="0" borderId="80" xfId="1" applyFont="1" applyBorder="1" applyAlignment="1">
      <alignment horizontal="left" wrapText="1"/>
    </xf>
    <xf numFmtId="0" fontId="4" fillId="0" borderId="81" xfId="0" applyFont="1" applyBorder="1" applyAlignment="1">
      <alignment horizontal="left" wrapText="1"/>
    </xf>
    <xf numFmtId="43" fontId="17" fillId="2" borderId="81" xfId="0" applyNumberFormat="1" applyFont="1" applyFill="1" applyBorder="1" applyAlignment="1">
      <alignment horizontal="right"/>
    </xf>
    <xf numFmtId="43" fontId="17" fillId="2" borderId="80" xfId="0" applyNumberFormat="1" applyFont="1" applyFill="1" applyBorder="1" applyAlignment="1">
      <alignment horizontal="right"/>
    </xf>
    <xf numFmtId="0" fontId="13" fillId="2" borderId="80" xfId="0" applyFont="1" applyFill="1" applyBorder="1" applyAlignment="1">
      <alignment horizontal="right"/>
    </xf>
    <xf numFmtId="0" fontId="17" fillId="2" borderId="80" xfId="0" applyFont="1" applyFill="1" applyBorder="1" applyAlignment="1">
      <alignment horizontal="right"/>
    </xf>
    <xf numFmtId="0" fontId="23" fillId="2" borderId="82" xfId="0" applyFont="1" applyFill="1" applyBorder="1" applyAlignment="1">
      <alignment horizontal="left"/>
    </xf>
    <xf numFmtId="167" fontId="56" fillId="0" borderId="0" xfId="1" applyNumberFormat="1" applyFont="1" applyFill="1" applyBorder="1"/>
    <xf numFmtId="44" fontId="42" fillId="13" borderId="83" xfId="2" applyFont="1" applyFill="1" applyBorder="1" applyAlignment="1">
      <alignment horizontal="right"/>
    </xf>
    <xf numFmtId="44" fontId="28" fillId="13" borderId="83" xfId="2" applyFont="1" applyFill="1" applyBorder="1" applyAlignment="1">
      <alignment horizontal="right"/>
    </xf>
    <xf numFmtId="170" fontId="31" fillId="4" borderId="22" xfId="0" applyNumberFormat="1" applyFont="1" applyFill="1" applyBorder="1" applyAlignment="1">
      <alignment horizontal="center" vertical="center"/>
    </xf>
    <xf numFmtId="14" fontId="9" fillId="0" borderId="22" xfId="0" applyNumberFormat="1" applyFont="1" applyBorder="1"/>
    <xf numFmtId="167" fontId="0" fillId="0" borderId="22" xfId="0" applyNumberFormat="1" applyBorder="1" applyAlignment="1">
      <alignment horizontal="right" vertical="center"/>
    </xf>
    <xf numFmtId="172" fontId="16" fillId="2" borderId="24" xfId="2" applyNumberFormat="1" applyFont="1" applyFill="1" applyBorder="1" applyAlignment="1">
      <alignment horizontal="right"/>
    </xf>
    <xf numFmtId="167" fontId="16" fillId="2" borderId="28" xfId="1" applyNumberFormat="1" applyFont="1" applyFill="1" applyBorder="1" applyAlignment="1">
      <alignment horizontal="right"/>
    </xf>
    <xf numFmtId="172" fontId="16" fillId="2" borderId="22" xfId="2" applyNumberFormat="1" applyFont="1" applyFill="1" applyBorder="1" applyAlignment="1">
      <alignment horizontal="right"/>
    </xf>
    <xf numFmtId="167" fontId="16" fillId="2" borderId="24" xfId="1" applyNumberFormat="1" applyFont="1" applyFill="1" applyBorder="1" applyAlignment="1">
      <alignment horizontal="right"/>
    </xf>
    <xf numFmtId="173" fontId="0" fillId="0" borderId="22" xfId="0" applyNumberFormat="1" applyBorder="1"/>
    <xf numFmtId="172" fontId="31" fillId="10" borderId="24" xfId="2" applyNumberFormat="1" applyFont="1" applyFill="1" applyBorder="1"/>
    <xf numFmtId="168" fontId="33" fillId="10" borderId="22" xfId="0" applyNumberFormat="1" applyFont="1" applyFill="1" applyBorder="1" applyAlignment="1">
      <alignment horizontal="right"/>
    </xf>
    <xf numFmtId="0" fontId="0" fillId="0" borderId="22" xfId="0" applyBorder="1"/>
    <xf numFmtId="172" fontId="10" fillId="2" borderId="24" xfId="2" applyNumberFormat="1" applyFont="1" applyFill="1" applyBorder="1" applyAlignment="1"/>
    <xf numFmtId="168" fontId="34" fillId="0" borderId="22" xfId="0" applyNumberFormat="1" applyFont="1" applyBorder="1"/>
    <xf numFmtId="43" fontId="0" fillId="0" borderId="22" xfId="1" applyFont="1" applyBorder="1" applyAlignment="1">
      <alignment horizontal="right" vertical="center"/>
    </xf>
    <xf numFmtId="44" fontId="42" fillId="13" borderId="84" xfId="2" applyFont="1" applyFill="1" applyBorder="1" applyAlignment="1">
      <alignment horizontal="right"/>
    </xf>
    <xf numFmtId="44" fontId="28" fillId="13" borderId="84" xfId="2" applyFont="1" applyFill="1" applyBorder="1" applyAlignment="1">
      <alignment horizontal="right"/>
    </xf>
    <xf numFmtId="44" fontId="7" fillId="4" borderId="85" xfId="0" applyNumberFormat="1" applyFont="1" applyFill="1" applyBorder="1" applyAlignment="1">
      <alignment horizontal="right"/>
    </xf>
    <xf numFmtId="44" fontId="43" fillId="4" borderId="22" xfId="0" applyNumberFormat="1" applyFont="1" applyFill="1" applyBorder="1" applyAlignment="1">
      <alignment horizontal="right"/>
    </xf>
    <xf numFmtId="44" fontId="7" fillId="4" borderId="22" xfId="0" applyNumberFormat="1" applyFont="1" applyFill="1" applyBorder="1" applyAlignment="1">
      <alignment horizontal="right"/>
    </xf>
    <xf numFmtId="177" fontId="7" fillId="4" borderId="22" xfId="0" applyNumberFormat="1" applyFont="1" applyFill="1" applyBorder="1" applyAlignment="1">
      <alignment horizontal="right"/>
    </xf>
    <xf numFmtId="172" fontId="16" fillId="2" borderId="55" xfId="2" applyNumberFormat="1" applyFont="1" applyFill="1" applyBorder="1" applyAlignment="1">
      <alignment horizontal="right"/>
    </xf>
    <xf numFmtId="167" fontId="16" fillId="2" borderId="1" xfId="1" applyNumberFormat="1" applyFont="1" applyFill="1" applyBorder="1" applyAlignment="1">
      <alignment horizontal="right"/>
    </xf>
    <xf numFmtId="167" fontId="16" fillId="7" borderId="57" xfId="1" applyNumberFormat="1" applyFont="1" applyFill="1" applyBorder="1" applyAlignment="1">
      <alignment horizontal="right"/>
    </xf>
    <xf numFmtId="167" fontId="16" fillId="2" borderId="87" xfId="1" applyNumberFormat="1" applyFont="1" applyFill="1" applyBorder="1" applyAlignment="1">
      <alignment horizontal="right"/>
    </xf>
    <xf numFmtId="167" fontId="16" fillId="2" borderId="75" xfId="1" applyNumberFormat="1" applyFont="1" applyFill="1" applyBorder="1" applyAlignment="1">
      <alignment horizontal="right"/>
    </xf>
    <xf numFmtId="172" fontId="31" fillId="0" borderId="55" xfId="2" applyNumberFormat="1" applyFont="1" applyFill="1" applyBorder="1" applyAlignment="1">
      <alignment horizontal="right"/>
    </xf>
    <xf numFmtId="172" fontId="31" fillId="10" borderId="72" xfId="2" applyNumberFormat="1" applyFont="1" applyFill="1" applyBorder="1" applyAlignment="1">
      <alignment horizontal="right"/>
    </xf>
    <xf numFmtId="172" fontId="31" fillId="10" borderId="3" xfId="2" applyNumberFormat="1" applyFont="1" applyFill="1" applyBorder="1"/>
    <xf numFmtId="172" fontId="16" fillId="7" borderId="88" xfId="2" applyNumberFormat="1" applyFont="1" applyFill="1" applyBorder="1" applyAlignment="1"/>
    <xf numFmtId="172" fontId="31" fillId="10" borderId="14" xfId="2" applyNumberFormat="1" applyFont="1" applyFill="1" applyBorder="1"/>
    <xf numFmtId="0" fontId="33" fillId="10" borderId="55" xfId="0" applyFont="1" applyFill="1" applyBorder="1" applyAlignment="1">
      <alignment horizontal="right"/>
    </xf>
    <xf numFmtId="168" fontId="37" fillId="10" borderId="1" xfId="0" applyNumberFormat="1" applyFont="1" applyFill="1" applyBorder="1" applyAlignment="1">
      <alignment horizontal="right"/>
    </xf>
    <xf numFmtId="168" fontId="39" fillId="7" borderId="57" xfId="0" applyNumberFormat="1" applyFont="1" applyFill="1" applyBorder="1" applyAlignment="1">
      <alignment horizontal="right"/>
    </xf>
    <xf numFmtId="168" fontId="37" fillId="10" borderId="87" xfId="0" applyNumberFormat="1" applyFont="1" applyFill="1" applyBorder="1" applyAlignment="1">
      <alignment horizontal="right"/>
    </xf>
    <xf numFmtId="168" fontId="33" fillId="10" borderId="75" xfId="0" applyNumberFormat="1" applyFont="1" applyFill="1" applyBorder="1" applyAlignment="1">
      <alignment horizontal="right"/>
    </xf>
    <xf numFmtId="172" fontId="31" fillId="10" borderId="72" xfId="2" applyNumberFormat="1" applyFont="1" applyFill="1" applyBorder="1"/>
    <xf numFmtId="0" fontId="10" fillId="2" borderId="72" xfId="0" applyFont="1" applyFill="1" applyBorder="1" applyAlignment="1">
      <alignment horizontal="right"/>
    </xf>
    <xf numFmtId="172" fontId="10" fillId="2" borderId="3" xfId="2" applyNumberFormat="1" applyFont="1" applyFill="1" applyBorder="1" applyAlignment="1"/>
    <xf numFmtId="172" fontId="10" fillId="2" borderId="14" xfId="2" applyNumberFormat="1" applyFont="1" applyFill="1" applyBorder="1" applyAlignment="1"/>
    <xf numFmtId="172" fontId="10" fillId="2" borderId="86" xfId="2" applyNumberFormat="1" applyFont="1" applyFill="1" applyBorder="1" applyAlignment="1"/>
    <xf numFmtId="168" fontId="33" fillId="10" borderId="1" xfId="0" applyNumberFormat="1" applyFont="1" applyFill="1" applyBorder="1" applyAlignment="1">
      <alignment horizontal="right"/>
    </xf>
    <xf numFmtId="168" fontId="14" fillId="7" borderId="57" xfId="0" applyNumberFormat="1" applyFont="1" applyFill="1" applyBorder="1" applyAlignment="1">
      <alignment horizontal="right"/>
    </xf>
    <xf numFmtId="168" fontId="33" fillId="10" borderId="87" xfId="0" applyNumberFormat="1" applyFont="1" applyFill="1" applyBorder="1" applyAlignment="1">
      <alignment horizontal="right"/>
    </xf>
    <xf numFmtId="0" fontId="7" fillId="4" borderId="6" xfId="0" applyFont="1" applyFill="1" applyBorder="1" applyAlignment="1">
      <alignment horizontal="center"/>
    </xf>
    <xf numFmtId="0" fontId="9" fillId="4" borderId="8" xfId="0" applyFont="1" applyFill="1" applyBorder="1" applyAlignment="1">
      <alignment horizontal="center"/>
    </xf>
    <xf numFmtId="14" fontId="7" fillId="4" borderId="0" xfId="0" applyNumberFormat="1" applyFont="1" applyFill="1"/>
    <xf numFmtId="167" fontId="0" fillId="0" borderId="0" xfId="0" applyNumberFormat="1"/>
    <xf numFmtId="44" fontId="28" fillId="0" borderId="38" xfId="0" applyNumberFormat="1" applyFont="1" applyBorder="1"/>
    <xf numFmtId="44" fontId="10" fillId="0" borderId="38" xfId="0" applyNumberFormat="1" applyFont="1" applyBorder="1"/>
    <xf numFmtId="44" fontId="10" fillId="0" borderId="8" xfId="0" applyNumberFormat="1" applyFont="1" applyBorder="1"/>
    <xf numFmtId="167" fontId="17" fillId="2" borderId="38" xfId="1" applyNumberFormat="1" applyFont="1" applyFill="1" applyBorder="1" applyAlignment="1"/>
    <xf numFmtId="169" fontId="14" fillId="3" borderId="41" xfId="1" applyNumberFormat="1" applyFont="1" applyFill="1" applyBorder="1"/>
    <xf numFmtId="169" fontId="14" fillId="3" borderId="38" xfId="1" applyNumberFormat="1" applyFont="1" applyFill="1" applyBorder="1"/>
    <xf numFmtId="174" fontId="44" fillId="2" borderId="8" xfId="3" applyNumberFormat="1" applyFont="1" applyFill="1" applyBorder="1" applyAlignment="1"/>
    <xf numFmtId="174" fontId="40" fillId="2" borderId="8" xfId="3" applyNumberFormat="1" applyFont="1" applyFill="1" applyBorder="1" applyAlignment="1"/>
    <xf numFmtId="44" fontId="29" fillId="3" borderId="0" xfId="0" applyNumberFormat="1" applyFont="1" applyFill="1"/>
    <xf numFmtId="167" fontId="19" fillId="3" borderId="17" xfId="1" applyNumberFormat="1" applyFont="1" applyFill="1" applyBorder="1"/>
    <xf numFmtId="167" fontId="19" fillId="3" borderId="46" xfId="1" applyNumberFormat="1" applyFont="1" applyFill="1" applyBorder="1"/>
    <xf numFmtId="167" fontId="3" fillId="0" borderId="46" xfId="1" applyNumberFormat="1" applyFont="1" applyFill="1" applyBorder="1"/>
    <xf numFmtId="167" fontId="56" fillId="0" borderId="46" xfId="1" applyNumberFormat="1" applyFont="1" applyFill="1" applyBorder="1"/>
    <xf numFmtId="174" fontId="43" fillId="0" borderId="46" xfId="3" applyNumberFormat="1" applyFont="1" applyFill="1" applyBorder="1"/>
    <xf numFmtId="174" fontId="28" fillId="0" borderId="46" xfId="3" applyNumberFormat="1" applyFont="1" applyFill="1" applyBorder="1"/>
    <xf numFmtId="176" fontId="17" fillId="0" borderId="46" xfId="2" applyNumberFormat="1" applyFont="1" applyFill="1" applyBorder="1"/>
    <xf numFmtId="167" fontId="18" fillId="0" borderId="46" xfId="1" applyNumberFormat="1" applyFont="1" applyFill="1" applyBorder="1"/>
    <xf numFmtId="167" fontId="20" fillId="0" borderId="46" xfId="1" applyNumberFormat="1" applyFont="1" applyFill="1" applyBorder="1"/>
    <xf numFmtId="43" fontId="17" fillId="0" borderId="46" xfId="1" applyFont="1" applyFill="1" applyBorder="1"/>
    <xf numFmtId="44" fontId="17" fillId="0" borderId="46" xfId="2" applyFont="1" applyFill="1" applyBorder="1"/>
    <xf numFmtId="174" fontId="44" fillId="0" borderId="46" xfId="3" applyNumberFormat="1" applyFont="1" applyFill="1" applyBorder="1"/>
    <xf numFmtId="174" fontId="17" fillId="0" borderId="46" xfId="3" applyNumberFormat="1" applyFont="1" applyFill="1" applyBorder="1"/>
    <xf numFmtId="1" fontId="17" fillId="0" borderId="46" xfId="2" applyNumberFormat="1" applyFont="1" applyFill="1" applyBorder="1"/>
    <xf numFmtId="174" fontId="40" fillId="0" borderId="46" xfId="3" applyNumberFormat="1" applyFont="1" applyFill="1" applyBorder="1"/>
    <xf numFmtId="44" fontId="40" fillId="0" borderId="46" xfId="2" applyFont="1" applyFill="1" applyBorder="1"/>
    <xf numFmtId="177" fontId="17" fillId="0" borderId="46" xfId="2" applyNumberFormat="1" applyFont="1" applyFill="1" applyBorder="1"/>
    <xf numFmtId="175" fontId="0" fillId="0" borderId="46" xfId="0" applyNumberFormat="1" applyBorder="1"/>
    <xf numFmtId="2" fontId="0" fillId="0" borderId="46" xfId="3" applyNumberFormat="1" applyFont="1" applyBorder="1"/>
    <xf numFmtId="164" fontId="5" fillId="0" borderId="46" xfId="0" applyNumberFormat="1" applyFont="1" applyBorder="1" applyAlignment="1">
      <alignment wrapText="1"/>
    </xf>
    <xf numFmtId="165" fontId="4" fillId="0" borderId="46" xfId="0" applyNumberFormat="1" applyFont="1" applyBorder="1" applyAlignment="1">
      <alignment horizontal="right" wrapText="1"/>
    </xf>
    <xf numFmtId="44" fontId="0" fillId="0" borderId="87" xfId="0" applyNumberFormat="1" applyBorder="1"/>
    <xf numFmtId="0" fontId="0" fillId="4" borderId="4" xfId="0" applyFill="1" applyBorder="1"/>
    <xf numFmtId="0" fontId="0" fillId="4" borderId="7" xfId="0" applyFill="1" applyBorder="1"/>
    <xf numFmtId="0" fontId="7" fillId="4" borderId="7" xfId="0" applyFont="1" applyFill="1" applyBorder="1"/>
    <xf numFmtId="44" fontId="7" fillId="4" borderId="57" xfId="0" applyNumberFormat="1" applyFont="1" applyFill="1" applyBorder="1" applyAlignment="1">
      <alignment horizontal="right"/>
    </xf>
    <xf numFmtId="0" fontId="41" fillId="0" borderId="5" xfId="0" applyFont="1" applyBorder="1" applyAlignment="1">
      <alignment horizontal="center"/>
    </xf>
    <xf numFmtId="0" fontId="41" fillId="0" borderId="0" xfId="0" applyFont="1" applyAlignment="1">
      <alignment horizontal="center"/>
    </xf>
    <xf numFmtId="0" fontId="49" fillId="0" borderId="21" xfId="0" applyFont="1" applyBorder="1" applyAlignment="1">
      <alignment horizontal="center" wrapText="1"/>
    </xf>
    <xf numFmtId="0" fontId="49" fillId="0" borderId="12" xfId="0" applyFont="1" applyBorder="1" applyAlignment="1">
      <alignment horizontal="center" wrapText="1"/>
    </xf>
    <xf numFmtId="0" fontId="49" fillId="2" borderId="27" xfId="0" applyFont="1" applyFill="1" applyBorder="1" applyAlignment="1">
      <alignment horizontal="right" wrapText="1"/>
    </xf>
    <xf numFmtId="0" fontId="49" fillId="2" borderId="40" xfId="0" applyFont="1" applyFill="1" applyBorder="1" applyAlignment="1">
      <alignment horizontal="right" wrapText="1"/>
    </xf>
    <xf numFmtId="0" fontId="49" fillId="0" borderId="36" xfId="0" applyFont="1" applyBorder="1" applyAlignment="1">
      <alignment horizontal="center" wrapText="1"/>
    </xf>
    <xf numFmtId="0" fontId="49" fillId="0" borderId="71" xfId="0" applyFont="1" applyBorder="1" applyAlignment="1">
      <alignment horizontal="center" wrapText="1"/>
    </xf>
    <xf numFmtId="0" fontId="49" fillId="0" borderId="31" xfId="0" applyFont="1" applyBorder="1" applyAlignment="1">
      <alignment horizontal="center" wrapText="1"/>
    </xf>
    <xf numFmtId="0" fontId="49" fillId="0" borderId="70" xfId="0" applyFont="1" applyBorder="1" applyAlignment="1">
      <alignment horizontal="center" wrapText="1"/>
    </xf>
    <xf numFmtId="0" fontId="49" fillId="0" borderId="27" xfId="0" applyFont="1" applyBorder="1" applyAlignment="1">
      <alignment horizontal="center" wrapText="1"/>
    </xf>
    <xf numFmtId="0" fontId="49" fillId="0" borderId="40" xfId="0" applyFont="1" applyBorder="1" applyAlignment="1">
      <alignment horizontal="center" wrapText="1"/>
    </xf>
    <xf numFmtId="0" fontId="49" fillId="2" borderId="23" xfId="0" applyFont="1" applyFill="1" applyBorder="1" applyAlignment="1">
      <alignment horizontal="right" wrapText="1"/>
    </xf>
    <xf numFmtId="0" fontId="49" fillId="2" borderId="13" xfId="0" applyFont="1" applyFill="1" applyBorder="1" applyAlignment="1">
      <alignment horizontal="right" wrapText="1"/>
    </xf>
    <xf numFmtId="178" fontId="31" fillId="4" borderId="59" xfId="0" applyNumberFormat="1" applyFont="1" applyFill="1" applyBorder="1" applyAlignment="1">
      <alignment horizontal="center"/>
    </xf>
    <xf numFmtId="178" fontId="31" fillId="4" borderId="60" xfId="0" applyNumberFormat="1" applyFont="1" applyFill="1" applyBorder="1" applyAlignment="1">
      <alignment horizontal="center"/>
    </xf>
    <xf numFmtId="178" fontId="31" fillId="4" borderId="61" xfId="0" applyNumberFormat="1" applyFont="1" applyFill="1" applyBorder="1" applyAlignment="1">
      <alignment horizontal="center"/>
    </xf>
    <xf numFmtId="0" fontId="49" fillId="0" borderId="31" xfId="0" applyFont="1" applyBorder="1" applyAlignment="1">
      <alignment horizontal="center" vertical="center" wrapText="1"/>
    </xf>
    <xf numFmtId="0" fontId="49" fillId="0" borderId="70" xfId="0" applyFont="1" applyBorder="1" applyAlignment="1">
      <alignment horizontal="center" vertical="center" wrapText="1"/>
    </xf>
    <xf numFmtId="43" fontId="50" fillId="2" borderId="23" xfId="0" applyNumberFormat="1" applyFont="1" applyFill="1" applyBorder="1" applyAlignment="1">
      <alignment horizontal="right" vertical="center" textRotation="90"/>
    </xf>
    <xf numFmtId="43" fontId="50" fillId="2" borderId="21" xfId="0" applyNumberFormat="1" applyFont="1" applyFill="1" applyBorder="1" applyAlignment="1">
      <alignment horizontal="right" vertical="center" textRotation="90"/>
    </xf>
  </cellXfs>
  <cellStyles count="8">
    <cellStyle name="Comma" xfId="1" builtinId="3"/>
    <cellStyle name="Currency" xfId="2" builtinId="4"/>
    <cellStyle name="Normal" xfId="0" builtinId="0"/>
    <cellStyle name="Normal 2" xfId="4" xr:uid="{A5ED2F32-1B1B-4422-89AC-06B905178AB4}"/>
    <cellStyle name="Normal 3" xfId="5" xr:uid="{EEF0F66D-CCB6-4A89-A2B1-11A2C0430C60}"/>
    <cellStyle name="Normal 4" xfId="6" xr:uid="{5015E43E-9714-4930-A17C-691DE01CF2AC}"/>
    <cellStyle name="Normal 5" xfId="7" xr:uid="{B2BE4F6B-0336-47F0-90E9-D8419412B55F}"/>
    <cellStyle name="Percent" xfId="3" builtinId="5"/>
  </cellStyles>
  <dxfs count="3">
    <dxf>
      <fill>
        <patternFill>
          <bgColor rgb="FFFF0000"/>
        </patternFill>
      </fill>
    </dxf>
    <dxf>
      <font>
        <color theme="9"/>
      </font>
    </dxf>
    <dxf>
      <font>
        <color theme="9"/>
      </font>
    </dxf>
  </dxfs>
  <tableStyles count="0" defaultTableStyle="TableStyleMedium2" defaultPivotStyle="PivotStyleLight16"/>
  <colors>
    <mruColors>
      <color rgb="FF33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pivotCacheDefinition" Target="pivotCache/pivotCacheDefinition4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3.xml"/><Relationship Id="rId27" Type="http://schemas.microsoft.com/office/2017/10/relationships/person" Target="persons/person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/>
              <a:t>Cash</a:t>
            </a:r>
            <a:r>
              <a:rPr lang="en-US" b="0" baseline="0"/>
              <a:t> Position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9.1586593560621682E-2"/>
          <c:y val="7.8882915510537846E-2"/>
          <c:w val="0.89119345895470237"/>
          <c:h val="0.68670443737093045"/>
        </c:manualLayout>
      </c:layout>
      <c:areaChart>
        <c:grouping val="standard"/>
        <c:varyColors val="0"/>
        <c:ser>
          <c:idx val="0"/>
          <c:order val="0"/>
          <c:tx>
            <c:v>Cash Balance</c:v>
          </c:tx>
          <c:spPr>
            <a:solidFill>
              <a:schemeClr val="accent6">
                <a:lumMod val="20000"/>
                <a:lumOff val="80000"/>
              </a:schemeClr>
            </a:solidFill>
            <a:ln>
              <a:solidFill>
                <a:sysClr val="windowText" lastClr="000000"/>
              </a:solidFill>
            </a:ln>
          </c:spPr>
          <c:cat>
            <c:numRef>
              <c:f>'Monthly Detail'!$AB$4:$AY$4</c:f>
              <c:numCache>
                <c:formatCode>m/d/yyyy</c:formatCode>
                <c:ptCount val="24"/>
                <c:pt idx="0">
                  <c:v>45322</c:v>
                </c:pt>
                <c:pt idx="1">
                  <c:v>45351</c:v>
                </c:pt>
                <c:pt idx="2">
                  <c:v>45382</c:v>
                </c:pt>
                <c:pt idx="3">
                  <c:v>45412</c:v>
                </c:pt>
                <c:pt idx="4">
                  <c:v>45443</c:v>
                </c:pt>
                <c:pt idx="5">
                  <c:v>45473</c:v>
                </c:pt>
                <c:pt idx="6">
                  <c:v>45504</c:v>
                </c:pt>
                <c:pt idx="7">
                  <c:v>45535</c:v>
                </c:pt>
                <c:pt idx="8">
                  <c:v>45565</c:v>
                </c:pt>
                <c:pt idx="9">
                  <c:v>45596</c:v>
                </c:pt>
                <c:pt idx="10">
                  <c:v>45626</c:v>
                </c:pt>
                <c:pt idx="11">
                  <c:v>45657</c:v>
                </c:pt>
                <c:pt idx="12">
                  <c:v>45688</c:v>
                </c:pt>
                <c:pt idx="13">
                  <c:v>45716</c:v>
                </c:pt>
                <c:pt idx="14">
                  <c:v>45747</c:v>
                </c:pt>
                <c:pt idx="15">
                  <c:v>45777</c:v>
                </c:pt>
                <c:pt idx="16">
                  <c:v>45808</c:v>
                </c:pt>
                <c:pt idx="17">
                  <c:v>45838</c:v>
                </c:pt>
                <c:pt idx="18">
                  <c:v>45869</c:v>
                </c:pt>
                <c:pt idx="19">
                  <c:v>45900</c:v>
                </c:pt>
                <c:pt idx="20">
                  <c:v>45930</c:v>
                </c:pt>
                <c:pt idx="21">
                  <c:v>45961</c:v>
                </c:pt>
                <c:pt idx="22">
                  <c:v>45991</c:v>
                </c:pt>
                <c:pt idx="23">
                  <c:v>46022</c:v>
                </c:pt>
              </c:numCache>
            </c:numRef>
          </c:cat>
          <c:val>
            <c:numRef>
              <c:f>'Monthly Detail'!$AB$97:$BE$97</c:f>
              <c:numCache>
                <c:formatCode>_("$"* #,##0.00_);_("$"* \(#,##0.00\);_("$"* "-"??_);_(@_)</c:formatCode>
                <c:ptCount val="30"/>
                <c:pt idx="0">
                  <c:v>664.54700000000003</c:v>
                </c:pt>
                <c:pt idx="1">
                  <c:v>749.54100000000005</c:v>
                </c:pt>
                <c:pt idx="2">
                  <c:v>357.87050000000005</c:v>
                </c:pt>
                <c:pt idx="3">
                  <c:v>503.65250000000003</c:v>
                </c:pt>
                <c:pt idx="4">
                  <c:v>789.2170000000001</c:v>
                </c:pt>
                <c:pt idx="5">
                  <c:v>1423.799</c:v>
                </c:pt>
                <c:pt idx="6">
                  <c:v>648.71950000000004</c:v>
                </c:pt>
                <c:pt idx="7">
                  <c:v>1138.2605000000001</c:v>
                </c:pt>
                <c:pt idx="8">
                  <c:v>167.56349999999998</c:v>
                </c:pt>
                <c:pt idx="9">
                  <c:v>507.47450000000003</c:v>
                </c:pt>
                <c:pt idx="10">
                  <c:v>888.53038922794315</c:v>
                </c:pt>
                <c:pt idx="11">
                  <c:v>2182.2172395912257</c:v>
                </c:pt>
                <c:pt idx="12">
                  <c:v>2114.6816072195479</c:v>
                </c:pt>
                <c:pt idx="13">
                  <c:v>1841.6912062470069</c:v>
                </c:pt>
                <c:pt idx="14">
                  <c:v>2764.7093511190319</c:v>
                </c:pt>
                <c:pt idx="15">
                  <c:v>2240.1331124943104</c:v>
                </c:pt>
                <c:pt idx="16">
                  <c:v>2315.7527813432994</c:v>
                </c:pt>
                <c:pt idx="17">
                  <c:v>4139.4889025687626</c:v>
                </c:pt>
                <c:pt idx="18">
                  <c:v>5658.1481992357494</c:v>
                </c:pt>
                <c:pt idx="19">
                  <c:v>8489.5512451705144</c:v>
                </c:pt>
                <c:pt idx="20">
                  <c:v>11350.098499329448</c:v>
                </c:pt>
                <c:pt idx="21">
                  <c:v>13480.125886044403</c:v>
                </c:pt>
                <c:pt idx="22">
                  <c:v>16474.991652107867</c:v>
                </c:pt>
                <c:pt idx="23">
                  <c:v>21451.557835574571</c:v>
                </c:pt>
                <c:pt idx="24">
                  <c:v>23205.318086538242</c:v>
                </c:pt>
                <c:pt idx="25">
                  <c:v>25040.049621363054</c:v>
                </c:pt>
                <c:pt idx="26">
                  <c:v>28758.732272542868</c:v>
                </c:pt>
                <c:pt idx="27">
                  <c:v>30239.239104614993</c:v>
                </c:pt>
                <c:pt idx="28">
                  <c:v>31861.202808498485</c:v>
                </c:pt>
                <c:pt idx="29">
                  <c:v>36419.183199634441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761-4B2D-8399-6735833BA7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6245648"/>
        <c:axId val="2026246064"/>
      </c:areaChart>
      <c:barChart>
        <c:barDir val="col"/>
        <c:grouping val="clustered"/>
        <c:varyColors val="0"/>
        <c:ser>
          <c:idx val="2"/>
          <c:order val="1"/>
          <c:tx>
            <c:v>Gross Profit</c:v>
          </c:tx>
          <c:spPr>
            <a:solidFill>
              <a:schemeClr val="tx1"/>
            </a:solidFill>
            <a:ln>
              <a:solidFill>
                <a:sysClr val="windowText" lastClr="000000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solidFill>
                  <a:sysClr val="windowText" lastClr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30-B914-4B4B-B6D8-824E75B8329E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/>
              </a:solidFill>
              <a:ln>
                <a:solidFill>
                  <a:sysClr val="windowText" lastClr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1E-5B3A-4CEB-AD79-37A6D19F67F8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/>
              </a:solidFill>
              <a:ln>
                <a:solidFill>
                  <a:sysClr val="windowText" lastClr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1F-5B3A-4CEB-AD79-37A6D19F67F8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/>
              </a:solidFill>
              <a:ln>
                <a:solidFill>
                  <a:sysClr val="windowText" lastClr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20-5B3A-4CEB-AD79-37A6D19F67F8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6"/>
              </a:solidFill>
              <a:ln>
                <a:solidFill>
                  <a:sysClr val="windowText" lastClr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21-5B3A-4CEB-AD79-37A6D19F67F8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solidFill>
                  <a:sysClr val="windowText" lastClr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22-5B3A-4CEB-AD79-37A6D19F67F8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6"/>
              </a:solidFill>
              <a:ln>
                <a:solidFill>
                  <a:sysClr val="windowText" lastClr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23-5B3A-4CEB-AD79-37A6D19F67F8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6"/>
              </a:solidFill>
              <a:ln>
                <a:solidFill>
                  <a:sysClr val="windowText" lastClr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24-5B3A-4CEB-AD79-37A6D19F67F8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6"/>
              </a:solidFill>
              <a:ln>
                <a:solidFill>
                  <a:sysClr val="windowText" lastClr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25-5B3A-4CEB-AD79-37A6D19F67F8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6"/>
              </a:solidFill>
              <a:ln>
                <a:solidFill>
                  <a:sysClr val="windowText" lastClr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31-B914-4B4B-B6D8-824E75B8329E}"/>
              </c:ext>
            </c:extLst>
          </c:dPt>
          <c:cat>
            <c:numRef>
              <c:f>'Monthly Detail'!$AB$4:$AY$4</c:f>
              <c:numCache>
                <c:formatCode>m/d/yyyy</c:formatCode>
                <c:ptCount val="24"/>
                <c:pt idx="0">
                  <c:v>45322</c:v>
                </c:pt>
                <c:pt idx="1">
                  <c:v>45351</c:v>
                </c:pt>
                <c:pt idx="2">
                  <c:v>45382</c:v>
                </c:pt>
                <c:pt idx="3">
                  <c:v>45412</c:v>
                </c:pt>
                <c:pt idx="4">
                  <c:v>45443</c:v>
                </c:pt>
                <c:pt idx="5">
                  <c:v>45473</c:v>
                </c:pt>
                <c:pt idx="6">
                  <c:v>45504</c:v>
                </c:pt>
                <c:pt idx="7">
                  <c:v>45535</c:v>
                </c:pt>
                <c:pt idx="8">
                  <c:v>45565</c:v>
                </c:pt>
                <c:pt idx="9">
                  <c:v>45596</c:v>
                </c:pt>
                <c:pt idx="10">
                  <c:v>45626</c:v>
                </c:pt>
                <c:pt idx="11">
                  <c:v>45657</c:v>
                </c:pt>
                <c:pt idx="12">
                  <c:v>45688</c:v>
                </c:pt>
                <c:pt idx="13">
                  <c:v>45716</c:v>
                </c:pt>
                <c:pt idx="14">
                  <c:v>45747</c:v>
                </c:pt>
                <c:pt idx="15">
                  <c:v>45777</c:v>
                </c:pt>
                <c:pt idx="16">
                  <c:v>45808</c:v>
                </c:pt>
                <c:pt idx="17">
                  <c:v>45838</c:v>
                </c:pt>
                <c:pt idx="18">
                  <c:v>45869</c:v>
                </c:pt>
                <c:pt idx="19">
                  <c:v>45900</c:v>
                </c:pt>
                <c:pt idx="20">
                  <c:v>45930</c:v>
                </c:pt>
                <c:pt idx="21">
                  <c:v>45961</c:v>
                </c:pt>
                <c:pt idx="22">
                  <c:v>45991</c:v>
                </c:pt>
                <c:pt idx="23">
                  <c:v>46022</c:v>
                </c:pt>
              </c:numCache>
            </c:numRef>
          </c:cat>
          <c:val>
            <c:numRef>
              <c:f>'Monthly Detail'!$AB$61:$BE$61</c:f>
              <c:numCache>
                <c:formatCode>_("$"* #,##0.00_);_("$"* \(#,##0.00\);_("$"* "-"??_);_(@_)</c:formatCode>
                <c:ptCount val="30"/>
                <c:pt idx="0">
                  <c:v>5247.57</c:v>
                </c:pt>
                <c:pt idx="1">
                  <c:v>6604.42</c:v>
                </c:pt>
                <c:pt idx="2">
                  <c:v>9610.34</c:v>
                </c:pt>
                <c:pt idx="3">
                  <c:v>10979.89</c:v>
                </c:pt>
                <c:pt idx="4">
                  <c:v>10465.199999999999</c:v>
                </c:pt>
                <c:pt idx="5">
                  <c:v>11691.09</c:v>
                </c:pt>
                <c:pt idx="6">
                  <c:v>11465.460000000001</c:v>
                </c:pt>
                <c:pt idx="7">
                  <c:v>11523.82</c:v>
                </c:pt>
                <c:pt idx="8">
                  <c:v>8608.9699999999993</c:v>
                </c:pt>
                <c:pt idx="9">
                  <c:v>10438.36</c:v>
                </c:pt>
                <c:pt idx="10">
                  <c:v>9880.0014962481182</c:v>
                </c:pt>
                <c:pt idx="11">
                  <c:v>11374.049128764025</c:v>
                </c:pt>
                <c:pt idx="12">
                  <c:v>9512.0789160093846</c:v>
                </c:pt>
                <c:pt idx="13">
                  <c:v>9195.9946566234412</c:v>
                </c:pt>
                <c:pt idx="14">
                  <c:v>11036.00780407662</c:v>
                </c:pt>
                <c:pt idx="15">
                  <c:v>8808.9395217739329</c:v>
                </c:pt>
                <c:pt idx="16">
                  <c:v>9732.3178409642569</c:v>
                </c:pt>
                <c:pt idx="17">
                  <c:v>12421.727767697294</c:v>
                </c:pt>
                <c:pt idx="18">
                  <c:v>11952.3788068381</c:v>
                </c:pt>
                <c:pt idx="19">
                  <c:v>13971.984574942373</c:v>
                </c:pt>
                <c:pt idx="20">
                  <c:v>14016.821818364173</c:v>
                </c:pt>
                <c:pt idx="21">
                  <c:v>12892.945099219593</c:v>
                </c:pt>
                <c:pt idx="22">
                  <c:v>14223.465682832673</c:v>
                </c:pt>
                <c:pt idx="23">
                  <c:v>17272.235555760741</c:v>
                </c:pt>
                <c:pt idx="24">
                  <c:v>12515.741449345818</c:v>
                </c:pt>
                <c:pt idx="25">
                  <c:v>12640.312655286039</c:v>
                </c:pt>
                <c:pt idx="26">
                  <c:v>15538.698988139882</c:v>
                </c:pt>
                <c:pt idx="27">
                  <c:v>12095.351574128055</c:v>
                </c:pt>
                <c:pt idx="28">
                  <c:v>12312.977530760929</c:v>
                </c:pt>
                <c:pt idx="29">
                  <c:v>16829.92628038011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761-4B2D-8399-6735833BA7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6245648"/>
        <c:axId val="2026246064"/>
      </c:barChart>
      <c:barChart>
        <c:barDir val="col"/>
        <c:grouping val="stacked"/>
        <c:varyColors val="0"/>
        <c:ser>
          <c:idx val="3"/>
          <c:order val="2"/>
          <c:tx>
            <c:v>Total Income</c:v>
          </c:tx>
          <c:spPr>
            <a:ln>
              <a:solidFill>
                <a:sysClr val="windowText" lastClr="000000"/>
              </a:solidFill>
            </a:ln>
          </c:spPr>
          <c:invertIfNegative val="0"/>
          <c:dPt>
            <c:idx val="1"/>
            <c:invertIfNegative val="0"/>
            <c:bubble3D val="0"/>
            <c:spPr>
              <a:solidFill>
                <a:schemeClr val="accent6"/>
              </a:solidFill>
              <a:ln>
                <a:solidFill>
                  <a:sysClr val="windowText" lastClr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8-73A1-4459-A24B-9BF62985F008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/>
              </a:solidFill>
              <a:ln>
                <a:solidFill>
                  <a:sysClr val="windowText" lastClr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73A1-4459-A24B-9BF62985F008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/>
              </a:solidFill>
              <a:ln>
                <a:solidFill>
                  <a:sysClr val="windowText" lastClr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A-73A1-4459-A24B-9BF62985F008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6"/>
              </a:solidFill>
              <a:ln>
                <a:solidFill>
                  <a:sysClr val="windowText" lastClr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B-73A1-4459-A24B-9BF62985F008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solidFill>
                  <a:sysClr val="windowText" lastClr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C-73A1-4459-A24B-9BF62985F008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6"/>
              </a:solidFill>
              <a:ln>
                <a:solidFill>
                  <a:sysClr val="windowText" lastClr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D-73A1-4459-A24B-9BF62985F008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6"/>
              </a:solidFill>
              <a:ln>
                <a:solidFill>
                  <a:sysClr val="windowText" lastClr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E-73A1-4459-A24B-9BF62985F008}"/>
              </c:ext>
            </c:extLst>
          </c:dPt>
          <c:cat>
            <c:numRef>
              <c:f>'Monthly Detail'!$AB$4:$AY$4</c:f>
              <c:numCache>
                <c:formatCode>m/d/yyyy</c:formatCode>
                <c:ptCount val="24"/>
                <c:pt idx="0">
                  <c:v>45322</c:v>
                </c:pt>
                <c:pt idx="1">
                  <c:v>45351</c:v>
                </c:pt>
                <c:pt idx="2">
                  <c:v>45382</c:v>
                </c:pt>
                <c:pt idx="3">
                  <c:v>45412</c:v>
                </c:pt>
                <c:pt idx="4">
                  <c:v>45443</c:v>
                </c:pt>
                <c:pt idx="5">
                  <c:v>45473</c:v>
                </c:pt>
                <c:pt idx="6">
                  <c:v>45504</c:v>
                </c:pt>
                <c:pt idx="7">
                  <c:v>45535</c:v>
                </c:pt>
                <c:pt idx="8">
                  <c:v>45565</c:v>
                </c:pt>
                <c:pt idx="9">
                  <c:v>45596</c:v>
                </c:pt>
                <c:pt idx="10">
                  <c:v>45626</c:v>
                </c:pt>
                <c:pt idx="11">
                  <c:v>45657</c:v>
                </c:pt>
                <c:pt idx="12">
                  <c:v>45688</c:v>
                </c:pt>
                <c:pt idx="13">
                  <c:v>45716</c:v>
                </c:pt>
                <c:pt idx="14">
                  <c:v>45747</c:v>
                </c:pt>
                <c:pt idx="15">
                  <c:v>45777</c:v>
                </c:pt>
                <c:pt idx="16">
                  <c:v>45808</c:v>
                </c:pt>
                <c:pt idx="17">
                  <c:v>45838</c:v>
                </c:pt>
                <c:pt idx="18">
                  <c:v>45869</c:v>
                </c:pt>
                <c:pt idx="19">
                  <c:v>45900</c:v>
                </c:pt>
                <c:pt idx="20">
                  <c:v>45930</c:v>
                </c:pt>
                <c:pt idx="21">
                  <c:v>45961</c:v>
                </c:pt>
                <c:pt idx="22">
                  <c:v>45991</c:v>
                </c:pt>
                <c:pt idx="23">
                  <c:v>46022</c:v>
                </c:pt>
              </c:numCache>
            </c:numRef>
          </c:cat>
          <c:val>
            <c:numRef>
              <c:f>('Monthly Detail'!$K$9:$N$9,'Monthly Detail'!$T$9:$BE$9)</c:f>
            </c:numRef>
          </c:val>
          <c:extLst>
            <c:ext xmlns:c16="http://schemas.microsoft.com/office/drawing/2014/chart" uri="{C3380CC4-5D6E-409C-BE32-E72D297353CC}">
              <c16:uniqueId val="{0000000A-3761-4B2D-8399-6735833BA7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26245648"/>
        <c:axId val="2026246064"/>
      </c:barChart>
      <c:barChart>
        <c:barDir val="col"/>
        <c:grouping val="stacked"/>
        <c:varyColors val="0"/>
        <c:ser>
          <c:idx val="4"/>
          <c:order val="3"/>
          <c:tx>
            <c:v>EBITDA</c:v>
          </c:tx>
          <c:spPr>
            <a:ln>
              <a:solidFill>
                <a:sysClr val="windowText" lastClr="000000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>
                <a:solidFill>
                  <a:sysClr val="windowText" lastClr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0-73A1-4459-A24B-9BF62985F008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>
                <a:solidFill>
                  <a:sysClr val="windowText" lastClr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73A1-4459-A24B-9BF62985F008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>
                <a:solidFill>
                  <a:sysClr val="windowText" lastClr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2-73A1-4459-A24B-9BF62985F008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>
                <a:solidFill>
                  <a:sysClr val="windowText" lastClr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73A1-4459-A24B-9BF62985F008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>
                <a:solidFill>
                  <a:sysClr val="windowText" lastClr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4-73A1-4459-A24B-9BF62985F008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>
                <a:solidFill>
                  <a:sysClr val="windowText" lastClr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73A1-4459-A24B-9BF62985F008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>
                <a:solidFill>
                  <a:sysClr val="windowText" lastClr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6-73A1-4459-A24B-9BF62985F008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>
                <a:solidFill>
                  <a:sysClr val="windowText" lastClr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73A1-4459-A24B-9BF62985F008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>
                <a:solidFill>
                  <a:sysClr val="windowText" lastClr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26-5B3A-4CEB-AD79-37A6D19F67F8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>
                <a:solidFill>
                  <a:sysClr val="windowText" lastClr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32-B914-4B4B-B6D8-824E75B8329E}"/>
              </c:ext>
            </c:extLst>
          </c:dPt>
          <c:cat>
            <c:numRef>
              <c:f>'Monthly Detail'!$AB$4:$AY$4</c:f>
              <c:numCache>
                <c:formatCode>m/d/yyyy</c:formatCode>
                <c:ptCount val="24"/>
                <c:pt idx="0">
                  <c:v>45322</c:v>
                </c:pt>
                <c:pt idx="1">
                  <c:v>45351</c:v>
                </c:pt>
                <c:pt idx="2">
                  <c:v>45382</c:v>
                </c:pt>
                <c:pt idx="3">
                  <c:v>45412</c:v>
                </c:pt>
                <c:pt idx="4">
                  <c:v>45443</c:v>
                </c:pt>
                <c:pt idx="5">
                  <c:v>45473</c:v>
                </c:pt>
                <c:pt idx="6">
                  <c:v>45504</c:v>
                </c:pt>
                <c:pt idx="7">
                  <c:v>45535</c:v>
                </c:pt>
                <c:pt idx="8">
                  <c:v>45565</c:v>
                </c:pt>
                <c:pt idx="9">
                  <c:v>45596</c:v>
                </c:pt>
                <c:pt idx="10">
                  <c:v>45626</c:v>
                </c:pt>
                <c:pt idx="11">
                  <c:v>45657</c:v>
                </c:pt>
                <c:pt idx="12">
                  <c:v>45688</c:v>
                </c:pt>
                <c:pt idx="13">
                  <c:v>45716</c:v>
                </c:pt>
                <c:pt idx="14">
                  <c:v>45747</c:v>
                </c:pt>
                <c:pt idx="15">
                  <c:v>45777</c:v>
                </c:pt>
                <c:pt idx="16">
                  <c:v>45808</c:v>
                </c:pt>
                <c:pt idx="17">
                  <c:v>45838</c:v>
                </c:pt>
                <c:pt idx="18">
                  <c:v>45869</c:v>
                </c:pt>
                <c:pt idx="19">
                  <c:v>45900</c:v>
                </c:pt>
                <c:pt idx="20">
                  <c:v>45930</c:v>
                </c:pt>
                <c:pt idx="21">
                  <c:v>45961</c:v>
                </c:pt>
                <c:pt idx="22">
                  <c:v>45991</c:v>
                </c:pt>
                <c:pt idx="23">
                  <c:v>46022</c:v>
                </c:pt>
              </c:numCache>
            </c:numRef>
          </c:cat>
          <c:val>
            <c:numRef>
              <c:f>('Monthly Detail'!$K$81:$N$81,'Monthly Detail'!$T$81:$BE$81)</c:f>
              <c:numCache>
                <c:formatCode>_("$"* #,##0.00_);_("$"* \(#,##0.00\);_("$"* "-"??_);_(@_)</c:formatCode>
                <c:ptCount val="30"/>
                <c:pt idx="0">
                  <c:v>5161.95</c:v>
                </c:pt>
                <c:pt idx="1">
                  <c:v>5593.24</c:v>
                </c:pt>
                <c:pt idx="2">
                  <c:v>8721.89</c:v>
                </c:pt>
                <c:pt idx="3">
                  <c:v>9733.06</c:v>
                </c:pt>
                <c:pt idx="4">
                  <c:v>9649.1699999999983</c:v>
                </c:pt>
                <c:pt idx="5">
                  <c:v>10519.93</c:v>
                </c:pt>
                <c:pt idx="6">
                  <c:v>8690.36</c:v>
                </c:pt>
                <c:pt idx="7">
                  <c:v>8902.25</c:v>
                </c:pt>
                <c:pt idx="8">
                  <c:v>5789.0199999999995</c:v>
                </c:pt>
                <c:pt idx="9">
                  <c:v>7794.08</c:v>
                </c:pt>
                <c:pt idx="10">
                  <c:v>7091.239829581451</c:v>
                </c:pt>
                <c:pt idx="11">
                  <c:v>8485.287462097358</c:v>
                </c:pt>
                <c:pt idx="12">
                  <c:v>6396.0990271204955</c:v>
                </c:pt>
                <c:pt idx="13">
                  <c:v>6080.0147677345522</c:v>
                </c:pt>
                <c:pt idx="14">
                  <c:v>7920.0279151877312</c:v>
                </c:pt>
                <c:pt idx="15">
                  <c:v>5692.9596328850439</c:v>
                </c:pt>
                <c:pt idx="16">
                  <c:v>6616.3379520753679</c:v>
                </c:pt>
                <c:pt idx="17">
                  <c:v>9305.7478788084045</c:v>
                </c:pt>
                <c:pt idx="18">
                  <c:v>8836.398917949211</c:v>
                </c:pt>
                <c:pt idx="19">
                  <c:v>10856.004686053484</c:v>
                </c:pt>
                <c:pt idx="20">
                  <c:v>10900.841929475284</c:v>
                </c:pt>
                <c:pt idx="21">
                  <c:v>9776.9652103307035</c:v>
                </c:pt>
                <c:pt idx="22">
                  <c:v>11107.485793943784</c:v>
                </c:pt>
                <c:pt idx="23">
                  <c:v>14156.255666871852</c:v>
                </c:pt>
                <c:pt idx="24">
                  <c:v>9198.0926937902623</c:v>
                </c:pt>
                <c:pt idx="25">
                  <c:v>9322.6638997304835</c:v>
                </c:pt>
                <c:pt idx="26">
                  <c:v>12221.050232584326</c:v>
                </c:pt>
                <c:pt idx="27">
                  <c:v>8777.7028185724994</c:v>
                </c:pt>
                <c:pt idx="28">
                  <c:v>8995.3287752053729</c:v>
                </c:pt>
                <c:pt idx="29">
                  <c:v>13512.277524824554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761-4B2D-8399-6735833BA7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26245648"/>
        <c:axId val="2026246064"/>
      </c:barChart>
      <c:dateAx>
        <c:axId val="2026245648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18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246064"/>
        <c:crosses val="autoZero"/>
        <c:auto val="1"/>
        <c:lblOffset val="100"/>
        <c:baseTimeUnit val="months"/>
        <c:majorUnit val="3"/>
      </c:dateAx>
      <c:valAx>
        <c:axId val="2026246064"/>
        <c:scaling>
          <c:orientation val="minMax"/>
        </c:scaling>
        <c:delete val="0"/>
        <c:axPos val="l"/>
        <c:numFmt formatCode="&quot;$&quot;* #,##0_€;[Red]\(&quot;$&quot;* #,##0_€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245648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ysClr val="window" lastClr="FFFFFF"/>
    </a:solidFill>
    <a:ln w="19050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Cash Position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'2023 Overview'!$B$29</c:f>
              <c:strCache>
                <c:ptCount val="1"/>
                <c:pt idx="0">
                  <c:v>Operating Cash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9A4-4232-A037-0B61B973C6F0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9A4-4232-A037-0B61B973C6F0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9A4-4232-A037-0B61B973C6F0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9A4-4232-A037-0B61B973C6F0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9A4-4232-A037-0B61B973C6F0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9A4-4232-A037-0B61B973C6F0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9A4-4232-A037-0B61B973C6F0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39A4-4232-A037-0B61B973C6F0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39A4-4232-A037-0B61B973C6F0}"/>
                </c:ext>
              </c:extLst>
            </c:dLbl>
            <c:dLbl>
              <c:idx val="9"/>
              <c:layout>
                <c:manualLayout>
                  <c:x val="4.2762454564892029E-3"/>
                  <c:y val="-4.498977505112482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39A4-4232-A037-0B61B973C6F0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39A4-4232-A037-0B61B973C6F0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39A4-4232-A037-0B61B973C6F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'2023 Overview'!$C$10:$N$10</c:f>
              <c:strCache>
                <c:ptCount val="5"/>
                <c:pt idx="0">
                  <c:v>August</c:v>
                </c:pt>
                <c:pt idx="1">
                  <c:v>September</c:v>
                </c:pt>
                <c:pt idx="2">
                  <c:v>October</c:v>
                </c:pt>
                <c:pt idx="3">
                  <c:v>November</c:v>
                </c:pt>
                <c:pt idx="4">
                  <c:v>December</c:v>
                </c:pt>
              </c:strCache>
            </c:strRef>
          </c:cat>
          <c:val>
            <c:numRef>
              <c:f>'2023 Overview'!$C$29:$N$29</c:f>
              <c:numCache>
                <c:formatCode>_("$"* #,##0.00_);_("$"* \(#,##0.00\);_("$"* "-"??_);_(@_)</c:formatCode>
                <c:ptCount val="5"/>
                <c:pt idx="0">
                  <c:v>1450.4599999999998</c:v>
                </c:pt>
                <c:pt idx="1">
                  <c:v>291.02999999999952</c:v>
                </c:pt>
                <c:pt idx="2">
                  <c:v>531.88999999999919</c:v>
                </c:pt>
                <c:pt idx="3">
                  <c:v>420.32999999999697</c:v>
                </c:pt>
                <c:pt idx="4">
                  <c:v>2798.9700000000003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A8-43BA-843B-9620D8EB01E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3418911"/>
        <c:axId val="1908237535"/>
      </c:barChart>
      <c:lineChart>
        <c:grouping val="standard"/>
        <c:varyColors val="0"/>
        <c:ser>
          <c:idx val="1"/>
          <c:order val="1"/>
          <c:tx>
            <c:strRef>
              <c:f>'2023 Overview'!$B$30</c:f>
              <c:strCache>
                <c:ptCount val="1"/>
                <c:pt idx="0">
                  <c:v>Cash Inflow (Outflow)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'2023 Overview'!$C$30:$N$30</c:f>
              <c:numCache>
                <c:formatCode>_("$"* #,##0.00_);_("$"* \(#,##0.00\);_("$"* "-"??_);_(@_)</c:formatCode>
                <c:ptCount val="5"/>
                <c:pt idx="0">
                  <c:v>1450.3899999999999</c:v>
                </c:pt>
                <c:pt idx="1">
                  <c:v>-1159.4300000000003</c:v>
                </c:pt>
                <c:pt idx="2">
                  <c:v>240.85999999999967</c:v>
                </c:pt>
                <c:pt idx="3">
                  <c:v>-111.56000000000222</c:v>
                </c:pt>
                <c:pt idx="4">
                  <c:v>2378.6400000000031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A8-43BA-843B-9620D8EB01E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3418911"/>
        <c:axId val="1908237535"/>
      </c:lineChart>
      <c:catAx>
        <c:axId val="183418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237535"/>
        <c:crosses val="autoZero"/>
        <c:auto val="1"/>
        <c:lblAlgn val="ctr"/>
        <c:lblOffset val="100"/>
        <c:noMultiLvlLbl val="0"/>
      </c:catAx>
      <c:valAx>
        <c:axId val="1908237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418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Cash Position</a:t>
            </a:r>
          </a:p>
        </c:rich>
      </c:tx>
      <c:layout>
        <c:manualLayout>
          <c:xMode val="edge"/>
          <c:yMode val="edge"/>
          <c:x val="0.46199195537212084"/>
          <c:y val="4.5295064353765152E-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areaChart>
        <c:grouping val="standard"/>
        <c:varyColors val="0"/>
        <c:ser>
          <c:idx val="5"/>
          <c:order val="0"/>
          <c:tx>
            <c:strRef>
              <c:f>'2024 Overview'!$B$45</c:f>
              <c:strCache>
                <c:ptCount val="1"/>
                <c:pt idx="0">
                  <c:v>Operating (Business) Cash</c:v>
                </c:pt>
              </c:strCache>
            </c:strRef>
          </c:tx>
          <c:spPr>
            <a:solidFill>
              <a:schemeClr val="accent1"/>
            </a:solidFill>
            <a:ln w="15875">
              <a:solidFill>
                <a:schemeClr val="tx1"/>
              </a:solidFill>
            </a:ln>
          </c:spPr>
          <c:cat>
            <c:strRef>
              <c:f>'2024 Overview'!$C$18:$N$18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'2024 Overview'!$C$45:$N$45</c:f>
              <c:numCache>
                <c:formatCode>_("$"* #,##0.00_);_("$"* \(#,##0.00\);_("$"* "-"??_);_(@_)</c:formatCode>
                <c:ptCount val="12"/>
                <c:pt idx="0">
                  <c:v>664.54700000000003</c:v>
                </c:pt>
                <c:pt idx="1">
                  <c:v>749.54100000000005</c:v>
                </c:pt>
                <c:pt idx="2">
                  <c:v>357.87050000000005</c:v>
                </c:pt>
                <c:pt idx="3">
                  <c:v>503.65250000000003</c:v>
                </c:pt>
                <c:pt idx="4">
                  <c:v>789.2170000000001</c:v>
                </c:pt>
                <c:pt idx="5">
                  <c:v>1423.799</c:v>
                </c:pt>
                <c:pt idx="6">
                  <c:v>648.71950000000004</c:v>
                </c:pt>
                <c:pt idx="7">
                  <c:v>1138.2605000000001</c:v>
                </c:pt>
                <c:pt idx="8">
                  <c:v>167.56349999999998</c:v>
                </c:pt>
                <c:pt idx="9">
                  <c:v>507.47450000000003</c:v>
                </c:pt>
                <c:pt idx="10">
                  <c:v>888.53038922794315</c:v>
                </c:pt>
                <c:pt idx="11">
                  <c:v>2182.2172395912257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C10-48CF-8510-B01C52F19708}"/>
            </c:ext>
          </c:extLst>
        </c:ser>
        <c:ser>
          <c:idx val="2"/>
          <c:order val="1"/>
          <c:tx>
            <c:strRef>
              <c:f>'2024 Overview'!$B$46</c:f>
              <c:strCache>
                <c:ptCount val="1"/>
                <c:pt idx="0">
                  <c:v>Savings Cash</c:v>
                </c:pt>
              </c:strCache>
            </c:strRef>
          </c:tx>
          <c:spPr>
            <a:solidFill>
              <a:schemeClr val="accent6"/>
            </a:solidFill>
            <a:ln w="19050">
              <a:solidFill>
                <a:schemeClr val="tx1"/>
              </a:solidFill>
            </a:ln>
          </c:spPr>
          <c:cat>
            <c:strRef>
              <c:f>'2024 Overview'!$C$18:$N$18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'2024 Overview'!$C$46:$N$46</c:f>
              <c:numCache>
                <c:formatCode>_("$"* #,##0.00_);_("$"* \(#,##0.00\);_("$"* "-"??_);_(@_)</c:formatCode>
                <c:ptCount val="12"/>
                <c:pt idx="0">
                  <c:v>5.14</c:v>
                </c:pt>
                <c:pt idx="1">
                  <c:v>5.14</c:v>
                </c:pt>
                <c:pt idx="2">
                  <c:v>5</c:v>
                </c:pt>
                <c:pt idx="3">
                  <c:v>5</c:v>
                </c:pt>
                <c:pt idx="4">
                  <c:v>243.09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483.43944035350779</c:v>
                </c:pt>
                <c:pt idx="11">
                  <c:v>1489.2756883173631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C10-48CF-8510-B01C52F197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418911"/>
        <c:axId val="1908237535"/>
      </c:areaChart>
      <c:barChart>
        <c:barDir val="col"/>
        <c:grouping val="clustered"/>
        <c:varyColors val="0"/>
        <c:ser>
          <c:idx val="6"/>
          <c:order val="2"/>
          <c:tx>
            <c:strRef>
              <c:f>'2024 Overview'!$B$48</c:f>
              <c:strCache>
                <c:ptCount val="1"/>
                <c:pt idx="0">
                  <c:v>Total Cash Inflow (Outflow)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solidFill>
                <a:srgbClr val="FF0000"/>
              </a:solidFill>
            </a:ln>
          </c:spPr>
          <c:invertIfNegative val="0"/>
          <c:cat>
            <c:strRef>
              <c:f>'2024 Overview'!$C$18:$N$18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'2024 Overview'!$C$48:$N$48</c:f>
              <c:numCache>
                <c:formatCode>_("$"* #,##0.00_);_("$"* \(#,##0.00\);_("$"* "-"??_);_(@_)</c:formatCode>
                <c:ptCount val="12"/>
                <c:pt idx="0">
                  <c:v>-1776.5900000000011</c:v>
                </c:pt>
                <c:pt idx="1">
                  <c:v>130.75999999999658</c:v>
                </c:pt>
                <c:pt idx="2">
                  <c:v>-602.56999999999971</c:v>
                </c:pt>
                <c:pt idx="3">
                  <c:v>224.28000000000793</c:v>
                </c:pt>
                <c:pt idx="4">
                  <c:v>439.32999999998719</c:v>
                </c:pt>
                <c:pt idx="5">
                  <c:v>976.28000000000611</c:v>
                </c:pt>
                <c:pt idx="6">
                  <c:v>-1192.4300000000039</c:v>
                </c:pt>
                <c:pt idx="7">
                  <c:v>753.13999999999578</c:v>
                </c:pt>
                <c:pt idx="8">
                  <c:v>-1493.3799999999928</c:v>
                </c:pt>
                <c:pt idx="9">
                  <c:v>522.93999999999687</c:v>
                </c:pt>
                <c:pt idx="10">
                  <c:v>591.23982958145098</c:v>
                </c:pt>
                <c:pt idx="11">
                  <c:v>1985.287462097358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C10-48CF-8510-B01C52F19708}"/>
            </c:ext>
          </c:extLst>
        </c:ser>
        <c:ser>
          <c:idx val="7"/>
          <c:order val="3"/>
          <c:tx>
            <c:strRef>
              <c:f>'2024 Overview'!$B$22</c:f>
              <c:strCache>
                <c:ptCount val="1"/>
                <c:pt idx="0">
                  <c:v> Total Income 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D-EC10-48CF-8510-B01C52F19708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E-EC10-48CF-8510-B01C52F19708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F-EC10-48CF-8510-B01C52F19708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0-EC10-48CF-8510-B01C52F19708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1-EC10-48CF-8510-B01C52F19708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2-EC10-48CF-8510-B01C52F19708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C-6E40-48DA-993D-1F550627AE8F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E-0170-4EC2-9A66-11B04703D1F0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E-0201-4508-BE24-3F5D9EEE077E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F-0201-4508-BE24-3F5D9EEE077E}"/>
              </c:ext>
            </c:extLst>
          </c:dPt>
          <c:cat>
            <c:strRef>
              <c:f>'2024 Overview'!$C$18:$N$18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'2024 Overview'!$C$22:$N$22</c:f>
              <c:numCache>
                <c:formatCode>_("$"* #,##0_);_("$"* \(#,##0\);_("$"* "-"??_);_(@_)</c:formatCode>
                <c:ptCount val="12"/>
                <c:pt idx="0">
                  <c:v>5462.33</c:v>
                </c:pt>
                <c:pt idx="1">
                  <c:v>7159.01</c:v>
                </c:pt>
                <c:pt idx="2">
                  <c:v>10245.86</c:v>
                </c:pt>
                <c:pt idx="3">
                  <c:v>11516.18</c:v>
                </c:pt>
                <c:pt idx="4">
                  <c:v>10859.23</c:v>
                </c:pt>
                <c:pt idx="5">
                  <c:v>12228.82</c:v>
                </c:pt>
                <c:pt idx="6">
                  <c:v>12216.94</c:v>
                </c:pt>
                <c:pt idx="7">
                  <c:v>12073.09</c:v>
                </c:pt>
                <c:pt idx="8">
                  <c:v>9051.9699999999993</c:v>
                </c:pt>
                <c:pt idx="9">
                  <c:v>11082.04</c:v>
                </c:pt>
                <c:pt idx="10">
                  <c:v>10409.198876581397</c:v>
                </c:pt>
                <c:pt idx="11">
                  <c:v>11983.271405198868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C10-48CF-8510-B01C52F197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3418911"/>
        <c:axId val="1908237535"/>
        <c:extLst>
          <c:ext xmlns:c15="http://schemas.microsoft.com/office/drawing/2012/chart" uri="{02D57815-91ED-43cb-92C2-25804820EDAC}">
            <c15:filteredBarSeries>
              <c15:ser>
                <c:idx val="8"/>
                <c:order val="4"/>
                <c:tx>
                  <c:strRef>
                    <c:extLst>
                      <c:ext uri="{02D57815-91ED-43cb-92C2-25804820EDAC}">
                        <c15:formulaRef>
                          <c15:sqref>'2024 Overview'!$B$24</c15:sqref>
                        </c15:formulaRef>
                      </c:ext>
                    </c:extLst>
                    <c:strCache>
                      <c:ptCount val="1"/>
                      <c:pt idx="0">
                        <c:v> MRR </c:v>
                      </c:pt>
                    </c:strCache>
                  </c:strRef>
                </c:tx>
                <c:spPr>
                  <a:ln>
                    <a:solidFill>
                      <a:schemeClr val="tx1"/>
                    </a:solidFill>
                  </a:ln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'2024 Overview'!$C$18:$N$18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'2024 Overview'!$C$24:$N$24</c15:sqref>
                        </c15:formulaRef>
                      </c:ext>
                    </c:extLst>
                    <c:numCache>
                      <c:formatCode>_("$"* #,##0_);_("$"* \(#,##0\);_("$"* "-"??_);_(@_)</c:formatCode>
                      <c:ptCount val="12"/>
                      <c:pt idx="0">
                        <c:v>4731.3059251954119</c:v>
                      </c:pt>
                      <c:pt idx="1">
                        <c:v>5463.3500796391181</c:v>
                      </c:pt>
                      <c:pt idx="2">
                        <c:v>8905.7356242568385</c:v>
                      </c:pt>
                      <c:pt idx="3">
                        <c:v>10218.068266183795</c:v>
                      </c:pt>
                      <c:pt idx="4">
                        <c:v>10996.368456601624</c:v>
                      </c:pt>
                      <c:pt idx="5">
                        <c:v>11424.978898666666</c:v>
                      </c:pt>
                      <c:pt idx="6">
                        <c:v>10843.709176205668</c:v>
                      </c:pt>
                      <c:pt idx="7">
                        <c:v>11778.181068162145</c:v>
                      </c:pt>
                      <c:pt idx="8">
                        <c:v>9753.5338828799977</c:v>
                      </c:pt>
                      <c:pt idx="9">
                        <c:v>10385.246551570508</c:v>
                      </c:pt>
                      <c:pt idx="10">
                        <c:v>9084.3472626035327</c:v>
                      </c:pt>
                      <c:pt idx="11">
                        <c:v>11606.398797039628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C-EC10-48CF-8510-B01C52F19708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0"/>
          <c:order val="5"/>
          <c:tx>
            <c:strRef>
              <c:f>'2024 Overview'!$B$25</c:f>
              <c:strCache>
                <c:ptCount val="1"/>
                <c:pt idx="0">
                  <c:v> Recurring Client Base 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chemeClr val="accent6"/>
                </a:solidFill>
              </a:ln>
            </c:spPr>
            <c:extLst>
              <c:ext xmlns:c16="http://schemas.microsoft.com/office/drawing/2014/chart" uri="{C3380CC4-5D6E-409C-BE32-E72D297353CC}">
                <c16:uniqueId val="{00000010-0170-4EC2-9A66-11B04703D1F0}"/>
              </c:ext>
            </c:extLst>
          </c:dPt>
          <c:dPt>
            <c:idx val="2"/>
            <c:bubble3D val="0"/>
            <c:spPr>
              <a:ln>
                <a:solidFill>
                  <a:schemeClr val="accent6"/>
                </a:solidFill>
              </a:ln>
            </c:spPr>
            <c:extLst>
              <c:ext xmlns:c16="http://schemas.microsoft.com/office/drawing/2014/chart" uri="{C3380CC4-5D6E-409C-BE32-E72D297353CC}">
                <c16:uniqueId val="{00000011-0170-4EC2-9A66-11B04703D1F0}"/>
              </c:ext>
            </c:extLst>
          </c:dPt>
          <c:dPt>
            <c:idx val="3"/>
            <c:bubble3D val="0"/>
            <c:spPr>
              <a:ln>
                <a:solidFill>
                  <a:schemeClr val="accent6"/>
                </a:solidFill>
              </a:ln>
            </c:spPr>
            <c:extLst>
              <c:ext xmlns:c16="http://schemas.microsoft.com/office/drawing/2014/chart" uri="{C3380CC4-5D6E-409C-BE32-E72D297353CC}">
                <c16:uniqueId val="{00000012-0170-4EC2-9A66-11B04703D1F0}"/>
              </c:ext>
            </c:extLst>
          </c:dPt>
          <c:dPt>
            <c:idx val="4"/>
            <c:bubble3D val="0"/>
            <c:spPr>
              <a:ln>
                <a:solidFill>
                  <a:schemeClr val="accent6"/>
                </a:solidFill>
              </a:ln>
            </c:spPr>
            <c:extLst>
              <c:ext xmlns:c16="http://schemas.microsoft.com/office/drawing/2014/chart" uri="{C3380CC4-5D6E-409C-BE32-E72D297353CC}">
                <c16:uniqueId val="{00000013-0170-4EC2-9A66-11B04703D1F0}"/>
              </c:ext>
            </c:extLst>
          </c:dPt>
          <c:dPt>
            <c:idx val="5"/>
            <c:bubble3D val="0"/>
            <c:spPr>
              <a:ln>
                <a:solidFill>
                  <a:schemeClr val="accent6"/>
                </a:solidFill>
              </a:ln>
            </c:spPr>
            <c:extLst>
              <c:ext xmlns:c16="http://schemas.microsoft.com/office/drawing/2014/chart" uri="{C3380CC4-5D6E-409C-BE32-E72D297353CC}">
                <c16:uniqueId val="{00000014-0170-4EC2-9A66-11B04703D1F0}"/>
              </c:ext>
            </c:extLst>
          </c:dPt>
          <c:dPt>
            <c:idx val="6"/>
            <c:bubble3D val="0"/>
            <c:spPr>
              <a:ln>
                <a:solidFill>
                  <a:schemeClr val="accent6"/>
                </a:solidFill>
              </a:ln>
            </c:spPr>
            <c:extLst>
              <c:ext xmlns:c16="http://schemas.microsoft.com/office/drawing/2014/chart" uri="{C3380CC4-5D6E-409C-BE32-E72D297353CC}">
                <c16:uniqueId val="{00000015-0170-4EC2-9A66-11B04703D1F0}"/>
              </c:ext>
            </c:extLst>
          </c:dPt>
          <c:dPt>
            <c:idx val="7"/>
            <c:bubble3D val="0"/>
            <c:spPr>
              <a:ln>
                <a:solidFill>
                  <a:schemeClr val="accent6"/>
                </a:solidFill>
              </a:ln>
            </c:spPr>
            <c:extLst>
              <c:ext xmlns:c16="http://schemas.microsoft.com/office/drawing/2014/chart" uri="{C3380CC4-5D6E-409C-BE32-E72D297353CC}">
                <c16:uniqueId val="{00000016-0170-4EC2-9A66-11B04703D1F0}"/>
              </c:ext>
            </c:extLst>
          </c:dPt>
          <c:dPt>
            <c:idx val="8"/>
            <c:bubble3D val="0"/>
            <c:spPr>
              <a:ln>
                <a:solidFill>
                  <a:schemeClr val="accent6"/>
                </a:solidFill>
              </a:ln>
            </c:spPr>
            <c:extLst>
              <c:ext xmlns:c16="http://schemas.microsoft.com/office/drawing/2014/chart" uri="{C3380CC4-5D6E-409C-BE32-E72D297353CC}">
                <c16:uniqueId val="{0000001E-8E61-4F7E-9851-49C6ABE5B54C}"/>
              </c:ext>
            </c:extLst>
          </c:dPt>
          <c:dPt>
            <c:idx val="9"/>
            <c:bubble3D val="0"/>
            <c:spPr>
              <a:ln>
                <a:solidFill>
                  <a:schemeClr val="accent6"/>
                </a:solidFill>
              </a:ln>
            </c:spPr>
            <c:extLst>
              <c:ext xmlns:c16="http://schemas.microsoft.com/office/drawing/2014/chart" uri="{C3380CC4-5D6E-409C-BE32-E72D297353CC}">
                <c16:uniqueId val="{0000001F-8E61-4F7E-9851-49C6ABE5B54C}"/>
              </c:ext>
            </c:extLst>
          </c:dPt>
          <c:dLbls>
            <c:dLbl>
              <c:idx val="1"/>
              <c:layout>
                <c:manualLayout>
                  <c:x val="-1.7251257479128722E-2"/>
                  <c:y val="-5.321262215106296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0170-4EC2-9A66-11B04703D1F0}"/>
                </c:ext>
              </c:extLst>
            </c:dLbl>
            <c:dLbl>
              <c:idx val="2"/>
              <c:layout>
                <c:manualLayout>
                  <c:x val="-2.1441846340455512E-2"/>
                  <c:y val="-5.090929667503182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0170-4EC2-9A66-11B04703D1F0}"/>
                </c:ext>
              </c:extLst>
            </c:dLbl>
            <c:dLbl>
              <c:idx val="3"/>
              <c:layout>
                <c:manualLayout>
                  <c:x val="-1.7251257479128722E-2"/>
                  <c:y val="-4.399932024693825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0170-4EC2-9A66-11B04703D1F0}"/>
                </c:ext>
              </c:extLst>
            </c:dLbl>
            <c:dLbl>
              <c:idx val="4"/>
              <c:layout>
                <c:manualLayout>
                  <c:x val="-1.7251257479128722E-2"/>
                  <c:y val="-4.169599477090707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0170-4EC2-9A66-11B04703D1F0}"/>
                </c:ext>
              </c:extLst>
            </c:dLbl>
            <c:dLbl>
              <c:idx val="5"/>
              <c:layout>
                <c:manualLayout>
                  <c:x val="-1.725125747912867E-2"/>
                  <c:y val="-5.090929667503178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0170-4EC2-9A66-11B04703D1F0}"/>
                </c:ext>
              </c:extLst>
            </c:dLbl>
            <c:dLbl>
              <c:idx val="6"/>
              <c:layout>
                <c:manualLayout>
                  <c:x val="-1.7251257479128722E-2"/>
                  <c:y val="-4.860597119900069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0170-4EC2-9A66-11B04703D1F0}"/>
                </c:ext>
              </c:extLst>
            </c:dLbl>
            <c:dLbl>
              <c:idx val="7"/>
              <c:layout>
                <c:manualLayout>
                  <c:x val="-1.5155963048465315E-2"/>
                  <c:y val="-3.248269286678236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0170-4EC2-9A66-11B04703D1F0}"/>
                </c:ext>
              </c:extLst>
            </c:dLbl>
            <c:dLbl>
              <c:idx val="8"/>
              <c:layout>
                <c:manualLayout>
                  <c:x val="-2.3910829108556263E-2"/>
                  <c:y val="-3.017936739075118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8E61-4F7E-9851-49C6ABE5B54C}"/>
                </c:ext>
              </c:extLst>
            </c:dLbl>
            <c:dLbl>
              <c:idx val="9"/>
              <c:layout>
                <c:manualLayout>
                  <c:x val="-2.670455501610737E-2"/>
                  <c:y val="-3.017936739075122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8E61-4F7E-9851-49C6ABE5B54C}"/>
                </c:ext>
              </c:extLst>
            </c:dLbl>
            <c:dLbl>
              <c:idx val="10"/>
              <c:layout>
                <c:manualLayout>
                  <c:x val="-2.6704555016107471E-2"/>
                  <c:y val="-3.017936739075118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8E61-4F7E-9851-49C6ABE5B54C}"/>
                </c:ext>
              </c:extLst>
            </c:dLbl>
            <c:dLbl>
              <c:idx val="11"/>
              <c:layout>
                <c:manualLayout>
                  <c:x val="-1.9720240247229345E-2"/>
                  <c:y val="-4.630264572296943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8E61-4F7E-9851-49C6ABE5B54C}"/>
                </c:ext>
              </c:extLst>
            </c:dLbl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'2024 Overview'!$C$18:$N$18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'2024 Overview'!$C$25:$N$25</c:f>
              <c:numCache>
                <c:formatCode>_(* #,##0_);_(* \(#,##0\);_(* "-"??_);_(@_)</c:formatCode>
                <c:ptCount val="12"/>
                <c:pt idx="0">
                  <c:v>71</c:v>
                </c:pt>
                <c:pt idx="1">
                  <c:v>71</c:v>
                </c:pt>
                <c:pt idx="2">
                  <c:v>85</c:v>
                </c:pt>
                <c:pt idx="3">
                  <c:v>90</c:v>
                </c:pt>
                <c:pt idx="4">
                  <c:v>91</c:v>
                </c:pt>
                <c:pt idx="5">
                  <c:v>91</c:v>
                </c:pt>
                <c:pt idx="6">
                  <c:v>86</c:v>
                </c:pt>
                <c:pt idx="7">
                  <c:v>96</c:v>
                </c:pt>
                <c:pt idx="8">
                  <c:v>92</c:v>
                </c:pt>
                <c:pt idx="9">
                  <c:v>79</c:v>
                </c:pt>
                <c:pt idx="10">
                  <c:v>90.994295036692961</c:v>
                </c:pt>
                <c:pt idx="11">
                  <c:v>86.000705674923225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0170-4EC2-9A66-11B04703D1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7202144"/>
        <c:axId val="1727206464"/>
      </c:lineChart>
      <c:catAx>
        <c:axId val="183418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237535"/>
        <c:crosses val="autoZero"/>
        <c:auto val="1"/>
        <c:lblAlgn val="ctr"/>
        <c:lblOffset val="100"/>
        <c:noMultiLvlLbl val="0"/>
      </c:catAx>
      <c:valAx>
        <c:axId val="1908237535"/>
        <c:scaling>
          <c:orientation val="minMax"/>
        </c:scaling>
        <c:delete val="0"/>
        <c:axPos val="l"/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418911"/>
        <c:crosses val="autoZero"/>
        <c:crossBetween val="between"/>
      </c:valAx>
      <c:valAx>
        <c:axId val="1727206464"/>
        <c:scaling>
          <c:orientation val="minMax"/>
        </c:scaling>
        <c:delete val="0"/>
        <c:axPos val="r"/>
        <c:numFmt formatCode="_(* #,##0_);_(* \(#,##0\);_(* &quot;-&quot;??_);_(@_)" sourceLinked="1"/>
        <c:majorTickMark val="out"/>
        <c:minorTickMark val="none"/>
        <c:tickLblPos val="nextTo"/>
        <c:crossAx val="1727202144"/>
        <c:crosses val="max"/>
        <c:crossBetween val="between"/>
      </c:valAx>
      <c:catAx>
        <c:axId val="17272021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27206464"/>
        <c:crosses val="autoZero"/>
        <c:auto val="1"/>
        <c:lblAlgn val="ctr"/>
        <c:lblOffset val="100"/>
        <c:noMultiLvlLbl val="0"/>
      </c:cat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Cash Position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'2024 AOP (H1)'!$B$46</c:f>
              <c:strCache>
                <c:ptCount val="1"/>
                <c:pt idx="0">
                  <c:v>Total Cash Balance</c:v>
                </c:pt>
              </c:strCache>
            </c:strRef>
          </c:tx>
          <c:spPr>
            <a:solidFill>
              <a:schemeClr val="accent6"/>
            </a:solidFill>
            <a:ln w="19050">
              <a:solidFill>
                <a:schemeClr val="tx1"/>
              </a:solidFill>
            </a:ln>
            <a:effectLst/>
          </c:spPr>
          <c:cat>
            <c:strRef>
              <c:f>'2024 AOP (H1)'!$C$18:$N$18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'2024 AOP (H1)'!$C$46:$N$46</c:f>
              <c:numCache>
                <c:formatCode>_("$"* #,##0.00_);_("$"* \(#,##0.00\);_("$"* "-"??_);_(@_)</c:formatCode>
                <c:ptCount val="12"/>
                <c:pt idx="0">
                  <c:v>1022.3800000000037</c:v>
                </c:pt>
                <c:pt idx="1">
                  <c:v>1153.1399999999985</c:v>
                </c:pt>
                <c:pt idx="2">
                  <c:v>550.56999999999698</c:v>
                </c:pt>
                <c:pt idx="3">
                  <c:v>774.849999999994</c:v>
                </c:pt>
                <c:pt idx="4">
                  <c:v>1212.1799999999976</c:v>
                </c:pt>
                <c:pt idx="5">
                  <c:v>2158.3243937405741</c:v>
                </c:pt>
                <c:pt idx="6">
                  <c:v>5263.9621652695996</c:v>
                </c:pt>
                <c:pt idx="7">
                  <c:v>8588.938977702157</c:v>
                </c:pt>
                <c:pt idx="8">
                  <c:v>11271.865960325027</c:v>
                </c:pt>
                <c:pt idx="9">
                  <c:v>14970.919873636129</c:v>
                </c:pt>
                <c:pt idx="10">
                  <c:v>18681.240903366677</c:v>
                </c:pt>
                <c:pt idx="11">
                  <c:v>22179.855630785412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24-4EF5-AC8B-21AA9A71BC92}"/>
            </c:ext>
          </c:extLst>
        </c:ser>
        <c:ser>
          <c:idx val="4"/>
          <c:order val="3"/>
          <c:tx>
            <c:strRef>
              <c:f>'2024 AOP (H1)'!$B$45</c:f>
              <c:strCache>
                <c:ptCount val="1"/>
                <c:pt idx="0">
                  <c:v>Total Operating (Business) Cash Balance</c:v>
                </c:pt>
              </c:strCache>
            </c:strRef>
          </c:tx>
          <c:spPr>
            <a:solidFill>
              <a:schemeClr val="accent5"/>
            </a:solidFill>
            <a:ln w="15875">
              <a:solidFill>
                <a:schemeClr val="tx1"/>
              </a:solidFill>
            </a:ln>
            <a:effectLst/>
          </c:spPr>
          <c:cat>
            <c:strRef>
              <c:f>'2024 AOP (H1)'!$C$18:$N$18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'2024 AOP (H1)'!$C$45:$N$45</c:f>
              <c:numCache>
                <c:formatCode>_("$"* #,##0.00_);_("$"* \(#,##0.00\);_("$"* "-"??_);_(@_)</c:formatCode>
                <c:ptCount val="12"/>
                <c:pt idx="0">
                  <c:v>306.714</c:v>
                </c:pt>
                <c:pt idx="1">
                  <c:v>345.94200000000001</c:v>
                </c:pt>
                <c:pt idx="2">
                  <c:v>165.17100000000002</c:v>
                </c:pt>
                <c:pt idx="3">
                  <c:v>232.45499999999998</c:v>
                </c:pt>
                <c:pt idx="4">
                  <c:v>363.654</c:v>
                </c:pt>
                <c:pt idx="5">
                  <c:v>647.49731812217306</c:v>
                </c:pt>
                <c:pt idx="6">
                  <c:v>1579.1886495808806</c:v>
                </c:pt>
                <c:pt idx="7">
                  <c:v>2576.6816933106475</c:v>
                </c:pt>
                <c:pt idx="8">
                  <c:v>3381.5597880975088</c:v>
                </c:pt>
                <c:pt idx="9">
                  <c:v>4491.2759620908391</c:v>
                </c:pt>
                <c:pt idx="10">
                  <c:v>5604.3722710100028</c:v>
                </c:pt>
                <c:pt idx="11">
                  <c:v>6653.9566892356233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24-4EF5-AC8B-21AA9A71BC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418911"/>
        <c:axId val="1908237535"/>
      </c:areaChart>
      <c:barChart>
        <c:barDir val="col"/>
        <c:grouping val="stacked"/>
        <c:varyColors val="0"/>
        <c:ser>
          <c:idx val="1"/>
          <c:order val="1"/>
          <c:tx>
            <c:strRef>
              <c:f>'2024 AOP (H1)'!$B$47</c:f>
              <c:strCache>
                <c:ptCount val="1"/>
                <c:pt idx="0">
                  <c:v>Total Cash Inflow (Outflow)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solidFill>
                <a:srgbClr val="FF0000"/>
              </a:solidFill>
            </a:ln>
            <a:effectLst/>
          </c:spPr>
          <c:invertIfNegative val="0"/>
          <c:cat>
            <c:strRef>
              <c:f>'2024 AOP (H1)'!$C$18</c:f>
              <c:strCache>
                <c:ptCount val="1"/>
                <c:pt idx="0">
                  <c:v>January</c:v>
                </c:pt>
              </c:strCache>
            </c:strRef>
          </c:cat>
          <c:val>
            <c:numRef>
              <c:f>'2024 AOP (H1)'!$C$47:$N$47</c:f>
              <c:numCache>
                <c:formatCode>_("$"* #,##0.00_);_("$"* \(#,##0.00\);_("$"* "-"??_);_(@_)</c:formatCode>
                <c:ptCount val="12"/>
                <c:pt idx="0">
                  <c:v>-1776.5900000000011</c:v>
                </c:pt>
                <c:pt idx="1">
                  <c:v>130.75999999999476</c:v>
                </c:pt>
                <c:pt idx="2">
                  <c:v>-602.57000000000153</c:v>
                </c:pt>
                <c:pt idx="3">
                  <c:v>224.27999999999702</c:v>
                </c:pt>
                <c:pt idx="4">
                  <c:v>437.33000000000357</c:v>
                </c:pt>
                <c:pt idx="5">
                  <c:v>946.14439374057656</c:v>
                </c:pt>
                <c:pt idx="6">
                  <c:v>3105.6377715290255</c:v>
                </c:pt>
                <c:pt idx="7">
                  <c:v>3324.9768124325565</c:v>
                </c:pt>
                <c:pt idx="8">
                  <c:v>2682.9269826228701</c:v>
                </c:pt>
                <c:pt idx="9">
                  <c:v>3699.0539133111015</c:v>
                </c:pt>
                <c:pt idx="10">
                  <c:v>3710.3210297305486</c:v>
                </c:pt>
                <c:pt idx="11">
                  <c:v>3498.6147274187351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24-4EF5-AC8B-21AA9A71BC92}"/>
            </c:ext>
          </c:extLst>
        </c:ser>
        <c:ser>
          <c:idx val="3"/>
          <c:order val="2"/>
          <c:tx>
            <c:strRef>
              <c:f>'2024 AOP (H1)'!$B$22</c:f>
              <c:strCache>
                <c:ptCount val="1"/>
                <c:pt idx="0">
                  <c:v> Total Income 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solidFill>
                <a:schemeClr val="accent6"/>
              </a:solidFill>
            </a:ln>
            <a:effectLst/>
          </c:spPr>
          <c:invertIfNegative val="0"/>
          <c:cat>
            <c:numRef>
              <c:f>'2024 AOP (H1)'!$C$17</c:f>
              <c:numCache>
                <c:formatCode>General</c:formatCode>
                <c:ptCount val="1"/>
              </c:numCache>
            </c:numRef>
          </c:cat>
          <c:val>
            <c:numRef>
              <c:f>'2024 AOP (H1)'!$C$22:$N$22</c:f>
              <c:numCache>
                <c:formatCode>_("$"* #,##0_);_("$"* \(#,##0\);_("$"* "-"??_);_(@_)</c:formatCode>
                <c:ptCount val="12"/>
                <c:pt idx="0">
                  <c:v>2442.23</c:v>
                </c:pt>
                <c:pt idx="1">
                  <c:v>10158.209999999999</c:v>
                </c:pt>
                <c:pt idx="2">
                  <c:v>10241.049999999999</c:v>
                </c:pt>
                <c:pt idx="3">
                  <c:v>11520.52</c:v>
                </c:pt>
                <c:pt idx="4">
                  <c:v>10858.66</c:v>
                </c:pt>
                <c:pt idx="5">
                  <c:v>11356.388803691116</c:v>
                </c:pt>
                <c:pt idx="6">
                  <c:v>13647.359724204523</c:v>
                </c:pt>
                <c:pt idx="7">
                  <c:v>11720.168586639456</c:v>
                </c:pt>
                <c:pt idx="8">
                  <c:v>13862.046956631537</c:v>
                </c:pt>
                <c:pt idx="9">
                  <c:v>14363.050609718555</c:v>
                </c:pt>
                <c:pt idx="10">
                  <c:v>13808.853527496882</c:v>
                </c:pt>
                <c:pt idx="11">
                  <c:v>12867.677613706399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024-4EF5-AC8B-21AA9A71BC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3418911"/>
        <c:axId val="1908237535"/>
      </c:barChart>
      <c:lineChart>
        <c:grouping val="standard"/>
        <c:varyColors val="0"/>
        <c:ser>
          <c:idx val="2"/>
          <c:order val="4"/>
          <c:tx>
            <c:strRef>
              <c:f>'2024 AOP (H1)'!$B$24</c:f>
              <c:strCache>
                <c:ptCount val="1"/>
                <c:pt idx="0">
                  <c:v> MRR 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'2024 AOP (H1)'!$C$18</c:f>
              <c:strCache>
                <c:ptCount val="1"/>
                <c:pt idx="0">
                  <c:v>January</c:v>
                </c:pt>
              </c:strCache>
            </c:strRef>
          </c:cat>
          <c:val>
            <c:numRef>
              <c:f>'2024 AOP (H1)'!$C$24:$N$24</c:f>
              <c:numCache>
                <c:formatCode>_("$"* #,##0_);_("$"* \(#,##0\);_("$"* "-"??_);_(@_)</c:formatCode>
                <c:ptCount val="12"/>
                <c:pt idx="0">
                  <c:v>2115.3861574987218</c:v>
                </c:pt>
                <c:pt idx="1">
                  <c:v>7752.1692821341057</c:v>
                </c:pt>
                <c:pt idx="2">
                  <c:v>8901.5547562425691</c:v>
                </c:pt>
                <c:pt idx="3">
                  <c:v>10221.919058397465</c:v>
                </c:pt>
                <c:pt idx="4">
                  <c:v>10995.791258216446</c:v>
                </c:pt>
                <c:pt idx="5">
                  <c:v>12877.00109444147</c:v>
                </c:pt>
                <c:pt idx="6">
                  <c:v>15474.731373031105</c:v>
                </c:pt>
                <c:pt idx="7">
                  <c:v>13289.490728614519</c:v>
                </c:pt>
                <c:pt idx="8">
                  <c:v>15718.165071428846</c:v>
                </c:pt>
                <c:pt idx="9">
                  <c:v>16286.252753229937</c:v>
                </c:pt>
                <c:pt idx="10">
                  <c:v>15657.849080401716</c:v>
                </c:pt>
                <c:pt idx="11">
                  <c:v>14590.650388859667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024-4EF5-AC8B-21AA9A71BC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418911"/>
        <c:axId val="1908237535"/>
      </c:lineChart>
      <c:catAx>
        <c:axId val="183418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237535"/>
        <c:crosses val="autoZero"/>
        <c:auto val="1"/>
        <c:lblAlgn val="ctr"/>
        <c:lblOffset val="100"/>
        <c:noMultiLvlLbl val="0"/>
      </c:catAx>
      <c:valAx>
        <c:axId val="1908237535"/>
        <c:scaling>
          <c:orientation val="minMax"/>
        </c:scaling>
        <c:delete val="0"/>
        <c:axPos val="l"/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418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Rolling Forecast vs. AOP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0"/>
          <c:tx>
            <c:strRef>
              <c:f>'Quarterly Overview'!$B$45</c:f>
              <c:strCache>
                <c:ptCount val="1"/>
                <c:pt idx="0">
                  <c:v>2024 AOP Avg. MRR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val>
            <c:numRef>
              <c:f>('Quarterly Overview'!$C$45,'Quarterly Overview'!$D$45,'Quarterly Overview'!$F$45,'Quarterly Overview'!$H$45)</c:f>
              <c:numCache>
                <c:formatCode>_(* #,##0_);_(* \(#,##0\);_(* "-"??_);_(@_)</c:formatCode>
                <c:ptCount val="4"/>
                <c:pt idx="0">
                  <c:v>6256.3700652917987</c:v>
                </c:pt>
                <c:pt idx="1">
                  <c:v>11364.903803685127</c:v>
                </c:pt>
                <c:pt idx="2">
                  <c:v>13880.407732029031</c:v>
                </c:pt>
                <c:pt idx="3">
                  <c:v>15511.584074163775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1D36-4535-B6C9-B93817137972}"/>
            </c:ext>
          </c:extLst>
        </c:ser>
        <c:ser>
          <c:idx val="6"/>
          <c:order val="1"/>
          <c:tx>
            <c:v>Rolling Forecast MRR</c:v>
          </c:tx>
          <c:spPr>
            <a:solidFill>
              <a:schemeClr val="bg2">
                <a:lumMod val="9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A-191D-411B-8EFC-B5634C8DEF4F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191D-411B-8EFC-B5634C8DEF4F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C-191D-411B-8EFC-B5634C8DEF4F}"/>
              </c:ext>
            </c:extLst>
          </c:dPt>
          <c:val>
            <c:numRef>
              <c:f>('Quarterly Overview'!$C$15,'Quarterly Overview'!$D$15,'Quarterly Overview'!$F$15,'Quarterly Overview'!$H$15)</c:f>
              <c:numCache>
                <c:formatCode>_(* #,##0_);_(* \(#,##0\);_(* "-"??_);_(@_)</c:formatCode>
                <c:ptCount val="4"/>
                <c:pt idx="0">
                  <c:v>6366.7972096971234</c:v>
                </c:pt>
                <c:pt idx="1">
                  <c:v>10879.805207150695</c:v>
                </c:pt>
                <c:pt idx="2">
                  <c:v>10791.808042415936</c:v>
                </c:pt>
                <c:pt idx="3">
                  <c:v>10358.66420373789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1D36-4535-B6C9-B93817137972}"/>
            </c:ext>
          </c:extLst>
        </c:ser>
        <c:ser>
          <c:idx val="0"/>
          <c:order val="2"/>
          <c:tx>
            <c:v>2024 AOP Total Income</c:v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('Quarterly Overview'!$C$41,'Quarterly Overview'!$D$41,'Quarterly Overview'!$F$41,'Quarterly Overview'!$H$41)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('Quarterly Overview'!$C$42,'Quarterly Overview'!$D$42,'Quarterly Overview'!$F$42,'Quarterly Overview'!$H$42)</c:f>
              <c:numCache>
                <c:formatCode>_("$"* #,##0.00_);_("$"* \(#,##0.00\);_("$"* "-"??_);_(@_)</c:formatCode>
                <c:ptCount val="4"/>
                <c:pt idx="0">
                  <c:v>22841.489999999998</c:v>
                </c:pt>
                <c:pt idx="1">
                  <c:v>33735.568803691116</c:v>
                </c:pt>
                <c:pt idx="2">
                  <c:v>36723.917114535092</c:v>
                </c:pt>
                <c:pt idx="3">
                  <c:v>41039.58175092184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3B-4A8D-843B-FC625F21CFE8}"/>
            </c:ext>
          </c:extLst>
        </c:ser>
        <c:ser>
          <c:idx val="2"/>
          <c:order val="4"/>
          <c:tx>
            <c:v>Rolling Forecast Total Income</c:v>
          </c:tx>
          <c:spPr>
            <a:solidFill>
              <a:schemeClr val="bg2">
                <a:lumMod val="9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A63B-4A8D-843B-FC625F21CFE8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A63B-4A8D-843B-FC625F21CFE8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A63B-4A8D-843B-FC625F21CFE8}"/>
              </c:ext>
            </c:extLst>
          </c:dPt>
          <c:dPt>
            <c:idx val="3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A63B-4A8D-843B-FC625F21CFE8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A63B-4A8D-843B-FC625F21CFE8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A63B-4A8D-843B-FC625F21CFE8}"/>
              </c:ext>
            </c:extLst>
          </c:dPt>
          <c:cat>
            <c:strRef>
              <c:f>('Quarterly Overview'!$C$41,'Quarterly Overview'!$D$41,'Quarterly Overview'!$F$41,'Quarterly Overview'!$H$41)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('Quarterly Overview'!$C$13,'Quarterly Overview'!$D$13,'Quarterly Overview'!$F$13,'Quarterly Overview'!$H$13)</c:f>
              <c:numCache>
                <c:formatCode>_("$"* #,##0_);_("$"* \(#,##0\);_("$"* "-"??_);_(@_)</c:formatCode>
                <c:ptCount val="4"/>
                <c:pt idx="0">
                  <c:v>22867.200000000001</c:v>
                </c:pt>
                <c:pt idx="1">
                  <c:v>34604.229999999996</c:v>
                </c:pt>
                <c:pt idx="2">
                  <c:v>33342</c:v>
                </c:pt>
                <c:pt idx="3">
                  <c:v>33474.510281780262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A63B-4A8D-843B-FC625F21CF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3793967"/>
        <c:axId val="493786287"/>
      </c:barChart>
      <c:lineChart>
        <c:grouping val="standard"/>
        <c:varyColors val="0"/>
        <c:ser>
          <c:idx val="5"/>
          <c:order val="3"/>
          <c:tx>
            <c:strRef>
              <c:f>'Quarterly Overview'!$B$46</c:f>
              <c:strCache>
                <c:ptCount val="1"/>
                <c:pt idx="0">
                  <c:v>2024 AOP Avg. Client Base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4.898828541001065E-2"/>
                  <c:y val="-4.297114794352363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1D36-4535-B6C9-B93817137972}"/>
                </c:ext>
              </c:extLst>
            </c:dLbl>
            <c:dLbl>
              <c:idx val="1"/>
              <c:layout>
                <c:manualLayout>
                  <c:x val="-5.7507987220447282E-2"/>
                  <c:y val="-4.29711479435235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1D36-4535-B6C9-B93817137972}"/>
                </c:ext>
              </c:extLst>
            </c:dLbl>
            <c:dLbl>
              <c:idx val="2"/>
              <c:layout>
                <c:manualLayout>
                  <c:x val="-5.7507987220447282E-2"/>
                  <c:y val="-3.990178023327194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1D36-4535-B6C9-B93817137972}"/>
                </c:ext>
              </c:extLst>
            </c:dLbl>
            <c:dLbl>
              <c:idx val="3"/>
              <c:layout>
                <c:manualLayout>
                  <c:x val="-6.389776357827491E-2"/>
                  <c:y val="-3.683241252302031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1D36-4535-B6C9-B9381713797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('Quarterly Overview'!$C$46,'Quarterly Overview'!$D$46,'Quarterly Overview'!$F$46,'Quarterly Overview'!$H$46)</c:f>
              <c:numCache>
                <c:formatCode>_(* #,##0_);_(* \(#,##0\);_(* "-"??_);_(@_)</c:formatCode>
                <c:ptCount val="4"/>
                <c:pt idx="0">
                  <c:v>75.666666666666671</c:v>
                </c:pt>
                <c:pt idx="1">
                  <c:v>95.939865937342361</c:v>
                </c:pt>
                <c:pt idx="2">
                  <c:v>109.90686942509144</c:v>
                </c:pt>
                <c:pt idx="3">
                  <c:v>121.84431966227368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1D36-4535-B6C9-B93817137972}"/>
            </c:ext>
          </c:extLst>
        </c:ser>
        <c:ser>
          <c:idx val="7"/>
          <c:order val="5"/>
          <c:tx>
            <c:v>Rolling Forecast Recurring Client Base</c:v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28575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F-1D36-4535-B6C9-B93817137972}"/>
              </c:ext>
            </c:extLst>
          </c:dPt>
          <c:dPt>
            <c:idx val="2"/>
            <c:marker>
              <c:symbol val="none"/>
            </c:marker>
            <c:bubble3D val="0"/>
            <c:spPr>
              <a:ln w="28575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1-1D36-4535-B6C9-B93817137972}"/>
              </c:ext>
            </c:extLst>
          </c:dPt>
          <c:dLbls>
            <c:dLbl>
              <c:idx val="0"/>
              <c:layout>
                <c:manualLayout>
                  <c:x val="-5.7507987220447282E-2"/>
                  <c:y val="2.762430939226519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1D36-4535-B6C9-B93817137972}"/>
                </c:ext>
              </c:extLst>
            </c:dLbl>
            <c:dLbl>
              <c:idx val="1"/>
              <c:layout>
                <c:manualLayout>
                  <c:x val="-4.472843450479233E-2"/>
                  <c:y val="3.683241252302014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1D36-4535-B6C9-B93817137972}"/>
                </c:ext>
              </c:extLst>
            </c:dLbl>
            <c:dLbl>
              <c:idx val="2"/>
              <c:layout>
                <c:manualLayout>
                  <c:x val="-4.898828541001065E-2"/>
                  <c:y val="3.99017802332718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1D36-4535-B6C9-B93817137972}"/>
                </c:ext>
              </c:extLst>
            </c:dLbl>
            <c:dLbl>
              <c:idx val="3"/>
              <c:layout>
                <c:manualLayout>
                  <c:x val="-5.3248136315229122E-2"/>
                  <c:y val="5.524861878453038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1D36-4535-B6C9-B9381713797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('Quarterly Overview'!$C$16,'Quarterly Overview'!$D$16,'Quarterly Overview'!$F$16,'Quarterly Overview'!$H$16)</c:f>
              <c:numCache>
                <c:formatCode>_(* #,##0_);_(* \(#,##0\);_(* "-"??_);_(@_)</c:formatCode>
                <c:ptCount val="4"/>
                <c:pt idx="0">
                  <c:v>75.666666666666671</c:v>
                </c:pt>
                <c:pt idx="1">
                  <c:v>90.666666666666671</c:v>
                </c:pt>
                <c:pt idx="2">
                  <c:v>91.333333333333329</c:v>
                </c:pt>
                <c:pt idx="3">
                  <c:v>85.331666903872062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1D36-4535-B6C9-B93817137972}"/>
            </c:ext>
          </c:extLst>
        </c:ser>
        <c:ser>
          <c:idx val="1"/>
          <c:order val="6"/>
          <c:tx>
            <c:v>2024 AOP # of Appointments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4.472843450479233E-2"/>
                  <c:y val="-2.836879432624116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A63B-4A8D-843B-FC625F21CFE8}"/>
                </c:ext>
              </c:extLst>
            </c:dLbl>
            <c:dLbl>
              <c:idx val="1"/>
              <c:layout>
                <c:manualLayout>
                  <c:x val="-5.4462381432622109E-2"/>
                  <c:y val="-8.156127398547827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A63B-4A8D-843B-FC625F21CFE8}"/>
                </c:ext>
              </c:extLst>
            </c:dLbl>
            <c:dLbl>
              <c:idx val="2"/>
              <c:layout>
                <c:manualLayout>
                  <c:x val="-2.9823769627259609E-2"/>
                  <c:y val="-2.63971254348769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A63B-4A8D-843B-FC625F21CFE8}"/>
                </c:ext>
              </c:extLst>
            </c:dLbl>
            <c:dLbl>
              <c:idx val="3"/>
              <c:layout>
                <c:manualLayout>
                  <c:x val="-2.5616394492475339E-2"/>
                  <c:y val="-3.32343044633409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1D36-4535-B6C9-B9381713797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('Quarterly Overview'!$C$41,'Quarterly Overview'!$D$41,'Quarterly Overview'!$F$41,'Quarterly Overview'!$H$41)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('Quarterly Overview'!$C$44,'Quarterly Overview'!$D$44,'Quarterly Overview'!$F$44,'Quarterly Overview'!$H$44)</c:f>
              <c:numCache>
                <c:formatCode>_(* #,##0_);_(* \(#,##0\);_(* "-"??_);_(@_)</c:formatCode>
                <c:ptCount val="4"/>
                <c:pt idx="0">
                  <c:v>191.66666666666666</c:v>
                </c:pt>
                <c:pt idx="1">
                  <c:v>231.20001660824138</c:v>
                </c:pt>
                <c:pt idx="2">
                  <c:v>290.76768132254853</c:v>
                </c:pt>
                <c:pt idx="3">
                  <c:v>322.34918978080287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A63B-4A8D-843B-FC625F21CFE8}"/>
            </c:ext>
          </c:extLst>
        </c:ser>
        <c:ser>
          <c:idx val="3"/>
          <c:order val="7"/>
          <c:tx>
            <c:v>Rolling Forecast # of Appointments</c:v>
          </c:tx>
          <c:spPr>
            <a:ln w="28575" cap="rnd">
              <a:solidFill>
                <a:schemeClr val="bg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28575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3-A63B-4A8D-843B-FC625F21CFE8}"/>
              </c:ext>
            </c:extLst>
          </c:dPt>
          <c:dPt>
            <c:idx val="2"/>
            <c:marker>
              <c:symbol val="none"/>
            </c:marker>
            <c:bubble3D val="0"/>
            <c:spPr>
              <a:ln w="28575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5-A63B-4A8D-843B-FC625F21CFE8}"/>
              </c:ext>
            </c:extLst>
          </c:dPt>
          <c:dPt>
            <c:idx val="3"/>
            <c:marker>
              <c:symbol val="none"/>
            </c:marker>
            <c:bubble3D val="0"/>
            <c:spPr>
              <a:ln w="28575" cap="rnd">
                <a:solidFill>
                  <a:schemeClr val="bg2">
                    <a:lumMod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7-A63B-4A8D-843B-FC625F21CFE8}"/>
              </c:ext>
            </c:extLst>
          </c:dPt>
          <c:dPt>
            <c:idx val="4"/>
            <c:marker>
              <c:symbol val="none"/>
            </c:marker>
            <c:bubble3D val="0"/>
            <c:spPr>
              <a:ln w="28575" cap="rnd">
                <a:solidFill>
                  <a:schemeClr val="bg2">
                    <a:lumMod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9-A63B-4A8D-843B-FC625F21CFE8}"/>
              </c:ext>
            </c:extLst>
          </c:dPt>
          <c:dPt>
            <c:idx val="5"/>
            <c:marker>
              <c:symbol val="none"/>
            </c:marker>
            <c:bubble3D val="0"/>
            <c:spPr>
              <a:ln w="28575" cap="rnd">
                <a:solidFill>
                  <a:schemeClr val="bg2">
                    <a:lumMod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B-A63B-4A8D-843B-FC625F21CFE8}"/>
              </c:ext>
            </c:extLst>
          </c:dPt>
          <c:dLbls>
            <c:dLbl>
              <c:idx val="0"/>
              <c:layout>
                <c:manualLayout>
                  <c:x val="-1.2715819613457448E-2"/>
                  <c:y val="2.680108775779909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A63B-4A8D-843B-FC625F21CFE8}"/>
                </c:ext>
              </c:extLst>
            </c:dLbl>
            <c:dLbl>
              <c:idx val="1"/>
              <c:layout>
                <c:manualLayout>
                  <c:x val="-5.5378061767838126E-2"/>
                  <c:y val="4.065244606855082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A63B-4A8D-843B-FC625F21CFE8}"/>
                </c:ext>
              </c:extLst>
            </c:dLbl>
            <c:dLbl>
              <c:idx val="2"/>
              <c:layout>
                <c:manualLayout>
                  <c:x val="-5.3648549483489877E-2"/>
                  <c:y val="3.945316391648423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A63B-4A8D-843B-FC625F21CFE8}"/>
                </c:ext>
              </c:extLst>
            </c:dLbl>
            <c:dLbl>
              <c:idx val="3"/>
              <c:layout>
                <c:manualLayout>
                  <c:x val="-4.7471347797375649E-2"/>
                  <c:y val="3.612531596841540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A63B-4A8D-843B-FC625F21CFE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('Quarterly Overview'!$C$41,'Quarterly Overview'!$D$41,'Quarterly Overview'!$F$41,'Quarterly Overview'!$H$41)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('Quarterly Overview'!$C$14,'Quarterly Overview'!$D$14,'Quarterly Overview'!$F$14,'Quarterly Overview'!$H$14)</c:f>
              <c:numCache>
                <c:formatCode>_(* #,##0_);_(* \(#,##0\);_(* "-"??_);_(@_)</c:formatCode>
                <c:ptCount val="4"/>
                <c:pt idx="0">
                  <c:v>191.66666666666666</c:v>
                </c:pt>
                <c:pt idx="1">
                  <c:v>214</c:v>
                </c:pt>
                <c:pt idx="2">
                  <c:v>224.33333333333334</c:v>
                </c:pt>
                <c:pt idx="3">
                  <c:v>227.0433335206807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A63B-4A8D-843B-FC625F21CF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3798287"/>
        <c:axId val="493784847"/>
      </c:lineChart>
      <c:catAx>
        <c:axId val="493793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786287"/>
        <c:crosses val="autoZero"/>
        <c:auto val="1"/>
        <c:lblAlgn val="ctr"/>
        <c:lblOffset val="100"/>
        <c:noMultiLvlLbl val="0"/>
      </c:catAx>
      <c:valAx>
        <c:axId val="493786287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793967"/>
        <c:crosses val="autoZero"/>
        <c:crossBetween val="between"/>
      </c:valAx>
      <c:valAx>
        <c:axId val="493784847"/>
        <c:scaling>
          <c:orientation val="minMax"/>
        </c:scaling>
        <c:delete val="0"/>
        <c:axPos val="r"/>
        <c:numFmt formatCode="_(* #,##0_);_(* \(#,##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798287"/>
        <c:crosses val="max"/>
        <c:crossBetween val="between"/>
      </c:valAx>
      <c:catAx>
        <c:axId val="49379828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9378484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2024</a:t>
            </a:r>
            <a:r>
              <a:rPr lang="en-US" baseline="0"/>
              <a:t> </a:t>
            </a:r>
            <a:r>
              <a:rPr lang="en-US"/>
              <a:t>Rolling</a:t>
            </a:r>
            <a:r>
              <a:rPr lang="en-US" baseline="0"/>
              <a:t> </a:t>
            </a:r>
            <a:r>
              <a:rPr lang="en-US"/>
              <a:t>Forecast </a:t>
            </a:r>
            <a:r>
              <a:rPr lang="en-US" baseline="0"/>
              <a:t> - Recurring Client Base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Rolling Forecast - Net Operating Income</c:v>
          </c:tx>
          <c:spPr>
            <a:solidFill>
              <a:schemeClr val="tx1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E-4CA8-4140-88B3-1F1BB06B75B0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4CA8-4140-88B3-1F1BB06B75B0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0-4CA8-4140-88B3-1F1BB06B75B0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4CA8-4140-88B3-1F1BB06B75B0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2-4CA8-4140-88B3-1F1BB06B75B0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4CA8-4140-88B3-1F1BB06B75B0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4473-4EDB-90C0-15EA3C4F4F0C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4FC1-4C7C-B0A1-EA08560A96F4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751C-4C2D-B739-BAB244F2680E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6-E5D2-4FBD-B9CF-2E34AA9F4D3F}"/>
              </c:ext>
            </c:extLst>
          </c:dPt>
          <c:val>
            <c:numRef>
              <c:f>'2024 Overview'!$C$38:$N$38</c:f>
              <c:numCache>
                <c:formatCode>_("$"* #,##0_);_("$"* \(#,##0\);_("$"* "-"??_);_(@_)</c:formatCode>
                <c:ptCount val="12"/>
                <c:pt idx="0">
                  <c:v>5161.95</c:v>
                </c:pt>
                <c:pt idx="1">
                  <c:v>5593.24</c:v>
                </c:pt>
                <c:pt idx="2">
                  <c:v>8721.89</c:v>
                </c:pt>
                <c:pt idx="3">
                  <c:v>9733.06</c:v>
                </c:pt>
                <c:pt idx="4">
                  <c:v>9649.1699999999983</c:v>
                </c:pt>
                <c:pt idx="5">
                  <c:v>10519.93</c:v>
                </c:pt>
                <c:pt idx="6">
                  <c:v>8690.36</c:v>
                </c:pt>
                <c:pt idx="7">
                  <c:v>8902.25</c:v>
                </c:pt>
                <c:pt idx="8">
                  <c:v>5789.0199999999995</c:v>
                </c:pt>
                <c:pt idx="9">
                  <c:v>7794.08</c:v>
                </c:pt>
                <c:pt idx="10">
                  <c:v>7091.239829581451</c:v>
                </c:pt>
                <c:pt idx="11">
                  <c:v>8485.287462097358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A8-4140-88B3-1F1BB06B75B0}"/>
            </c:ext>
          </c:extLst>
        </c:ser>
        <c:ser>
          <c:idx val="2"/>
          <c:order val="1"/>
          <c:tx>
            <c:v>Rolling Forecast MRR</c:v>
          </c:tx>
          <c:spPr>
            <a:solidFill>
              <a:schemeClr val="bg2">
                <a:lumMod val="9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4CA8-4140-88B3-1F1BB06B75B0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4CA8-4140-88B3-1F1BB06B75B0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4CA8-4140-88B3-1F1BB06B75B0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4CA8-4140-88B3-1F1BB06B75B0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4CA8-4140-88B3-1F1BB06B75B0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4CA8-4140-88B3-1F1BB06B75B0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2-4473-4EDB-90C0-15EA3C4F4F0C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8-4FC1-4C7C-B0A1-EA08560A96F4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E-751C-4C2D-B739-BAB244F2680E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E5D2-4FBD-B9CF-2E34AA9F4D3F}"/>
              </c:ext>
            </c:extLst>
          </c:dPt>
          <c:cat>
            <c:strLit>
              <c:ptCount val="12"/>
              <c:pt idx="0">
                <c:v>January</c:v>
              </c:pt>
              <c:pt idx="1">
                <c:v>February</c:v>
              </c:pt>
              <c:pt idx="2">
                <c:v>March</c:v>
              </c:pt>
              <c:pt idx="3">
                <c:v>April</c:v>
              </c:pt>
              <c:pt idx="4">
                <c:v>May</c:v>
              </c:pt>
              <c:pt idx="5">
                <c:v>June</c:v>
              </c:pt>
              <c:pt idx="6">
                <c:v>July</c:v>
              </c:pt>
              <c:pt idx="7">
                <c:v>August</c:v>
              </c:pt>
              <c:pt idx="8">
                <c:v>September</c:v>
              </c:pt>
              <c:pt idx="9">
                <c:v>October</c:v>
              </c:pt>
              <c:pt idx="10">
                <c:v>November</c:v>
              </c:pt>
              <c:pt idx="11">
                <c:v>December</c:v>
              </c:pt>
            </c:strLit>
          </c:cat>
          <c:val>
            <c:numRef>
              <c:f>'2024 Overview'!$C$24:$N$24</c:f>
              <c:numCache>
                <c:formatCode>_("$"* #,##0_);_("$"* \(#,##0\);_("$"* "-"??_);_(@_)</c:formatCode>
                <c:ptCount val="12"/>
                <c:pt idx="0">
                  <c:v>4731.3059251954119</c:v>
                </c:pt>
                <c:pt idx="1">
                  <c:v>5463.3500796391181</c:v>
                </c:pt>
                <c:pt idx="2">
                  <c:v>8905.7356242568385</c:v>
                </c:pt>
                <c:pt idx="3">
                  <c:v>10218.068266183795</c:v>
                </c:pt>
                <c:pt idx="4">
                  <c:v>10996.368456601624</c:v>
                </c:pt>
                <c:pt idx="5">
                  <c:v>11424.978898666666</c:v>
                </c:pt>
                <c:pt idx="6">
                  <c:v>10843.709176205668</c:v>
                </c:pt>
                <c:pt idx="7">
                  <c:v>11778.181068162145</c:v>
                </c:pt>
                <c:pt idx="8">
                  <c:v>9753.5338828799977</c:v>
                </c:pt>
                <c:pt idx="9">
                  <c:v>10385.246551570508</c:v>
                </c:pt>
                <c:pt idx="10">
                  <c:v>9084.3472626035327</c:v>
                </c:pt>
                <c:pt idx="11">
                  <c:v>11606.398797039628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4CA8-4140-88B3-1F1BB06B75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3793967"/>
        <c:axId val="493786287"/>
      </c:barChart>
      <c:lineChart>
        <c:grouping val="standard"/>
        <c:varyColors val="0"/>
        <c:ser>
          <c:idx val="3"/>
          <c:order val="2"/>
          <c:tx>
            <c:v>Rolling Forecast # of Recurring Client Base</c:v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28575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F-4CA8-4140-88B3-1F1BB06B75B0}"/>
              </c:ext>
            </c:extLst>
          </c:dPt>
          <c:dPt>
            <c:idx val="2"/>
            <c:marker>
              <c:symbol val="none"/>
            </c:marker>
            <c:bubble3D val="0"/>
            <c:spPr>
              <a:ln w="28575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1-4CA8-4140-88B3-1F1BB06B75B0}"/>
              </c:ext>
            </c:extLst>
          </c:dPt>
          <c:dPt>
            <c:idx val="3"/>
            <c:marker>
              <c:symbol val="none"/>
            </c:marker>
            <c:bubble3D val="0"/>
            <c:spPr>
              <a:ln w="28575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3-4CA8-4140-88B3-1F1BB06B75B0}"/>
              </c:ext>
            </c:extLst>
          </c:dPt>
          <c:dPt>
            <c:idx val="4"/>
            <c:marker>
              <c:symbol val="none"/>
            </c:marker>
            <c:bubble3D val="0"/>
            <c:spPr>
              <a:ln w="28575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5-4CA8-4140-88B3-1F1BB06B75B0}"/>
              </c:ext>
            </c:extLst>
          </c:dPt>
          <c:dPt>
            <c:idx val="5"/>
            <c:marker>
              <c:symbol val="none"/>
            </c:marker>
            <c:bubble3D val="0"/>
            <c:spPr>
              <a:ln w="28575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7-4CA8-4140-88B3-1F1BB06B75B0}"/>
              </c:ext>
            </c:extLst>
          </c:dPt>
          <c:dPt>
            <c:idx val="6"/>
            <c:marker>
              <c:symbol val="none"/>
            </c:marker>
            <c:bubble3D val="0"/>
            <c:spPr>
              <a:ln w="28575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A-4CA8-4140-88B3-1F1BB06B75B0}"/>
              </c:ext>
            </c:extLst>
          </c:dPt>
          <c:dPt>
            <c:idx val="7"/>
            <c:marker>
              <c:symbol val="none"/>
            </c:marker>
            <c:bubble3D val="0"/>
            <c:spPr>
              <a:ln w="28575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A-4FC1-4C7C-B0A1-EA08560A96F4}"/>
              </c:ext>
            </c:extLst>
          </c:dPt>
          <c:dPt>
            <c:idx val="8"/>
            <c:marker>
              <c:symbol val="none"/>
            </c:marker>
            <c:bubble3D val="0"/>
            <c:spPr>
              <a:ln w="28575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B-4CA8-4140-88B3-1F1BB06B75B0}"/>
              </c:ext>
            </c:extLst>
          </c:dPt>
          <c:dPt>
            <c:idx val="9"/>
            <c:marker>
              <c:symbol val="none"/>
            </c:marker>
            <c:bubble3D val="0"/>
            <c:spPr>
              <a:ln w="28575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4-E5D2-4FBD-B9CF-2E34AA9F4D3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2"/>
              <c:pt idx="0">
                <c:v>January</c:v>
              </c:pt>
              <c:pt idx="1">
                <c:v>February</c:v>
              </c:pt>
              <c:pt idx="2">
                <c:v>March</c:v>
              </c:pt>
              <c:pt idx="3">
                <c:v>April</c:v>
              </c:pt>
              <c:pt idx="4">
                <c:v>May</c:v>
              </c:pt>
              <c:pt idx="5">
                <c:v>June</c:v>
              </c:pt>
              <c:pt idx="6">
                <c:v>July</c:v>
              </c:pt>
              <c:pt idx="7">
                <c:v>August</c:v>
              </c:pt>
              <c:pt idx="8">
                <c:v>September</c:v>
              </c:pt>
              <c:pt idx="9">
                <c:v>October</c:v>
              </c:pt>
              <c:pt idx="10">
                <c:v>November</c:v>
              </c:pt>
              <c:pt idx="11">
                <c:v>December</c:v>
              </c:pt>
            </c:strLit>
          </c:cat>
          <c:val>
            <c:numRef>
              <c:f>'2024 Overview'!$C$25:$N$25</c:f>
              <c:numCache>
                <c:formatCode>_(* #,##0_);_(* \(#,##0\);_(* "-"??_);_(@_)</c:formatCode>
                <c:ptCount val="12"/>
                <c:pt idx="0">
                  <c:v>71</c:v>
                </c:pt>
                <c:pt idx="1">
                  <c:v>71</c:v>
                </c:pt>
                <c:pt idx="2">
                  <c:v>85</c:v>
                </c:pt>
                <c:pt idx="3">
                  <c:v>90</c:v>
                </c:pt>
                <c:pt idx="4">
                  <c:v>91</c:v>
                </c:pt>
                <c:pt idx="5">
                  <c:v>91</c:v>
                </c:pt>
                <c:pt idx="6">
                  <c:v>86</c:v>
                </c:pt>
                <c:pt idx="7">
                  <c:v>96</c:v>
                </c:pt>
                <c:pt idx="8">
                  <c:v>92</c:v>
                </c:pt>
                <c:pt idx="9">
                  <c:v>79</c:v>
                </c:pt>
                <c:pt idx="10">
                  <c:v>90.994295036692961</c:v>
                </c:pt>
                <c:pt idx="11">
                  <c:v>86.000705674923225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4CA8-4140-88B3-1F1BB06B75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3798287"/>
        <c:axId val="493784847"/>
      </c:lineChart>
      <c:catAx>
        <c:axId val="493793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786287"/>
        <c:crosses val="autoZero"/>
        <c:auto val="1"/>
        <c:lblAlgn val="ctr"/>
        <c:lblOffset val="100"/>
        <c:noMultiLvlLbl val="0"/>
      </c:catAx>
      <c:valAx>
        <c:axId val="493786287"/>
        <c:scaling>
          <c:orientation val="minMax"/>
        </c:scaling>
        <c:delete val="0"/>
        <c:axPos val="l"/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793967"/>
        <c:crosses val="autoZero"/>
        <c:crossBetween val="between"/>
      </c:valAx>
      <c:valAx>
        <c:axId val="493784847"/>
        <c:scaling>
          <c:orientation val="minMax"/>
        </c:scaling>
        <c:delete val="0"/>
        <c:axPos val="r"/>
        <c:numFmt formatCode="_(* #,##0_);_(* \(#,##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798287"/>
        <c:crosses val="max"/>
        <c:crossBetween val="between"/>
      </c:valAx>
      <c:catAx>
        <c:axId val="49379828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9378484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Rolling</a:t>
            </a:r>
            <a:r>
              <a:rPr lang="en-US" baseline="0"/>
              <a:t> </a:t>
            </a:r>
            <a:r>
              <a:rPr lang="en-US"/>
              <a:t>Forecast vs</a:t>
            </a:r>
            <a:r>
              <a:rPr lang="en-US" baseline="0"/>
              <a:t> AOP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2024 AOP Total Income</c:v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Lit>
              <c:ptCount val="12"/>
              <c:pt idx="0">
                <c:v>January</c:v>
              </c:pt>
              <c:pt idx="1">
                <c:v>February</c:v>
              </c:pt>
              <c:pt idx="2">
                <c:v>March</c:v>
              </c:pt>
              <c:pt idx="3">
                <c:v>April</c:v>
              </c:pt>
              <c:pt idx="4">
                <c:v>May</c:v>
              </c:pt>
              <c:pt idx="5">
                <c:v>June</c:v>
              </c:pt>
              <c:pt idx="6">
                <c:v>July</c:v>
              </c:pt>
              <c:pt idx="7">
                <c:v>August</c:v>
              </c:pt>
              <c:pt idx="8">
                <c:v>September</c:v>
              </c:pt>
              <c:pt idx="9">
                <c:v>October</c:v>
              </c:pt>
              <c:pt idx="10">
                <c:v>November</c:v>
              </c:pt>
              <c:pt idx="11">
                <c:v>December</c:v>
              </c:pt>
            </c:strLit>
          </c:cat>
          <c:val>
            <c:numRef>
              <c:f>'2024 AOP (H1)'!$C$22:$N$22</c:f>
              <c:numCache>
                <c:formatCode>_("$"* #,##0_);_("$"* \(#,##0\);_("$"* "-"??_);_(@_)</c:formatCode>
                <c:ptCount val="12"/>
                <c:pt idx="0">
                  <c:v>2442.23</c:v>
                </c:pt>
                <c:pt idx="1">
                  <c:v>10158.209999999999</c:v>
                </c:pt>
                <c:pt idx="2">
                  <c:v>10241.049999999999</c:v>
                </c:pt>
                <c:pt idx="3">
                  <c:v>11520.52</c:v>
                </c:pt>
                <c:pt idx="4">
                  <c:v>10858.66</c:v>
                </c:pt>
                <c:pt idx="5">
                  <c:v>11356.388803691116</c:v>
                </c:pt>
                <c:pt idx="6">
                  <c:v>13647.359724204523</c:v>
                </c:pt>
                <c:pt idx="7">
                  <c:v>11720.168586639456</c:v>
                </c:pt>
                <c:pt idx="8">
                  <c:v>13862.046956631537</c:v>
                </c:pt>
                <c:pt idx="9">
                  <c:v>14363.050609718555</c:v>
                </c:pt>
                <c:pt idx="10">
                  <c:v>13808.853527496882</c:v>
                </c:pt>
                <c:pt idx="11">
                  <c:v>12867.677613706399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43-4728-9844-9D192346A726}"/>
            </c:ext>
          </c:extLst>
        </c:ser>
        <c:ser>
          <c:idx val="2"/>
          <c:order val="2"/>
          <c:tx>
            <c:v>Rolling Forecast Total Income</c:v>
          </c:tx>
          <c:spPr>
            <a:solidFill>
              <a:schemeClr val="bg2">
                <a:lumMod val="9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3143-4728-9844-9D192346A726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3143-4728-9844-9D192346A726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3143-4728-9844-9D192346A726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3143-4728-9844-9D192346A726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3143-4728-9844-9D192346A726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3143-4728-9844-9D192346A726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7436-46D6-92A6-84480C33C493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7B74-4BD9-AAC7-A71445C4455A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E-C723-4749-A60B-A9298A100E24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2-7E95-4DAA-AB2A-549DA22C0020}"/>
              </c:ext>
            </c:extLst>
          </c:dPt>
          <c:cat>
            <c:strLit>
              <c:ptCount val="12"/>
              <c:pt idx="0">
                <c:v>January</c:v>
              </c:pt>
              <c:pt idx="1">
                <c:v>February</c:v>
              </c:pt>
              <c:pt idx="2">
                <c:v>March</c:v>
              </c:pt>
              <c:pt idx="3">
                <c:v>April</c:v>
              </c:pt>
              <c:pt idx="4">
                <c:v>May</c:v>
              </c:pt>
              <c:pt idx="5">
                <c:v>June</c:v>
              </c:pt>
              <c:pt idx="6">
                <c:v>July</c:v>
              </c:pt>
              <c:pt idx="7">
                <c:v>August</c:v>
              </c:pt>
              <c:pt idx="8">
                <c:v>September</c:v>
              </c:pt>
              <c:pt idx="9">
                <c:v>October</c:v>
              </c:pt>
              <c:pt idx="10">
                <c:v>November</c:v>
              </c:pt>
              <c:pt idx="11">
                <c:v>December</c:v>
              </c:pt>
            </c:strLit>
          </c:cat>
          <c:val>
            <c:numRef>
              <c:f>'2024 Overview'!$C$22:$N$22</c:f>
              <c:numCache>
                <c:formatCode>_("$"* #,##0_);_("$"* \(#,##0\);_("$"* "-"??_);_(@_)</c:formatCode>
                <c:ptCount val="12"/>
                <c:pt idx="0">
                  <c:v>5462.33</c:v>
                </c:pt>
                <c:pt idx="1">
                  <c:v>7159.01</c:v>
                </c:pt>
                <c:pt idx="2">
                  <c:v>10245.86</c:v>
                </c:pt>
                <c:pt idx="3">
                  <c:v>11516.18</c:v>
                </c:pt>
                <c:pt idx="4">
                  <c:v>10859.23</c:v>
                </c:pt>
                <c:pt idx="5">
                  <c:v>12228.82</c:v>
                </c:pt>
                <c:pt idx="6">
                  <c:v>12216.94</c:v>
                </c:pt>
                <c:pt idx="7">
                  <c:v>12073.09</c:v>
                </c:pt>
                <c:pt idx="8">
                  <c:v>9051.9699999999993</c:v>
                </c:pt>
                <c:pt idx="9">
                  <c:v>11082.04</c:v>
                </c:pt>
                <c:pt idx="10">
                  <c:v>10409.198876581397</c:v>
                </c:pt>
                <c:pt idx="11">
                  <c:v>11983.271405198868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3143-4728-9844-9D192346A7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3793967"/>
        <c:axId val="493786287"/>
      </c:barChart>
      <c:lineChart>
        <c:grouping val="standard"/>
        <c:varyColors val="0"/>
        <c:ser>
          <c:idx val="1"/>
          <c:order val="1"/>
          <c:tx>
            <c:v>2024 AOP # of Clients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January</c:v>
              </c:pt>
              <c:pt idx="1">
                <c:v>February</c:v>
              </c:pt>
              <c:pt idx="2">
                <c:v>March</c:v>
              </c:pt>
              <c:pt idx="3">
                <c:v>April</c:v>
              </c:pt>
              <c:pt idx="4">
                <c:v>May</c:v>
              </c:pt>
              <c:pt idx="5">
                <c:v>June</c:v>
              </c:pt>
              <c:pt idx="6">
                <c:v>July</c:v>
              </c:pt>
              <c:pt idx="7">
                <c:v>August</c:v>
              </c:pt>
              <c:pt idx="8">
                <c:v>September</c:v>
              </c:pt>
              <c:pt idx="9">
                <c:v>October</c:v>
              </c:pt>
              <c:pt idx="10">
                <c:v>November</c:v>
              </c:pt>
              <c:pt idx="11">
                <c:v>December</c:v>
              </c:pt>
            </c:strLit>
          </c:cat>
          <c:val>
            <c:numRef>
              <c:f>'2024 AOP (H1)'!$C$23:$N$23</c:f>
              <c:numCache>
                <c:formatCode>_(* #,##0_);_(* \(#,##0\);_(* "-"??_);_(@_)</c:formatCode>
                <c:ptCount val="12"/>
                <c:pt idx="0">
                  <c:v>167</c:v>
                </c:pt>
                <c:pt idx="1">
                  <c:v>193</c:v>
                </c:pt>
                <c:pt idx="2">
                  <c:v>215</c:v>
                </c:pt>
                <c:pt idx="3">
                  <c:v>196</c:v>
                </c:pt>
                <c:pt idx="4">
                  <c:v>215</c:v>
                </c:pt>
                <c:pt idx="5">
                  <c:v>282.60004982472412</c:v>
                </c:pt>
                <c:pt idx="6">
                  <c:v>308.73647061776217</c:v>
                </c:pt>
                <c:pt idx="7">
                  <c:v>280.96652352515923</c:v>
                </c:pt>
                <c:pt idx="8">
                  <c:v>305.46941801863244</c:v>
                </c:pt>
                <c:pt idx="9">
                  <c:v>323.43820731384608</c:v>
                </c:pt>
                <c:pt idx="10">
                  <c:v>336.50641771036516</c:v>
                </c:pt>
                <c:pt idx="11">
                  <c:v>307.10294431819733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3143-4728-9844-9D192346A726}"/>
            </c:ext>
          </c:extLst>
        </c:ser>
        <c:ser>
          <c:idx val="3"/>
          <c:order val="3"/>
          <c:tx>
            <c:v>Rolling Forecast # of Clients</c:v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28575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0-3143-4728-9844-9D192346A726}"/>
              </c:ext>
            </c:extLst>
          </c:dPt>
          <c:dPt>
            <c:idx val="2"/>
            <c:marker>
              <c:symbol val="none"/>
            </c:marker>
            <c:bubble3D val="0"/>
            <c:spPr>
              <a:ln w="28575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2-3143-4728-9844-9D192346A726}"/>
              </c:ext>
            </c:extLst>
          </c:dPt>
          <c:dPt>
            <c:idx val="3"/>
            <c:marker>
              <c:symbol val="none"/>
            </c:marker>
            <c:bubble3D val="0"/>
            <c:spPr>
              <a:ln w="28575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4-3143-4728-9844-9D192346A726}"/>
              </c:ext>
            </c:extLst>
          </c:dPt>
          <c:dPt>
            <c:idx val="4"/>
            <c:marker>
              <c:symbol val="none"/>
            </c:marker>
            <c:bubble3D val="0"/>
            <c:spPr>
              <a:ln w="28575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6-3143-4728-9844-9D192346A726}"/>
              </c:ext>
            </c:extLst>
          </c:dPt>
          <c:dPt>
            <c:idx val="5"/>
            <c:marker>
              <c:symbol val="none"/>
            </c:marker>
            <c:bubble3D val="0"/>
            <c:spPr>
              <a:ln w="28575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8-3143-4728-9844-9D192346A726}"/>
              </c:ext>
            </c:extLst>
          </c:dPt>
          <c:dPt>
            <c:idx val="6"/>
            <c:marker>
              <c:symbol val="none"/>
            </c:marker>
            <c:bubble3D val="0"/>
            <c:spPr>
              <a:ln w="28575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7-7436-46D6-92A6-84480C33C493}"/>
              </c:ext>
            </c:extLst>
          </c:dPt>
          <c:dPt>
            <c:idx val="7"/>
            <c:marker>
              <c:symbol val="none"/>
            </c:marker>
            <c:bubble3D val="0"/>
            <c:spPr>
              <a:ln w="28575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A-7B74-4BD9-AAC7-A71445C4455A}"/>
              </c:ext>
            </c:extLst>
          </c:dPt>
          <c:dPt>
            <c:idx val="8"/>
            <c:marker>
              <c:symbol val="none"/>
            </c:marker>
            <c:bubble3D val="0"/>
            <c:spPr>
              <a:ln w="28575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F-C723-4749-A60B-A9298A100E24}"/>
              </c:ext>
            </c:extLst>
          </c:dPt>
          <c:dPt>
            <c:idx val="9"/>
            <c:marker>
              <c:symbol val="none"/>
            </c:marker>
            <c:bubble3D val="0"/>
            <c:spPr>
              <a:ln w="28575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3-7E95-4DAA-AB2A-549DA22C0020}"/>
              </c:ext>
            </c:extLst>
          </c:dPt>
          <c:cat>
            <c:strLit>
              <c:ptCount val="12"/>
              <c:pt idx="0">
                <c:v>January</c:v>
              </c:pt>
              <c:pt idx="1">
                <c:v>February</c:v>
              </c:pt>
              <c:pt idx="2">
                <c:v>March</c:v>
              </c:pt>
              <c:pt idx="3">
                <c:v>April</c:v>
              </c:pt>
              <c:pt idx="4">
                <c:v>May</c:v>
              </c:pt>
              <c:pt idx="5">
                <c:v>June</c:v>
              </c:pt>
              <c:pt idx="6">
                <c:v>July</c:v>
              </c:pt>
              <c:pt idx="7">
                <c:v>August</c:v>
              </c:pt>
              <c:pt idx="8">
                <c:v>September</c:v>
              </c:pt>
              <c:pt idx="9">
                <c:v>October</c:v>
              </c:pt>
              <c:pt idx="10">
                <c:v>November</c:v>
              </c:pt>
              <c:pt idx="11">
                <c:v>December</c:v>
              </c:pt>
            </c:strLit>
          </c:cat>
          <c:val>
            <c:numRef>
              <c:f>'2024 Overview'!$C$23:$N$23</c:f>
              <c:numCache>
                <c:formatCode>_(* #,##0_);_(* \(#,##0\);_(* "-"??_);_(@_)</c:formatCode>
                <c:ptCount val="12"/>
                <c:pt idx="0">
                  <c:v>167</c:v>
                </c:pt>
                <c:pt idx="1">
                  <c:v>193</c:v>
                </c:pt>
                <c:pt idx="2">
                  <c:v>215</c:v>
                </c:pt>
                <c:pt idx="3">
                  <c:v>196</c:v>
                </c:pt>
                <c:pt idx="4">
                  <c:v>215</c:v>
                </c:pt>
                <c:pt idx="5">
                  <c:v>231</c:v>
                </c:pt>
                <c:pt idx="6">
                  <c:v>220</c:v>
                </c:pt>
                <c:pt idx="7">
                  <c:v>270</c:v>
                </c:pt>
                <c:pt idx="8">
                  <c:v>183</c:v>
                </c:pt>
                <c:pt idx="9">
                  <c:v>213</c:v>
                </c:pt>
                <c:pt idx="10">
                  <c:v>228.47884785850385</c:v>
                </c:pt>
                <c:pt idx="11">
                  <c:v>239.65115270353829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3143-4728-9844-9D192346A7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3798287"/>
        <c:axId val="493784847"/>
      </c:lineChart>
      <c:catAx>
        <c:axId val="493793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786287"/>
        <c:crosses val="autoZero"/>
        <c:auto val="1"/>
        <c:lblAlgn val="ctr"/>
        <c:lblOffset val="100"/>
        <c:noMultiLvlLbl val="0"/>
      </c:catAx>
      <c:valAx>
        <c:axId val="493786287"/>
        <c:scaling>
          <c:orientation val="minMax"/>
        </c:scaling>
        <c:delete val="0"/>
        <c:axPos val="l"/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793967"/>
        <c:crosses val="autoZero"/>
        <c:crossBetween val="between"/>
      </c:valAx>
      <c:valAx>
        <c:axId val="493784847"/>
        <c:scaling>
          <c:orientation val="minMax"/>
        </c:scaling>
        <c:delete val="0"/>
        <c:axPos val="r"/>
        <c:numFmt formatCode="_(* #,##0_);_(* \(#,##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798287"/>
        <c:crosses val="max"/>
        <c:crossBetween val="between"/>
      </c:valAx>
      <c:catAx>
        <c:axId val="49379828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9378484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image" Target="../media/image4.png"/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197255</xdr:colOff>
      <xdr:row>15</xdr:row>
      <xdr:rowOff>132542</xdr:rowOff>
    </xdr:from>
    <xdr:to>
      <xdr:col>23</xdr:col>
      <xdr:colOff>432954</xdr:colOff>
      <xdr:row>44</xdr:row>
      <xdr:rowOff>28864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2496BC6-3F52-4783-97CC-3D635E81F4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305032</xdr:colOff>
      <xdr:row>8</xdr:row>
      <xdr:rowOff>126941</xdr:rowOff>
    </xdr:from>
    <xdr:to>
      <xdr:col>2</xdr:col>
      <xdr:colOff>1009285</xdr:colOff>
      <xdr:row>15</xdr:row>
      <xdr:rowOff>95884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60B87E1-B623-4E68-83F4-2E3D9A1B42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6941" y="1616305"/>
          <a:ext cx="1316162" cy="12467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594360</xdr:colOff>
      <xdr:row>30</xdr:row>
      <xdr:rowOff>64770</xdr:rowOff>
    </xdr:from>
    <xdr:to>
      <xdr:col>14</xdr:col>
      <xdr:colOff>15240</xdr:colOff>
      <xdr:row>47</xdr:row>
      <xdr:rowOff>60960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2A2A01E-0B04-4EF9-CEB7-4AFF062983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116688</xdr:colOff>
      <xdr:row>54</xdr:row>
      <xdr:rowOff>53662</xdr:rowOff>
    </xdr:from>
    <xdr:to>
      <xdr:col>15</xdr:col>
      <xdr:colOff>1096261</xdr:colOff>
      <xdr:row>71</xdr:row>
      <xdr:rowOff>2455034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81C503-A48F-431C-A88A-8EDD3CE6AE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600619</xdr:colOff>
      <xdr:row>1</xdr:row>
      <xdr:rowOff>27214</xdr:rowOff>
    </xdr:from>
    <xdr:to>
      <xdr:col>8</xdr:col>
      <xdr:colOff>553139</xdr:colOff>
      <xdr:row>13</xdr:row>
      <xdr:rowOff>56605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E21F4EB-5F18-6B15-2619-453FE37245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2298" y="204107"/>
          <a:ext cx="2252399" cy="21616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180976</xdr:colOff>
      <xdr:row>0</xdr:row>
      <xdr:rowOff>76201</xdr:rowOff>
    </xdr:from>
    <xdr:to>
      <xdr:col>11</xdr:col>
      <xdr:colOff>173354</xdr:colOff>
      <xdr:row>8</xdr:row>
      <xdr:rowOff>104775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2611C83-253A-2B45-EF80-D836153008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62576" y="76201"/>
          <a:ext cx="1552574" cy="155257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53</xdr:row>
      <xdr:rowOff>160020</xdr:rowOff>
    </xdr:from>
    <xdr:to>
      <xdr:col>15</xdr:col>
      <xdr:colOff>609600</xdr:colOff>
      <xdr:row>70</xdr:row>
      <xdr:rowOff>75458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F1FBE1-0A1B-458B-A209-E2AAD22578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600619</xdr:colOff>
      <xdr:row>1</xdr:row>
      <xdr:rowOff>27214</xdr:rowOff>
    </xdr:from>
    <xdr:to>
      <xdr:col>8</xdr:col>
      <xdr:colOff>553139</xdr:colOff>
      <xdr:row>13</xdr:row>
      <xdr:rowOff>56605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4A1C6D4-93B4-4EBC-890A-BEF9341FB7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2639" y="210094"/>
          <a:ext cx="2269000" cy="22239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243839</xdr:colOff>
      <xdr:row>8</xdr:row>
      <xdr:rowOff>173874</xdr:rowOff>
    </xdr:from>
    <xdr:to>
      <xdr:col>21</xdr:col>
      <xdr:colOff>409574</xdr:colOff>
      <xdr:row>37</xdr:row>
      <xdr:rowOff>66675</xdr:rowOff>
    </xdr:to>
    <xdr:graphicFrame macro="">
      <xdr:nvGraphicFramePr>
        <xdr:cNvPr id="3" name="Chart 4">
          <a:extLst>
            <a:ext uri="{FF2B5EF4-FFF2-40B4-BE49-F238E27FC236}">
              <a16:creationId xmlns:a16="http://schemas.microsoft.com/office/drawing/2014/main" id="{6E052BA8-84E2-497F-A5DE-4D050BE1A2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98020</xdr:colOff>
      <xdr:row>0</xdr:row>
      <xdr:rowOff>115858</xdr:rowOff>
    </xdr:from>
    <xdr:to>
      <xdr:col>12</xdr:col>
      <xdr:colOff>96115</xdr:colOff>
      <xdr:row>8</xdr:row>
      <xdr:rowOff>10348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E255A29-D901-4703-91EA-F75C7D94C4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75911" y="115858"/>
          <a:ext cx="2436495" cy="24714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9525</xdr:colOff>
      <xdr:row>37</xdr:row>
      <xdr:rowOff>148761</xdr:rowOff>
    </xdr:from>
    <xdr:to>
      <xdr:col>21</xdr:col>
      <xdr:colOff>457199</xdr:colOff>
      <xdr:row>58</xdr:row>
      <xdr:rowOff>161925</xdr:rowOff>
    </xdr:to>
    <xdr:graphicFrame macro="">
      <xdr:nvGraphicFramePr>
        <xdr:cNvPr id="2" name="Chart 4">
          <a:extLst>
            <a:ext uri="{FF2B5EF4-FFF2-40B4-BE49-F238E27FC236}">
              <a16:creationId xmlns:a16="http://schemas.microsoft.com/office/drawing/2014/main" id="{1547794F-7A0E-4B94-BEAD-BE757A7DE1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33202</xdr:colOff>
      <xdr:row>12</xdr:row>
      <xdr:rowOff>181427</xdr:rowOff>
    </xdr:from>
    <xdr:to>
      <xdr:col>29</xdr:col>
      <xdr:colOff>583666</xdr:colOff>
      <xdr:row>61</xdr:row>
      <xdr:rowOff>8965</xdr:rowOff>
    </xdr:to>
    <xdr:graphicFrame macro="">
      <xdr:nvGraphicFramePr>
        <xdr:cNvPr id="3" name="Chart 4">
          <a:extLst>
            <a:ext uri="{FF2B5EF4-FFF2-40B4-BE49-F238E27FC236}">
              <a16:creationId xmlns:a16="http://schemas.microsoft.com/office/drawing/2014/main" id="{89CB7B37-D388-4382-96C6-1379380466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16</xdr:col>
      <xdr:colOff>414617</xdr:colOff>
      <xdr:row>1</xdr:row>
      <xdr:rowOff>58499</xdr:rowOff>
    </xdr:from>
    <xdr:to>
      <xdr:col>18</xdr:col>
      <xdr:colOff>422012</xdr:colOff>
      <xdr:row>12</xdr:row>
      <xdr:rowOff>80328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386B53B-D090-48B6-9387-E5DAAD1A65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02088" y="237793"/>
          <a:ext cx="2097405" cy="19978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jordan lee" id="{1EAB70DF-57F2-4E03-B78C-7A4DE89F3DCA}" userId="03a4090e471ff419" providerId="Windows Live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rdan lee" refreshedDate="44895.928566087961" createdVersion="8" refreshedVersion="8" minRefreshableVersion="3" recordCount="6" xr:uid="{613EE8A1-CDF4-4843-88FB-66816C45A52A}">
  <cacheSource type="worksheet">
    <worksheetSource ref="A1:J7" sheet="August"/>
  </cacheSource>
  <cacheFields count="10">
    <cacheField name="Student" numFmtId="0">
      <sharedItems count="5">
        <s v="Caroline Frey"/>
        <s v="Nicolette Batori"/>
        <s v="Maddie Wilson"/>
        <s v="Sujay Penugonda"/>
        <s v="Matthew Aasen"/>
      </sharedItems>
    </cacheField>
    <cacheField name="Date" numFmtId="14">
      <sharedItems containsSemiMixedTypes="0" containsNonDate="0" containsDate="1" containsString="0" minDate="2022-08-20T00:00:00" maxDate="2022-08-24T00:00:00"/>
    </cacheField>
    <cacheField name="Hours" numFmtId="0">
      <sharedItems containsSemiMixedTypes="0" containsString="0" containsNumber="1" minValue="0.5" maxValue="2"/>
    </cacheField>
    <cacheField name="Rate ($/hr)" numFmtId="0">
      <sharedItems containsSemiMixedTypes="0" containsString="0" containsNumber="1" containsInteger="1" minValue="50" maxValue="50"/>
    </cacheField>
    <cacheField name="Coin" numFmtId="0">
      <sharedItems containsSemiMixedTypes="0" containsString="0" containsNumber="1" containsInteger="1" minValue="25" maxValue="100"/>
    </cacheField>
    <cacheField name="Billed?" numFmtId="0">
      <sharedItems/>
    </cacheField>
    <cacheField name="Received payment?" numFmtId="0">
      <sharedItems/>
    </cacheField>
    <cacheField name="Topic" numFmtId="0">
      <sharedItems/>
    </cacheField>
    <cacheField name="Tip?" numFmtId="0">
      <sharedItems containsString="0" containsBlank="1" containsNumber="1" containsInteger="1" minValue="0" maxValue="10"/>
    </cacheField>
    <cacheField name="Totals" numFmtId="0">
      <sharedItems containsSemiMixedTypes="0" containsString="0" containsNumber="1" containsInteger="1" minValue="25" maxValue="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rdan lee" refreshedDate="44895.929830555557" createdVersion="8" refreshedVersion="8" minRefreshableVersion="3" recordCount="15" xr:uid="{154EBD7C-0101-4D63-9E70-E31B3C7C51A8}">
  <cacheSource type="worksheet">
    <worksheetSource ref="A1:J16" sheet="September"/>
  </cacheSource>
  <cacheFields count="10">
    <cacheField name="Student" numFmtId="0">
      <sharedItems count="9">
        <s v="Rohan Skanda"/>
        <s v="Maddie Wilson"/>
        <s v="Caroline Frey"/>
        <s v="Kathryn Oakford"/>
        <s v="Kaylie Thompson"/>
        <s v="Abby Owen"/>
        <s v="Mckenzie Frey"/>
        <s v="Claire Cecotti"/>
        <s v="Sam Cormier"/>
      </sharedItems>
    </cacheField>
    <cacheField name="Date" numFmtId="16">
      <sharedItems containsSemiMixedTypes="0" containsNonDate="0" containsDate="1" containsString="0" minDate="2022-09-18T00:00:00" maxDate="2022-09-29T00:00:00"/>
    </cacheField>
    <cacheField name="Hours" numFmtId="0">
      <sharedItems containsSemiMixedTypes="0" containsString="0" containsNumber="1" minValue="0.5" maxValue="2"/>
    </cacheField>
    <cacheField name="Rate ($/hr)" numFmtId="0">
      <sharedItems containsSemiMixedTypes="0" containsString="0" containsNumber="1" containsInteger="1" minValue="50" maxValue="100"/>
    </cacheField>
    <cacheField name="Coin" numFmtId="0">
      <sharedItems containsSemiMixedTypes="0" containsString="0" containsNumber="1" containsInteger="1" minValue="25" maxValue="100"/>
    </cacheField>
    <cacheField name="Billed?" numFmtId="0">
      <sharedItems/>
    </cacheField>
    <cacheField name="Received payment?" numFmtId="0">
      <sharedItems/>
    </cacheField>
    <cacheField name="Topic" numFmtId="0">
      <sharedItems/>
    </cacheField>
    <cacheField name="Tip?" numFmtId="0">
      <sharedItems containsBlank="1" containsMixedTypes="1" containsNumber="1" containsInteger="1" minValue="25" maxValue="25"/>
    </cacheField>
    <cacheField name="Totals" numFmtId="0">
      <sharedItems containsString="0" containsBlank="1" containsNumber="1" containsInteger="1" minValue="50" maxValue="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rdan lee" refreshedDate="44895.930193171298" createdVersion="8" refreshedVersion="8" minRefreshableVersion="3" recordCount="40" xr:uid="{88D9A00C-977F-4705-83A8-FAB91CE502E6}">
  <cacheSource type="worksheet">
    <worksheetSource ref="A1:K41" sheet="October"/>
  </cacheSource>
  <cacheFields count="11">
    <cacheField name="Student" numFmtId="0">
      <sharedItems count="17">
        <s v="Abby Owen"/>
        <s v="Addison O'Connor"/>
        <s v="Caroline Frey"/>
        <s v="Claire Cecotti"/>
        <s v="Elle Mishler"/>
        <s v="Gabby Bagot"/>
        <s v="Julia Cecotti"/>
        <s v="Kathryn Oakford"/>
        <s v="Kaylie Thompson"/>
        <s v="Maddie Wilson"/>
        <s v="Maddox Rogers"/>
        <s v="Naura Peters"/>
        <s v="Nicolette Batori"/>
        <s v="Rohan Skanda"/>
        <s v="Sienna Cormier"/>
        <s v="Sophia Gonzales"/>
        <s v="Sujay Penugonda"/>
      </sharedItems>
    </cacheField>
    <cacheField name="Date" numFmtId="16">
      <sharedItems containsSemiMixedTypes="0" containsNonDate="0" containsDate="1" containsString="0" minDate="2022-10-02T00:00:00" maxDate="2022-11-01T00:00:00"/>
    </cacheField>
    <cacheField name="Hours" numFmtId="0">
      <sharedItems containsSemiMixedTypes="0" containsString="0" containsNumber="1" minValue="0.5" maxValue="5"/>
    </cacheField>
    <cacheField name="Rate ($/hr)" numFmtId="0">
      <sharedItems containsSemiMixedTypes="0" containsString="0" containsNumber="1" containsInteger="1" minValue="50" maxValue="60"/>
    </cacheField>
    <cacheField name="Coin" numFmtId="0">
      <sharedItems containsSemiMixedTypes="0" containsString="0" containsNumber="1" minValue="25" maxValue="175"/>
    </cacheField>
    <cacheField name="Billed?" numFmtId="0">
      <sharedItems/>
    </cacheField>
    <cacheField name="Received payment?" numFmtId="0">
      <sharedItems/>
    </cacheField>
    <cacheField name="Topic" numFmtId="0">
      <sharedItems/>
    </cacheField>
    <cacheField name="Tip?" numFmtId="0">
      <sharedItems/>
    </cacheField>
    <cacheField name="Paid via invoice?" numFmtId="0">
      <sharedItems/>
    </cacheField>
    <cacheField name="Totals" numFmtId="0">
      <sharedItems containsSemiMixedTypes="0" containsString="0" containsNumber="1" minValue="25" maxValue="2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rdan lee" refreshedDate="44910.784345601853" createdVersion="8" refreshedVersion="8" minRefreshableVersion="3" recordCount="24" xr:uid="{C87EF8AD-2BBE-4D3F-BE88-FC5B28F3A300}">
  <cacheSource type="worksheet">
    <worksheetSource ref="A1:K25" sheet="November"/>
  </cacheSource>
  <cacheFields count="11">
    <cacheField name="Student" numFmtId="0">
      <sharedItems count="11">
        <s v="Abby Owen"/>
        <s v="Brayden Wulff"/>
        <s v="Elle Mishler"/>
        <s v="Emma Thacker"/>
        <s v="Julia Cecotti"/>
        <s v="Kathryn Oakford"/>
        <s v="Naura Peters"/>
        <s v="Nicolette Batori"/>
        <s v="Rohan Skanda"/>
        <s v="Sienna Cormier"/>
        <s v="Sophia Gonzales"/>
      </sharedItems>
    </cacheField>
    <cacheField name="Date" numFmtId="16">
      <sharedItems containsSemiMixedTypes="0" containsNonDate="0" containsDate="1" containsString="0" minDate="2022-11-03T00:00:00" maxDate="2022-12-01T00:00:00"/>
    </cacheField>
    <cacheField name="Hours" numFmtId="0">
      <sharedItems containsSemiMixedTypes="0" containsString="0" containsNumber="1" minValue="0.5" maxValue="2"/>
    </cacheField>
    <cacheField name="Rate ($/hr)" numFmtId="0">
      <sharedItems containsSemiMixedTypes="0" containsString="0" containsNumber="1" containsInteger="1" minValue="50" maxValue="60"/>
    </cacheField>
    <cacheField name="Coin" numFmtId="0">
      <sharedItems containsSemiMixedTypes="0" containsString="0" containsNumber="1" minValue="30" maxValue="100"/>
    </cacheField>
    <cacheField name="Billed?" numFmtId="0">
      <sharedItems/>
    </cacheField>
    <cacheField name="Received payment?" numFmtId="0">
      <sharedItems/>
    </cacheField>
    <cacheField name="Topic" numFmtId="0">
      <sharedItems/>
    </cacheField>
    <cacheField name="Tip?" numFmtId="0">
      <sharedItems containsBlank="1"/>
    </cacheField>
    <cacheField name="Paid via invoice?" numFmtId="0">
      <sharedItems/>
    </cacheField>
    <cacheField name="Totals" numFmtId="0">
      <sharedItems containsSemiMixedTypes="0" containsString="0" containsNumber="1" minValue="30" maxValue="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x v="0"/>
    <d v="2022-08-20T00:00:00"/>
    <n v="0.5"/>
    <n v="50"/>
    <n v="25"/>
    <s v="Yes"/>
    <s v="Yes"/>
    <s v="Adderal form"/>
    <n v="10"/>
    <n v="35"/>
  </r>
  <r>
    <x v="1"/>
    <d v="2022-08-21T00:00:00"/>
    <n v="1.5"/>
    <n v="50"/>
    <n v="75"/>
    <s v="No"/>
    <s v="Yes"/>
    <s v="SAT/ACT overview, college talk/prep"/>
    <n v="0"/>
    <n v="75"/>
  </r>
  <r>
    <x v="2"/>
    <d v="2022-08-21T00:00:00"/>
    <n v="1"/>
    <n v="50"/>
    <n v="50"/>
    <s v="No"/>
    <s v="No"/>
    <s v="ACT Science"/>
    <m/>
    <n v="50"/>
  </r>
  <r>
    <x v="3"/>
    <d v="2022-08-23T00:00:00"/>
    <n v="2"/>
    <n v="50"/>
    <n v="100"/>
    <s v="Yes"/>
    <s v="Yes"/>
    <s v="Essay"/>
    <m/>
    <n v="100"/>
  </r>
  <r>
    <x v="2"/>
    <d v="2022-08-23T00:00:00"/>
    <n v="2"/>
    <n v="50"/>
    <n v="100"/>
    <s v="No"/>
    <s v="No"/>
    <s v="ACT Math, college essay"/>
    <m/>
    <n v="100"/>
  </r>
  <r>
    <x v="4"/>
    <d v="2022-08-23T00:00:00"/>
    <n v="0.5"/>
    <n v="50"/>
    <n v="25"/>
    <s v="Yes"/>
    <s v="Yes"/>
    <s v="2nd read common app"/>
    <m/>
    <n v="2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">
  <r>
    <x v="0"/>
    <d v="2022-09-18T00:00:00"/>
    <n v="1"/>
    <n v="50"/>
    <n v="50"/>
    <s v="Yes"/>
    <s v="Yes"/>
    <s v="AOS Math/Science"/>
    <s v="No"/>
    <n v="50"/>
  </r>
  <r>
    <x v="1"/>
    <d v="2022-09-18T00:00:00"/>
    <n v="2"/>
    <n v="50"/>
    <n v="100"/>
    <s v="Yes"/>
    <s v="Yes"/>
    <s v="College Essay"/>
    <s v="No"/>
    <n v="100"/>
  </r>
  <r>
    <x v="2"/>
    <d v="2022-09-18T00:00:00"/>
    <n v="1.5"/>
    <n v="50"/>
    <n v="75"/>
    <s v="Yes"/>
    <s v="Yes"/>
    <s v="College Supplemental Essays"/>
    <n v="25"/>
    <n v="100"/>
  </r>
  <r>
    <x v="3"/>
    <d v="2022-09-18T00:00:00"/>
    <n v="1.5"/>
    <n v="50"/>
    <n v="75"/>
    <s v="Yes"/>
    <s v="Yes"/>
    <s v="Business Calc"/>
    <s v="No"/>
    <n v="75"/>
  </r>
  <r>
    <x v="4"/>
    <d v="2022-09-18T00:00:00"/>
    <n v="1.5"/>
    <n v="50"/>
    <n v="75"/>
    <s v="Yes"/>
    <s v="Yes"/>
    <s v="College Essay"/>
    <s v="No"/>
    <n v="75"/>
  </r>
  <r>
    <x v="5"/>
    <d v="2022-09-19T00:00:00"/>
    <n v="2"/>
    <n v="50"/>
    <n v="100"/>
    <s v="Yes"/>
    <s v="Yes"/>
    <s v="Math Practice for Quiz"/>
    <s v="No"/>
    <n v="100"/>
  </r>
  <r>
    <x v="3"/>
    <d v="2022-09-19T00:00:00"/>
    <n v="1"/>
    <n v="50"/>
    <n v="50"/>
    <s v="Yes"/>
    <s v="Yes"/>
    <s v="Business Calc"/>
    <s v="No"/>
    <n v="50"/>
  </r>
  <r>
    <x v="1"/>
    <d v="2022-09-22T00:00:00"/>
    <n v="1"/>
    <n v="50"/>
    <n v="50"/>
    <s v="Yes"/>
    <s v="Yes"/>
    <s v="ACT Math, NHS Essay"/>
    <s v="No"/>
    <n v="50"/>
  </r>
  <r>
    <x v="6"/>
    <d v="2022-09-23T00:00:00"/>
    <n v="0.5"/>
    <n v="50"/>
    <n v="25"/>
    <s v="No"/>
    <s v="Yes (accounted for in October w Caroline)"/>
    <s v="PR/Project Planning"/>
    <m/>
    <m/>
  </r>
  <r>
    <x v="1"/>
    <d v="2022-09-23T00:00:00"/>
    <n v="1"/>
    <n v="50"/>
    <n v="50"/>
    <s v="Yes"/>
    <s v="Yes"/>
    <s v="NHS Essay"/>
    <s v="No"/>
    <n v="50"/>
  </r>
  <r>
    <x v="7"/>
    <d v="2022-09-25T00:00:00"/>
    <n v="1"/>
    <n v="50"/>
    <n v="50"/>
    <s v="Yes"/>
    <s v="Yes"/>
    <s v="Algebra Review/SAT Math"/>
    <s v="No"/>
    <n v="50"/>
  </r>
  <r>
    <x v="1"/>
    <d v="2022-09-25T00:00:00"/>
    <n v="2"/>
    <n v="100"/>
    <n v="100"/>
    <s v="Yes"/>
    <s v="Yes"/>
    <s v="Supplemental Essays"/>
    <s v="No"/>
    <n v="100"/>
  </r>
  <r>
    <x v="8"/>
    <d v="2022-09-25T00:00:00"/>
    <n v="2"/>
    <n v="100"/>
    <n v="100"/>
    <s v="Yes"/>
    <s v="Yes"/>
    <s v="Supplemental Essays"/>
    <s v="No"/>
    <n v="100"/>
  </r>
  <r>
    <x v="7"/>
    <d v="2022-09-26T00:00:00"/>
    <n v="1"/>
    <n v="50"/>
    <n v="50"/>
    <s v="Yes"/>
    <s v="Yes"/>
    <s v="Algebra Review/SAT Math"/>
    <s v="No"/>
    <n v="50"/>
  </r>
  <r>
    <x v="1"/>
    <d v="2022-09-28T00:00:00"/>
    <n v="1.5"/>
    <n v="50"/>
    <n v="75"/>
    <s v="Yes"/>
    <s v="Yes"/>
    <s v="Supplemental Essays"/>
    <s v="No"/>
    <n v="75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">
  <r>
    <x v="0"/>
    <d v="2022-10-02T00:00:00"/>
    <n v="1"/>
    <n v="50"/>
    <n v="50"/>
    <s v="Yes"/>
    <s v="Yes"/>
    <s v="Math (general homework)"/>
    <s v="No"/>
    <s v="No"/>
    <n v="50"/>
  </r>
  <r>
    <x v="0"/>
    <d v="2022-10-12T00:00:00"/>
    <n v="2"/>
    <n v="50"/>
    <n v="100"/>
    <s v="Yes"/>
    <s v="Yes"/>
    <s v="Algebra 2"/>
    <s v="No"/>
    <s v="YES"/>
    <n v="100"/>
  </r>
  <r>
    <x v="0"/>
    <d v="2022-10-24T00:00:00"/>
    <n v="1"/>
    <n v="50"/>
    <n v="50"/>
    <s v="Yes"/>
    <s v="Yes"/>
    <s v="Emergency Math Lab"/>
    <s v="No"/>
    <s v="YES"/>
    <n v="50"/>
  </r>
  <r>
    <x v="0"/>
    <d v="2022-10-25T00:00:00"/>
    <n v="0.75"/>
    <n v="50"/>
    <n v="37.5"/>
    <s v="Yes"/>
    <s v="Yes"/>
    <s v="Logarithmic Functions Review"/>
    <s v="No"/>
    <s v="YES"/>
    <n v="37.5"/>
  </r>
  <r>
    <x v="0"/>
    <d v="2022-10-27T00:00:00"/>
    <n v="1"/>
    <n v="50"/>
    <n v="50"/>
    <s v="Yes"/>
    <s v="Yes"/>
    <s v="Precalc - Exponentials and Logs"/>
    <s v="No"/>
    <s v="YES"/>
    <n v="50"/>
  </r>
  <r>
    <x v="1"/>
    <d v="2022-10-15T00:00:00"/>
    <n v="1"/>
    <n v="60"/>
    <n v="60"/>
    <s v="Yes"/>
    <s v="Yes"/>
    <s v="Choreography Review"/>
    <s v="No"/>
    <s v="YES"/>
    <n v="60"/>
  </r>
  <r>
    <x v="2"/>
    <d v="2022-10-18T00:00:00"/>
    <n v="3.5"/>
    <n v="50"/>
    <n v="175"/>
    <s v="Yes"/>
    <s v="Yes"/>
    <s v="TN and CoC Essay Supplement Finalization"/>
    <s v="Yes"/>
    <s v="No - Venmo b/c tip; sent to personal account but transferred accordingly (sent to Eric and Eric venmo'd business acc)"/>
    <n v="200"/>
  </r>
  <r>
    <x v="2"/>
    <d v="2022-10-23T00:00:00"/>
    <n v="1"/>
    <n v="50"/>
    <n v="50"/>
    <s v="Yes"/>
    <s v="Yes"/>
    <s v="Bama Honors Appliation"/>
    <s v="No"/>
    <s v="No - venmo b/c tip"/>
    <n v="50"/>
  </r>
  <r>
    <x v="3"/>
    <d v="2022-10-03T00:00:00"/>
    <n v="1"/>
    <n v="50"/>
    <n v="50"/>
    <s v="Yes"/>
    <s v="Yes"/>
    <s v="SAT Math, Piecewise Functions Test"/>
    <s v="No"/>
    <s v="YES"/>
    <n v="50"/>
  </r>
  <r>
    <x v="4"/>
    <d v="2022-10-08T00:00:00"/>
    <n v="1"/>
    <n v="60"/>
    <n v="60"/>
    <s v="Yes"/>
    <s v="Yes"/>
    <s v="Algebra 1"/>
    <s v="No"/>
    <s v="YES"/>
    <n v="60"/>
  </r>
  <r>
    <x v="4"/>
    <d v="2022-10-12T00:00:00"/>
    <n v="1"/>
    <n v="60"/>
    <n v="60"/>
    <s v="Yes"/>
    <s v="Yes"/>
    <s v="Algebra 1"/>
    <s v="No"/>
    <s v="YES"/>
    <n v="60"/>
  </r>
  <r>
    <x v="4"/>
    <d v="2022-10-19T00:00:00"/>
    <n v="1.25"/>
    <n v="60"/>
    <n v="75"/>
    <s v="Yes"/>
    <s v="Yes"/>
    <s v="Algebra 1 Review"/>
    <s v="No"/>
    <s v="YES"/>
    <n v="75"/>
  </r>
  <r>
    <x v="5"/>
    <d v="2022-10-22T00:00:00"/>
    <n v="1"/>
    <n v="60"/>
    <n v="60"/>
    <s v="Yes"/>
    <s v="Yes"/>
    <s v="Algebra 1"/>
    <s v="No"/>
    <s v="YES"/>
    <n v="60"/>
  </r>
  <r>
    <x v="6"/>
    <d v="2022-10-11T00:00:00"/>
    <n v="1"/>
    <n v="50"/>
    <n v="50"/>
    <s v="Yes"/>
    <s v="Yes"/>
    <s v="Precalc - piecewise functions"/>
    <s v="No"/>
    <s v="YES"/>
    <n v="50"/>
  </r>
  <r>
    <x v="6"/>
    <d v="2022-10-17T00:00:00"/>
    <n v="1.5"/>
    <n v="50"/>
    <n v="75"/>
    <s v="Yes"/>
    <s v="Yes"/>
    <s v="Limits and Discontinuity"/>
    <s v="No"/>
    <s v="YES"/>
    <n v="75"/>
  </r>
  <r>
    <x v="7"/>
    <d v="2022-10-17T00:00:00"/>
    <n v="1.5"/>
    <n v="50"/>
    <n v="75"/>
    <s v="Yes"/>
    <s v="Yes"/>
    <s v="Business Calculus"/>
    <s v="No"/>
    <s v="YES"/>
    <n v="75"/>
  </r>
  <r>
    <x v="7"/>
    <d v="2022-10-23T00:00:00"/>
    <n v="1.5"/>
    <n v="50"/>
    <n v="75"/>
    <s v="Yes"/>
    <s v="Yes"/>
    <s v="Business Calculus"/>
    <s v="No"/>
    <s v="YES"/>
    <n v="75"/>
  </r>
  <r>
    <x v="8"/>
    <d v="2022-10-02T00:00:00"/>
    <n v="1.5"/>
    <n v="50"/>
    <n v="75"/>
    <s v="Yes"/>
    <s v="Yes"/>
    <s v="Common App Finalizaiton"/>
    <s v="No"/>
    <s v="No"/>
    <n v="75"/>
  </r>
  <r>
    <x v="9"/>
    <d v="2022-10-02T00:00:00"/>
    <n v="2"/>
    <n v="50"/>
    <n v="100"/>
    <s v="Yes"/>
    <s v="Yes"/>
    <s v="ACT Math"/>
    <s v="No"/>
    <s v="No"/>
    <n v="100"/>
  </r>
  <r>
    <x v="9"/>
    <d v="2022-10-20T00:00:00"/>
    <n v="1.5"/>
    <n v="50"/>
    <n v="75"/>
    <s v="Yes"/>
    <s v="Yes"/>
    <s v="ACT Math"/>
    <s v="No"/>
    <s v="No - received via PayPal and Transferred"/>
    <n v="75"/>
  </r>
  <r>
    <x v="10"/>
    <d v="2022-10-13T00:00:00"/>
    <n v="2"/>
    <n v="50"/>
    <n v="100"/>
    <s v="Yes"/>
    <s v="Yes"/>
    <s v="College Essay"/>
    <s v="No"/>
    <s v="YES"/>
    <n v="100"/>
  </r>
  <r>
    <x v="11"/>
    <d v="2022-10-22T00:00:00"/>
    <n v="0.5"/>
    <n v="60"/>
    <n v="30"/>
    <s v="Yes"/>
    <s v="Yes"/>
    <s v="Private lesson"/>
    <s v="No"/>
    <s v="YES"/>
    <n v="30"/>
  </r>
  <r>
    <x v="12"/>
    <d v="2022-10-23T00:00:00"/>
    <n v="2"/>
    <n v="50"/>
    <n v="100"/>
    <s v="Yes"/>
    <s v="Yes"/>
    <s v="AP Test Advice, Volunteering advice, SAT Math"/>
    <s v="No"/>
    <s v="YES"/>
    <n v="100"/>
  </r>
  <r>
    <x v="12"/>
    <d v="2022-10-29T00:00:00"/>
    <n v="1"/>
    <n v="50"/>
    <n v="50"/>
    <s v="Yes"/>
    <s v="Yes"/>
    <s v="SAT Math"/>
    <s v="No"/>
    <s v="YES"/>
    <n v="50"/>
  </r>
  <r>
    <x v="12"/>
    <d v="2022-10-31T00:00:00"/>
    <n v="1"/>
    <n v="50"/>
    <n v="50"/>
    <s v="Yes"/>
    <s v="Yes"/>
    <s v="SAT Math"/>
    <s v="No"/>
    <s v="YES"/>
    <n v="50"/>
  </r>
  <r>
    <x v="13"/>
    <d v="2022-10-04T00:00:00"/>
    <n v="1"/>
    <n v="50"/>
    <n v="50"/>
    <s v="Yes"/>
    <s v="Yes"/>
    <s v="AOS Integrated Math + Science"/>
    <s v="No"/>
    <s v="YES"/>
    <n v="50"/>
  </r>
  <r>
    <x v="13"/>
    <d v="2022-10-06T00:00:00"/>
    <n v="2"/>
    <n v="50"/>
    <n v="100"/>
    <s v="Yes"/>
    <s v="Yes"/>
    <s v="AOS Integrated Math + Science"/>
    <s v="No"/>
    <s v="YES"/>
    <n v="100"/>
  </r>
  <r>
    <x v="13"/>
    <d v="2022-10-17T00:00:00"/>
    <n v="1.5"/>
    <n v="50"/>
    <n v="75"/>
    <s v="Yes"/>
    <s v="Yes"/>
    <s v="Math and Physics Review"/>
    <s v="No"/>
    <s v="YES"/>
    <n v="75"/>
  </r>
  <r>
    <x v="13"/>
    <d v="2022-10-23T00:00:00"/>
    <n v="1"/>
    <n v="50"/>
    <n v="75"/>
    <s v="Yes"/>
    <s v="Yes"/>
    <s v="AOS Integrated Math + Science"/>
    <s v="No"/>
    <s v="YES"/>
    <n v="75"/>
  </r>
  <r>
    <x v="13"/>
    <d v="2022-10-24T00:00:00"/>
    <n v="1"/>
    <n v="50"/>
    <n v="50"/>
    <s v="Yes"/>
    <s v="Yes"/>
    <s v="AOS Integrated Math + Science"/>
    <s v="No"/>
    <s v="YES"/>
    <n v="50"/>
  </r>
  <r>
    <x v="13"/>
    <d v="2022-10-25T00:00:00"/>
    <n v="1"/>
    <n v="50"/>
    <n v="50"/>
    <s v="Yes"/>
    <s v="Yes"/>
    <s v="AOS Integrated Math + Science"/>
    <s v="No"/>
    <s v="YES"/>
    <n v="50"/>
  </r>
  <r>
    <x v="13"/>
    <d v="2022-10-26T00:00:00"/>
    <n v="1.25"/>
    <n v="50"/>
    <n v="62.5"/>
    <s v="Yes"/>
    <s v="Yes"/>
    <s v="AOS Integrated Math + Science"/>
    <s v="No"/>
    <s v="YES"/>
    <n v="62.5"/>
  </r>
  <r>
    <x v="14"/>
    <d v="2022-10-12T00:00:00"/>
    <n v="1.5"/>
    <n v="50"/>
    <n v="75"/>
    <s v="Yes"/>
    <s v="Yes"/>
    <s v="Geometry"/>
    <s v="No"/>
    <s v="YES"/>
    <n v="75"/>
  </r>
  <r>
    <x v="15"/>
    <d v="2022-10-26T00:00:00"/>
    <n v="1"/>
    <n v="60"/>
    <n v="60"/>
    <s v="Yes (folded into next-day invoice)"/>
    <s v="Yes"/>
    <s v="Physics"/>
    <s v="No"/>
    <s v="YES"/>
    <n v="60"/>
  </r>
  <r>
    <x v="15"/>
    <d v="2022-10-27T00:00:00"/>
    <n v="1"/>
    <n v="60"/>
    <n v="60"/>
    <s v="Yes"/>
    <s v="Yes"/>
    <s v="Physics"/>
    <s v="No"/>
    <s v="YES"/>
    <n v="60"/>
  </r>
  <r>
    <x v="16"/>
    <d v="2022-10-06T00:00:00"/>
    <n v="1.5"/>
    <n v="50"/>
    <n v="75"/>
    <s v="Yes"/>
    <s v="Yes"/>
    <s v="Supplemental Essays"/>
    <s v="No"/>
    <s v="YES"/>
    <n v="75"/>
  </r>
  <r>
    <x v="16"/>
    <d v="2022-10-21T00:00:00"/>
    <n v="2"/>
    <n v="50"/>
    <n v="100"/>
    <s v="Yes"/>
    <s v="Yes"/>
    <s v="College Essay"/>
    <s v="No"/>
    <s v="YES"/>
    <n v="100"/>
  </r>
  <r>
    <x v="16"/>
    <d v="2022-10-23T00:00:00"/>
    <n v="0.5"/>
    <n v="50"/>
    <n v="25"/>
    <s v="No"/>
    <s v="Yes"/>
    <s v="College Essay"/>
    <s v="No"/>
    <s v="YES"/>
    <n v="25"/>
  </r>
  <r>
    <x v="16"/>
    <d v="2022-10-29T00:00:00"/>
    <n v="5"/>
    <n v="50"/>
    <n v="125"/>
    <s v="Yes"/>
    <s v="Yes"/>
    <s v="College Essay"/>
    <s v="No"/>
    <s v="YES"/>
    <n v="250"/>
  </r>
  <r>
    <x v="16"/>
    <d v="2022-10-30T00:00:00"/>
    <n v="2.5"/>
    <n v="50"/>
    <n v="125"/>
    <s v="Yes"/>
    <s v="Yes"/>
    <s v="College Essay"/>
    <s v="No"/>
    <s v="No - asked to send via Zelle. Transferred from personal to biz immediately."/>
    <n v="125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x v="0"/>
    <d v="2022-11-03T00:00:00"/>
    <n v="1"/>
    <n v="50"/>
    <n v="50"/>
    <s v="Yes"/>
    <s v="Yes"/>
    <s v="Properties of logs and exponents; APERT"/>
    <s v="No"/>
    <s v="Yes"/>
    <n v="50"/>
  </r>
  <r>
    <x v="1"/>
    <d v="2022-11-13T00:00:00"/>
    <n v="1"/>
    <n v="60"/>
    <n v="60"/>
    <s v="Yes"/>
    <s v="Yes"/>
    <s v="Math Analysis"/>
    <s v="No"/>
    <s v="QBA"/>
    <n v="60"/>
  </r>
  <r>
    <x v="1"/>
    <d v="2022-11-15T00:00:00"/>
    <n v="1.5"/>
    <n v="60"/>
    <n v="90"/>
    <s v="Yes"/>
    <s v="Yes"/>
    <s v="Math Analysis"/>
    <s v="No"/>
    <s v="QBA"/>
    <n v="90"/>
  </r>
  <r>
    <x v="2"/>
    <d v="2022-11-07T00:00:00"/>
    <n v="1"/>
    <n v="60"/>
    <n v="60"/>
    <s v="Yes"/>
    <s v="Yes"/>
    <s v="Algebra 1 - Absolute Value Functions"/>
    <s v="No"/>
    <s v="QBA"/>
    <n v="60"/>
  </r>
  <r>
    <x v="2"/>
    <d v="2022-11-27T00:00:00"/>
    <n v="1.5"/>
    <n v="60"/>
    <n v="90"/>
    <s v="Yes"/>
    <s v="Yes"/>
    <s v="Algebra 1 - Graphing, Domain, and Range"/>
    <s v="No"/>
    <s v="QBA"/>
    <n v="90"/>
  </r>
  <r>
    <x v="3"/>
    <d v="2022-11-13T00:00:00"/>
    <n v="1"/>
    <n v="60"/>
    <n v="60"/>
    <s v="Yes"/>
    <s v="Yes"/>
    <s v="Algebra 2 Trig"/>
    <s v="No"/>
    <s v="QBA"/>
    <n v="60"/>
  </r>
  <r>
    <x v="3"/>
    <d v="2022-11-19T00:00:00"/>
    <n v="1.5"/>
    <n v="60"/>
    <n v="90"/>
    <s v="Yes"/>
    <s v="Yes"/>
    <s v="Algebra 2 Trig"/>
    <s v="No"/>
    <s v="QBA"/>
    <n v="90"/>
  </r>
  <r>
    <x v="4"/>
    <d v="2022-11-10T00:00:00"/>
    <n v="1.5"/>
    <n v="50"/>
    <n v="75"/>
    <s v="Yes"/>
    <s v="Yes"/>
    <s v="Precalc - rational functions, domain/range, holes, asymptotes, graphing, factoring"/>
    <s v="No"/>
    <s v="QBA"/>
    <n v="75"/>
  </r>
  <r>
    <x v="5"/>
    <d v="2022-11-21T00:00:00"/>
    <n v="1"/>
    <n v="50"/>
    <n v="50"/>
    <s v="Yes"/>
    <s v="Yes"/>
    <s v="Business Calc (College)"/>
    <s v="No"/>
    <s v="QBA"/>
    <n v="50"/>
  </r>
  <r>
    <x v="6"/>
    <d v="2022-11-12T00:00:00"/>
    <n v="0.5"/>
    <n v="60"/>
    <n v="30"/>
    <s v="Yes"/>
    <s v="Yes"/>
    <s v="Dance"/>
    <s v="No"/>
    <s v="QBA"/>
    <n v="30"/>
  </r>
  <r>
    <x v="7"/>
    <d v="2022-11-06T00:00:00"/>
    <n v="2"/>
    <n v="50"/>
    <n v="100"/>
    <s v="Yes"/>
    <s v="Yes"/>
    <s v="SAT Math (Calculator Section)"/>
    <s v="No"/>
    <s v="QBA"/>
    <n v="100"/>
  </r>
  <r>
    <x v="7"/>
    <d v="2022-11-08T00:00:00"/>
    <n v="1"/>
    <n v="50"/>
    <n v="50"/>
    <s v="Yes"/>
    <s v="Yes"/>
    <s v="Trig Proofs"/>
    <s v="No"/>
    <s v="QBA"/>
    <n v="50"/>
  </r>
  <r>
    <x v="7"/>
    <d v="2022-11-19T00:00:00"/>
    <n v="1.5"/>
    <n v="50"/>
    <n v="75"/>
    <s v="Yes"/>
    <s v="Yes"/>
    <s v="SAT English"/>
    <s v="No"/>
    <s v="QBA"/>
    <n v="75"/>
  </r>
  <r>
    <x v="7"/>
    <d v="2022-11-26T00:00:00"/>
    <n v="1.5"/>
    <n v="50"/>
    <n v="75"/>
    <s v="Yes"/>
    <s v="Yes"/>
    <s v="SAT Grammar"/>
    <s v="No"/>
    <s v="QBA"/>
    <n v="75"/>
  </r>
  <r>
    <x v="7"/>
    <d v="2022-11-27T00:00:00"/>
    <n v="1.5"/>
    <n v="50"/>
    <n v="75"/>
    <s v="Yes"/>
    <s v="Yes"/>
    <s v="SAT Reading Comprehension"/>
    <s v="No"/>
    <s v="QBA"/>
    <n v="75"/>
  </r>
  <r>
    <x v="8"/>
    <d v="2022-11-03T00:00:00"/>
    <n v="1.25"/>
    <n v="50"/>
    <n v="62.5"/>
    <s v="Yes"/>
    <s v="Yes"/>
    <s v="Difference Quotient, pre-calc"/>
    <s v="No"/>
    <s v="Yes"/>
    <n v="62.5"/>
  </r>
  <r>
    <x v="8"/>
    <d v="2022-11-08T00:00:00"/>
    <n v="1"/>
    <n v="50"/>
    <n v="50"/>
    <s v="Yes"/>
    <s v="Yes"/>
    <s v="AOS Integrated Math and Science"/>
    <s v="No"/>
    <s v="QBA"/>
    <n v="50"/>
  </r>
  <r>
    <x v="8"/>
    <d v="2022-11-10T00:00:00"/>
    <n v="1.25"/>
    <n v="50"/>
    <n v="62.5"/>
    <s v="Yes"/>
    <s v="Yes"/>
    <s v="Physics - Position and Veloicty"/>
    <s v="No"/>
    <s v="QBA"/>
    <n v="62.5"/>
  </r>
  <r>
    <x v="8"/>
    <d v="2022-11-21T00:00:00"/>
    <n v="1.5"/>
    <n v="50"/>
    <n v="75"/>
    <s v="Yes"/>
    <s v="Yes"/>
    <s v="AOS Integrated Math and Science"/>
    <s v="No"/>
    <s v="QBA"/>
    <n v="75"/>
  </r>
  <r>
    <x v="8"/>
    <d v="2022-11-26T00:00:00"/>
    <n v="1"/>
    <n v="50"/>
    <n v="50"/>
    <s v="Yes"/>
    <s v="Yes"/>
    <s v="AOS Integrated Math and Science"/>
    <s v="No"/>
    <s v="QBA"/>
    <n v="50"/>
  </r>
  <r>
    <x v="8"/>
    <d v="2022-11-27T00:00:00"/>
    <n v="2"/>
    <n v="50"/>
    <n v="100"/>
    <s v="Yes"/>
    <s v="Yes"/>
    <s v="AOS Integrated Math and Science"/>
    <s v="No"/>
    <s v="QBA"/>
    <n v="100"/>
  </r>
  <r>
    <x v="8"/>
    <d v="2022-11-28T00:00:00"/>
    <n v="1"/>
    <n v="50"/>
    <n v="50"/>
    <s v="Yes"/>
    <s v="Yes"/>
    <s v="AOS Integrated Math and Science"/>
    <s v="No"/>
    <s v="QBA"/>
    <n v="50"/>
  </r>
  <r>
    <x v="9"/>
    <d v="2022-11-30T00:00:00"/>
    <n v="2"/>
    <n v="50"/>
    <n v="100"/>
    <s v="Yes"/>
    <s v="Yes"/>
    <s v="Chemistry"/>
    <s v="No"/>
    <s v="QBA"/>
    <n v="100"/>
  </r>
  <r>
    <x v="10"/>
    <d v="2022-11-21T00:00:00"/>
    <n v="1"/>
    <n v="60"/>
    <n v="60"/>
    <s v="Yes"/>
    <s v="Yes"/>
    <s v="Physics - Angles, Motion"/>
    <m/>
    <s v="QBA"/>
    <n v="6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29E4AA-C066-42A7-97F8-2643FFBDC7EF}" name="PivotTable3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O18:Q36" firstHeaderRow="0" firstDataRow="1" firstDataCol="1"/>
  <pivotFields count="11">
    <pivotField axis="axisRow"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umFmtId="16" showAll="0"/>
    <pivotField dataField="1" showAll="0"/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Hours" fld="2" baseField="0" baseItem="0"/>
    <dataField name="Sum of Coin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6E357D-8EA8-4F97-A879-3A48C0495C5B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O10:Q20" firstHeaderRow="0" firstDataRow="1" firstDataCol="1"/>
  <pivotFields count="10">
    <pivotField axis="axisRow" showAll="0">
      <items count="10">
        <item x="5"/>
        <item x="2"/>
        <item x="7"/>
        <item x="3"/>
        <item x="4"/>
        <item x="1"/>
        <item x="6"/>
        <item x="0"/>
        <item x="8"/>
        <item t="default"/>
      </items>
    </pivotField>
    <pivotField numFmtId="16" showAll="0"/>
    <pivotField dataField="1"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Hours" fld="2" baseField="0" baseItem="0"/>
    <dataField name="Sum of Coin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B6D204-EEC9-4877-9298-15233B036C3D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O5:Q11" firstHeaderRow="0" firstDataRow="1" firstDataCol="1"/>
  <pivotFields count="10">
    <pivotField axis="axisRow" showAll="0">
      <items count="6">
        <item x="0"/>
        <item x="2"/>
        <item x="4"/>
        <item x="1"/>
        <item x="3"/>
        <item t="default"/>
      </items>
    </pivotField>
    <pivotField numFmtId="14" showAll="0"/>
    <pivotField dataField="1"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Hours" fld="2" baseField="0" baseItem="0"/>
    <dataField name="Sum of Coin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872157-608F-4E6E-8684-6F9401855189}" name="PivotTable3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R2:T14" firstHeaderRow="0" firstDataRow="1" firstDataCol="1"/>
  <pivotFields count="11"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umFmtId="16" showAll="0"/>
    <pivotField dataField="1" showAll="0"/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Hours" fld="2" baseField="0" baseItem="0"/>
    <dataField name="Sum of Coin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S71" dT="2022-12-01T04:02:35.34" personId="{1EAB70DF-57F2-4E03-B78C-7A4DE89F3DCA}" id="{735C9239-FB8A-4B36-9D20-C68BC4D2B976}">
    <text>Tax Advice JMM Group LLC</text>
  </threadedComment>
  <threadedComment ref="T71" dT="2022-12-01T04:02:35.34" personId="{1EAB70DF-57F2-4E03-B78C-7A4DE89F3DCA}" id="{701A54C3-1B46-4893-BC62-B2EFF266C055}">
    <text>Offboarding JMM Group LLC</text>
  </threadedComment>
  <threadedComment ref="AF76" dT="2024-06-17T20:02:59.72" personId="{1EAB70DF-57F2-4E03-B78C-7A4DE89F3DCA}" id="{2562B8DD-0805-4553-A630-43D324DEF683}">
    <text>Need to question which utilities are business related</text>
  </threadedComment>
</ThreadedComment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pivotTable" Target="../pivotTables/pivotTable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pivotTable" Target="../pivotTables/pivotTable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pivotTable" Target="../pivotTables/pivotTable3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7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01BF3-DA73-4F62-AD90-BD106EE48A29}">
  <dimension ref="A1"/>
  <sheetViews>
    <sheetView showGridLines="0" workbookViewId="0">
      <selection activeCell="B2" sqref="B2"/>
    </sheetView>
  </sheetViews>
  <sheetFormatPr defaultRowHeight="14.4" x14ac:dyDescent="0.3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5704F9-EB95-4406-8456-593F4CDE8E21}">
  <dimension ref="A1"/>
  <sheetViews>
    <sheetView showGridLines="0" zoomScaleNormal="100" workbookViewId="0">
      <selection activeCell="A2" sqref="A2"/>
    </sheetView>
  </sheetViews>
  <sheetFormatPr defaultRowHeight="14.4" x14ac:dyDescent="0.3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71969-6692-436E-A9D4-61C76D6D34C8}">
  <dimension ref="A1:Q43"/>
  <sheetViews>
    <sheetView topLeftCell="N1" workbookViewId="0">
      <pane ySplit="1" topLeftCell="A15" activePane="bottomLeft" state="frozen"/>
      <selection activeCell="R3" sqref="R3:R13"/>
      <selection pane="bottomLeft" activeCell="R3" sqref="R3:R13"/>
    </sheetView>
  </sheetViews>
  <sheetFormatPr defaultColWidth="9.109375" defaultRowHeight="14.4" x14ac:dyDescent="0.3"/>
  <cols>
    <col min="1" max="1" width="17.33203125" style="38" bestFit="1" customWidth="1"/>
    <col min="2" max="2" width="7.44140625" style="38" bestFit="1" customWidth="1"/>
    <col min="3" max="3" width="8.44140625" style="38" bestFit="1" customWidth="1"/>
    <col min="4" max="4" width="12.88671875" style="38" bestFit="1" customWidth="1"/>
    <col min="5" max="5" width="7.33203125" style="38" bestFit="1" customWidth="1"/>
    <col min="6" max="6" width="31.5546875" style="38" bestFit="1" customWidth="1"/>
    <col min="7" max="7" width="21" style="38" bestFit="1" customWidth="1"/>
    <col min="8" max="8" width="43.33203125" style="38" bestFit="1" customWidth="1"/>
    <col min="9" max="9" width="7" style="38" bestFit="1" customWidth="1"/>
    <col min="10" max="10" width="106.109375" style="38" bestFit="1" customWidth="1"/>
    <col min="11" max="11" width="8.5546875" style="38" bestFit="1" customWidth="1"/>
    <col min="12" max="13" width="9.109375" style="38"/>
    <col min="14" max="14" width="39.109375" style="38" bestFit="1" customWidth="1"/>
    <col min="15" max="15" width="17.33203125" style="38" bestFit="1" customWidth="1"/>
    <col min="16" max="16" width="12.6640625" style="38" bestFit="1" customWidth="1"/>
    <col min="17" max="17" width="11.5546875" style="38" bestFit="1" customWidth="1"/>
    <col min="18" max="16384" width="9.109375" style="38"/>
  </cols>
  <sheetData>
    <row r="1" spans="1:14" x14ac:dyDescent="0.3">
      <c r="A1" s="38" t="s">
        <v>53</v>
      </c>
      <c r="B1" s="38" t="s">
        <v>54</v>
      </c>
      <c r="C1" s="38" t="s">
        <v>55</v>
      </c>
      <c r="D1" s="38" t="s">
        <v>56</v>
      </c>
      <c r="E1" s="38" t="s">
        <v>57</v>
      </c>
      <c r="F1" s="38" t="s">
        <v>58</v>
      </c>
      <c r="G1" s="38" t="s">
        <v>59</v>
      </c>
      <c r="H1" s="38" t="s">
        <v>60</v>
      </c>
      <c r="I1" s="38" t="s">
        <v>61</v>
      </c>
      <c r="J1" s="39" t="s">
        <v>62</v>
      </c>
      <c r="K1" s="38" t="s">
        <v>63</v>
      </c>
    </row>
    <row r="2" spans="1:14" x14ac:dyDescent="0.3">
      <c r="A2" s="40" t="s">
        <v>64</v>
      </c>
      <c r="B2" s="41">
        <v>44836</v>
      </c>
      <c r="C2" s="40">
        <v>1</v>
      </c>
      <c r="D2" s="40">
        <v>50</v>
      </c>
      <c r="E2" s="40">
        <v>50</v>
      </c>
      <c r="F2" s="40" t="s">
        <v>65</v>
      </c>
      <c r="G2" s="40" t="s">
        <v>65</v>
      </c>
      <c r="H2" s="40" t="s">
        <v>66</v>
      </c>
      <c r="I2" s="40" t="s">
        <v>67</v>
      </c>
      <c r="J2" s="42" t="s">
        <v>67</v>
      </c>
      <c r="K2" s="40">
        <v>50</v>
      </c>
      <c r="N2" s="38" t="s">
        <v>68</v>
      </c>
    </row>
    <row r="3" spans="1:14" x14ac:dyDescent="0.3">
      <c r="A3" s="40" t="s">
        <v>64</v>
      </c>
      <c r="B3" s="41">
        <v>44846</v>
      </c>
      <c r="C3" s="40">
        <v>2</v>
      </c>
      <c r="D3" s="40">
        <v>50</v>
      </c>
      <c r="E3" s="40">
        <v>100</v>
      </c>
      <c r="F3" s="40" t="s">
        <v>65</v>
      </c>
      <c r="G3" s="40" t="s">
        <v>65</v>
      </c>
      <c r="H3" s="40" t="s">
        <v>69</v>
      </c>
      <c r="I3" s="40" t="s">
        <v>67</v>
      </c>
      <c r="J3" s="40" t="s">
        <v>70</v>
      </c>
      <c r="K3" s="40">
        <v>100</v>
      </c>
    </row>
    <row r="4" spans="1:14" x14ac:dyDescent="0.3">
      <c r="A4" s="40" t="s">
        <v>64</v>
      </c>
      <c r="B4" s="41">
        <v>44858</v>
      </c>
      <c r="C4" s="40">
        <v>1</v>
      </c>
      <c r="D4" s="40">
        <v>50</v>
      </c>
      <c r="E4" s="40">
        <v>50</v>
      </c>
      <c r="F4" s="40" t="s">
        <v>65</v>
      </c>
      <c r="G4" s="40" t="s">
        <v>65</v>
      </c>
      <c r="H4" s="40" t="s">
        <v>71</v>
      </c>
      <c r="I4" s="40" t="s">
        <v>67</v>
      </c>
      <c r="J4" s="40" t="s">
        <v>70</v>
      </c>
      <c r="K4" s="40">
        <v>50</v>
      </c>
    </row>
    <row r="5" spans="1:14" x14ac:dyDescent="0.3">
      <c r="A5" s="40" t="s">
        <v>64</v>
      </c>
      <c r="B5" s="41">
        <v>44859</v>
      </c>
      <c r="C5" s="40">
        <v>0.75</v>
      </c>
      <c r="D5" s="40">
        <v>50</v>
      </c>
      <c r="E5" s="40">
        <v>37.5</v>
      </c>
      <c r="F5" s="40" t="s">
        <v>65</v>
      </c>
      <c r="G5" s="40" t="s">
        <v>65</v>
      </c>
      <c r="H5" s="40" t="s">
        <v>72</v>
      </c>
      <c r="I5" s="40" t="s">
        <v>67</v>
      </c>
      <c r="J5" s="40" t="s">
        <v>70</v>
      </c>
      <c r="K5" s="40">
        <v>37.5</v>
      </c>
    </row>
    <row r="6" spans="1:14" x14ac:dyDescent="0.3">
      <c r="A6" s="40" t="s">
        <v>64</v>
      </c>
      <c r="B6" s="41">
        <v>44861</v>
      </c>
      <c r="C6" s="40">
        <v>1</v>
      </c>
      <c r="D6" s="40">
        <v>50</v>
      </c>
      <c r="E6" s="40">
        <v>50</v>
      </c>
      <c r="F6" s="40" t="s">
        <v>65</v>
      </c>
      <c r="G6" s="40" t="s">
        <v>65</v>
      </c>
      <c r="H6" s="40" t="s">
        <v>73</v>
      </c>
      <c r="I6" s="40" t="s">
        <v>67</v>
      </c>
      <c r="J6" s="40" t="s">
        <v>70</v>
      </c>
      <c r="K6" s="40">
        <v>50</v>
      </c>
    </row>
    <row r="7" spans="1:14" x14ac:dyDescent="0.3">
      <c r="A7" s="40" t="s">
        <v>74</v>
      </c>
      <c r="B7" s="41">
        <v>44849</v>
      </c>
      <c r="C7" s="40">
        <v>1</v>
      </c>
      <c r="D7" s="40">
        <v>60</v>
      </c>
      <c r="E7" s="40">
        <v>60</v>
      </c>
      <c r="F7" s="40" t="s">
        <v>65</v>
      </c>
      <c r="G7" s="40" t="s">
        <v>65</v>
      </c>
      <c r="H7" s="40" t="s">
        <v>75</v>
      </c>
      <c r="I7" s="40" t="s">
        <v>67</v>
      </c>
      <c r="J7" s="40" t="s">
        <v>70</v>
      </c>
      <c r="K7" s="40">
        <v>60</v>
      </c>
    </row>
    <row r="8" spans="1:14" x14ac:dyDescent="0.3">
      <c r="A8" s="40" t="s">
        <v>76</v>
      </c>
      <c r="B8" s="41">
        <v>44852</v>
      </c>
      <c r="C8" s="40">
        <v>3.5</v>
      </c>
      <c r="D8" s="40">
        <v>50</v>
      </c>
      <c r="E8" s="40">
        <v>175</v>
      </c>
      <c r="F8" s="40" t="s">
        <v>65</v>
      </c>
      <c r="G8" s="40" t="s">
        <v>65</v>
      </c>
      <c r="H8" s="40" t="s">
        <v>77</v>
      </c>
      <c r="I8" s="40" t="s">
        <v>65</v>
      </c>
      <c r="J8" s="40" t="s">
        <v>78</v>
      </c>
      <c r="K8" s="40">
        <v>200</v>
      </c>
    </row>
    <row r="9" spans="1:14" x14ac:dyDescent="0.3">
      <c r="A9" s="40" t="s">
        <v>76</v>
      </c>
      <c r="B9" s="41">
        <v>44857</v>
      </c>
      <c r="C9" s="40">
        <v>1</v>
      </c>
      <c r="D9" s="40">
        <v>50</v>
      </c>
      <c r="E9" s="40">
        <v>50</v>
      </c>
      <c r="F9" s="40" t="s">
        <v>65</v>
      </c>
      <c r="G9" s="40" t="s">
        <v>65</v>
      </c>
      <c r="H9" s="40" t="s">
        <v>79</v>
      </c>
      <c r="I9" s="40" t="s">
        <v>67</v>
      </c>
      <c r="J9" s="40" t="s">
        <v>80</v>
      </c>
      <c r="K9" s="40">
        <v>50</v>
      </c>
    </row>
    <row r="10" spans="1:14" x14ac:dyDescent="0.3">
      <c r="A10" s="40" t="s">
        <v>81</v>
      </c>
      <c r="B10" s="41">
        <v>44837</v>
      </c>
      <c r="C10" s="40">
        <v>1</v>
      </c>
      <c r="D10" s="40">
        <v>50</v>
      </c>
      <c r="E10" s="40">
        <v>50</v>
      </c>
      <c r="F10" s="40" t="s">
        <v>65</v>
      </c>
      <c r="G10" s="40" t="s">
        <v>65</v>
      </c>
      <c r="H10" s="40" t="s">
        <v>82</v>
      </c>
      <c r="I10" s="40" t="s">
        <v>67</v>
      </c>
      <c r="J10" s="40" t="s">
        <v>70</v>
      </c>
      <c r="K10" s="40">
        <v>50</v>
      </c>
    </row>
    <row r="11" spans="1:14" x14ac:dyDescent="0.3">
      <c r="A11" s="40" t="s">
        <v>83</v>
      </c>
      <c r="B11" s="41">
        <v>44842</v>
      </c>
      <c r="C11" s="40">
        <v>1</v>
      </c>
      <c r="D11" s="40">
        <v>60</v>
      </c>
      <c r="E11" s="40">
        <v>60</v>
      </c>
      <c r="F11" s="40" t="s">
        <v>65</v>
      </c>
      <c r="G11" s="40" t="s">
        <v>65</v>
      </c>
      <c r="H11" s="40" t="s">
        <v>84</v>
      </c>
      <c r="I11" s="40" t="s">
        <v>67</v>
      </c>
      <c r="J11" s="40" t="s">
        <v>70</v>
      </c>
      <c r="K11" s="40">
        <v>60</v>
      </c>
    </row>
    <row r="12" spans="1:14" x14ac:dyDescent="0.3">
      <c r="A12" s="40" t="s">
        <v>83</v>
      </c>
      <c r="B12" s="41">
        <v>44846</v>
      </c>
      <c r="C12" s="40">
        <v>1</v>
      </c>
      <c r="D12" s="40">
        <v>60</v>
      </c>
      <c r="E12" s="40">
        <v>60</v>
      </c>
      <c r="F12" s="40" t="s">
        <v>65</v>
      </c>
      <c r="G12" s="40" t="s">
        <v>65</v>
      </c>
      <c r="H12" s="40" t="s">
        <v>84</v>
      </c>
      <c r="I12" s="40" t="s">
        <v>67</v>
      </c>
      <c r="J12" s="40" t="s">
        <v>70</v>
      </c>
      <c r="K12" s="40">
        <v>60</v>
      </c>
    </row>
    <row r="13" spans="1:14" x14ac:dyDescent="0.3">
      <c r="A13" s="40" t="s">
        <v>83</v>
      </c>
      <c r="B13" s="41">
        <v>44853</v>
      </c>
      <c r="C13" s="40">
        <v>1.25</v>
      </c>
      <c r="D13" s="40">
        <v>60</v>
      </c>
      <c r="E13" s="40">
        <v>75</v>
      </c>
      <c r="F13" s="40" t="s">
        <v>65</v>
      </c>
      <c r="G13" s="40" t="s">
        <v>65</v>
      </c>
      <c r="H13" s="40" t="s">
        <v>85</v>
      </c>
      <c r="I13" s="40" t="s">
        <v>67</v>
      </c>
      <c r="J13" s="40" t="s">
        <v>70</v>
      </c>
      <c r="K13" s="40">
        <v>75</v>
      </c>
    </row>
    <row r="14" spans="1:14" x14ac:dyDescent="0.3">
      <c r="A14" s="40" t="s">
        <v>86</v>
      </c>
      <c r="B14" s="41">
        <v>44856</v>
      </c>
      <c r="C14" s="40">
        <v>1</v>
      </c>
      <c r="D14" s="40">
        <v>60</v>
      </c>
      <c r="E14" s="40">
        <v>60</v>
      </c>
      <c r="F14" s="40" t="s">
        <v>65</v>
      </c>
      <c r="G14" s="40" t="s">
        <v>65</v>
      </c>
      <c r="H14" s="40" t="s">
        <v>84</v>
      </c>
      <c r="I14" s="40" t="s">
        <v>67</v>
      </c>
      <c r="J14" s="40" t="s">
        <v>70</v>
      </c>
      <c r="K14" s="40">
        <v>60</v>
      </c>
      <c r="N14" s="38" t="s">
        <v>87</v>
      </c>
    </row>
    <row r="15" spans="1:14" x14ac:dyDescent="0.3">
      <c r="A15" s="40" t="s">
        <v>88</v>
      </c>
      <c r="B15" s="41">
        <v>44845</v>
      </c>
      <c r="C15" s="40">
        <v>1</v>
      </c>
      <c r="D15" s="40">
        <v>50</v>
      </c>
      <c r="E15" s="40">
        <v>50</v>
      </c>
      <c r="F15" s="40" t="s">
        <v>65</v>
      </c>
      <c r="G15" s="40" t="s">
        <v>65</v>
      </c>
      <c r="H15" s="40" t="s">
        <v>89</v>
      </c>
      <c r="I15" s="40" t="s">
        <v>67</v>
      </c>
      <c r="J15" s="40" t="s">
        <v>70</v>
      </c>
      <c r="K15" s="40">
        <v>50</v>
      </c>
    </row>
    <row r="16" spans="1:14" x14ac:dyDescent="0.3">
      <c r="A16" s="40" t="s">
        <v>88</v>
      </c>
      <c r="B16" s="41">
        <v>44851</v>
      </c>
      <c r="C16" s="40">
        <v>1.5</v>
      </c>
      <c r="D16" s="40">
        <v>50</v>
      </c>
      <c r="E16" s="40">
        <v>75</v>
      </c>
      <c r="F16" s="40" t="s">
        <v>65</v>
      </c>
      <c r="G16" s="40" t="s">
        <v>65</v>
      </c>
      <c r="H16" s="40" t="s">
        <v>90</v>
      </c>
      <c r="I16" s="40" t="s">
        <v>67</v>
      </c>
      <c r="J16" s="40" t="s">
        <v>70</v>
      </c>
      <c r="K16" s="40">
        <v>75</v>
      </c>
    </row>
    <row r="17" spans="1:17" x14ac:dyDescent="0.3">
      <c r="A17" s="40" t="s">
        <v>91</v>
      </c>
      <c r="B17" s="41">
        <v>44851</v>
      </c>
      <c r="C17" s="40">
        <v>1.5</v>
      </c>
      <c r="D17" s="40">
        <v>50</v>
      </c>
      <c r="E17" s="40">
        <v>75</v>
      </c>
      <c r="F17" s="40" t="s">
        <v>65</v>
      </c>
      <c r="G17" s="40" t="s">
        <v>65</v>
      </c>
      <c r="H17" s="40" t="s">
        <v>92</v>
      </c>
      <c r="I17" s="40" t="s">
        <v>67</v>
      </c>
      <c r="J17" s="40" t="s">
        <v>70</v>
      </c>
      <c r="K17" s="40">
        <v>75</v>
      </c>
    </row>
    <row r="18" spans="1:17" x14ac:dyDescent="0.3">
      <c r="A18" s="40" t="s">
        <v>91</v>
      </c>
      <c r="B18" s="41">
        <v>44857</v>
      </c>
      <c r="C18" s="40">
        <v>1.5</v>
      </c>
      <c r="D18" s="40">
        <v>50</v>
      </c>
      <c r="E18" s="40">
        <v>75</v>
      </c>
      <c r="F18" s="40" t="s">
        <v>65</v>
      </c>
      <c r="G18" s="40" t="s">
        <v>65</v>
      </c>
      <c r="H18" s="40" t="s">
        <v>92</v>
      </c>
      <c r="I18" s="40" t="s">
        <v>67</v>
      </c>
      <c r="J18" s="40" t="s">
        <v>70</v>
      </c>
      <c r="K18" s="40">
        <v>75</v>
      </c>
      <c r="O18" s="48" t="s">
        <v>134</v>
      </c>
      <c r="P18" t="s">
        <v>136</v>
      </c>
      <c r="Q18" t="s">
        <v>137</v>
      </c>
    </row>
    <row r="19" spans="1:17" x14ac:dyDescent="0.3">
      <c r="A19" s="40" t="s">
        <v>93</v>
      </c>
      <c r="B19" s="41">
        <v>44836</v>
      </c>
      <c r="C19" s="40">
        <v>1.5</v>
      </c>
      <c r="D19" s="40">
        <v>50</v>
      </c>
      <c r="E19" s="40">
        <v>75</v>
      </c>
      <c r="F19" s="40" t="s">
        <v>65</v>
      </c>
      <c r="G19" s="40" t="s">
        <v>65</v>
      </c>
      <c r="H19" s="40" t="s">
        <v>94</v>
      </c>
      <c r="I19" s="40" t="s">
        <v>67</v>
      </c>
      <c r="J19" s="42" t="s">
        <v>67</v>
      </c>
      <c r="K19" s="40">
        <v>75</v>
      </c>
      <c r="O19" s="49" t="s">
        <v>64</v>
      </c>
      <c r="P19">
        <v>5.75</v>
      </c>
      <c r="Q19">
        <v>287.5</v>
      </c>
    </row>
    <row r="20" spans="1:17" x14ac:dyDescent="0.3">
      <c r="A20" s="40" t="s">
        <v>95</v>
      </c>
      <c r="B20" s="41">
        <v>44836</v>
      </c>
      <c r="C20" s="40">
        <v>2</v>
      </c>
      <c r="D20" s="40">
        <v>50</v>
      </c>
      <c r="E20" s="40">
        <v>100</v>
      </c>
      <c r="F20" s="40" t="s">
        <v>65</v>
      </c>
      <c r="G20" s="40" t="s">
        <v>65</v>
      </c>
      <c r="H20" s="40" t="s">
        <v>96</v>
      </c>
      <c r="I20" s="40" t="s">
        <v>67</v>
      </c>
      <c r="J20" s="42" t="s">
        <v>67</v>
      </c>
      <c r="K20" s="40">
        <v>100</v>
      </c>
      <c r="O20" s="49" t="s">
        <v>74</v>
      </c>
      <c r="P20">
        <v>1</v>
      </c>
      <c r="Q20">
        <v>60</v>
      </c>
    </row>
    <row r="21" spans="1:17" ht="14.25" customHeight="1" x14ac:dyDescent="0.3">
      <c r="A21" s="40" t="s">
        <v>95</v>
      </c>
      <c r="B21" s="41">
        <v>44854</v>
      </c>
      <c r="C21" s="40">
        <v>1.5</v>
      </c>
      <c r="D21" s="40">
        <v>50</v>
      </c>
      <c r="E21" s="40">
        <v>75</v>
      </c>
      <c r="F21" s="40" t="s">
        <v>65</v>
      </c>
      <c r="G21" s="40" t="s">
        <v>65</v>
      </c>
      <c r="H21" s="40" t="s">
        <v>96</v>
      </c>
      <c r="I21" s="40" t="s">
        <v>67</v>
      </c>
      <c r="J21" s="40" t="s">
        <v>97</v>
      </c>
      <c r="K21" s="40">
        <v>75</v>
      </c>
      <c r="O21" s="49" t="s">
        <v>76</v>
      </c>
      <c r="P21">
        <v>4.5</v>
      </c>
      <c r="Q21">
        <v>225</v>
      </c>
    </row>
    <row r="22" spans="1:17" x14ac:dyDescent="0.3">
      <c r="A22" s="40" t="s">
        <v>98</v>
      </c>
      <c r="B22" s="41">
        <v>44847</v>
      </c>
      <c r="C22" s="40">
        <v>2</v>
      </c>
      <c r="D22" s="40">
        <v>50</v>
      </c>
      <c r="E22" s="40">
        <v>100</v>
      </c>
      <c r="F22" s="40" t="s">
        <v>65</v>
      </c>
      <c r="G22" s="40" t="s">
        <v>65</v>
      </c>
      <c r="H22" s="40" t="s">
        <v>99</v>
      </c>
      <c r="I22" s="40" t="s">
        <v>67</v>
      </c>
      <c r="J22" s="40" t="s">
        <v>70</v>
      </c>
      <c r="K22" s="40">
        <v>100</v>
      </c>
      <c r="O22" s="49" t="s">
        <v>81</v>
      </c>
      <c r="P22">
        <v>1</v>
      </c>
      <c r="Q22">
        <v>50</v>
      </c>
    </row>
    <row r="23" spans="1:17" x14ac:dyDescent="0.3">
      <c r="A23" s="40" t="s">
        <v>100</v>
      </c>
      <c r="B23" s="41">
        <v>44856</v>
      </c>
      <c r="C23" s="40">
        <v>0.5</v>
      </c>
      <c r="D23" s="40">
        <v>60</v>
      </c>
      <c r="E23" s="40">
        <v>30</v>
      </c>
      <c r="F23" s="40" t="s">
        <v>65</v>
      </c>
      <c r="G23" s="40" t="s">
        <v>65</v>
      </c>
      <c r="H23" s="40" t="s">
        <v>101</v>
      </c>
      <c r="I23" s="40" t="s">
        <v>67</v>
      </c>
      <c r="J23" s="40" t="s">
        <v>70</v>
      </c>
      <c r="K23" s="40">
        <v>30</v>
      </c>
      <c r="O23" s="49" t="s">
        <v>83</v>
      </c>
      <c r="P23">
        <v>3.25</v>
      </c>
      <c r="Q23">
        <v>195</v>
      </c>
    </row>
    <row r="24" spans="1:17" x14ac:dyDescent="0.3">
      <c r="A24" s="40" t="s">
        <v>102</v>
      </c>
      <c r="B24" s="41">
        <v>44857</v>
      </c>
      <c r="C24" s="40">
        <v>2</v>
      </c>
      <c r="D24" s="40">
        <v>50</v>
      </c>
      <c r="E24" s="40">
        <v>100</v>
      </c>
      <c r="F24" s="40" t="s">
        <v>65</v>
      </c>
      <c r="G24" s="40" t="s">
        <v>65</v>
      </c>
      <c r="H24" s="40" t="s">
        <v>103</v>
      </c>
      <c r="I24" s="40" t="s">
        <v>67</v>
      </c>
      <c r="J24" s="40" t="s">
        <v>70</v>
      </c>
      <c r="K24" s="40">
        <v>100</v>
      </c>
      <c r="O24" s="49" t="s">
        <v>86</v>
      </c>
      <c r="P24">
        <v>1</v>
      </c>
      <c r="Q24">
        <v>60</v>
      </c>
    </row>
    <row r="25" spans="1:17" x14ac:dyDescent="0.3">
      <c r="A25" s="40" t="s">
        <v>102</v>
      </c>
      <c r="B25" s="41">
        <v>44863</v>
      </c>
      <c r="C25" s="40">
        <v>1</v>
      </c>
      <c r="D25" s="40">
        <v>50</v>
      </c>
      <c r="E25" s="40">
        <v>50</v>
      </c>
      <c r="F25" s="40" t="s">
        <v>65</v>
      </c>
      <c r="G25" s="40" t="s">
        <v>65</v>
      </c>
      <c r="H25" s="40" t="s">
        <v>104</v>
      </c>
      <c r="I25" s="40" t="s">
        <v>67</v>
      </c>
      <c r="J25" s="40" t="s">
        <v>70</v>
      </c>
      <c r="K25" s="40">
        <v>50</v>
      </c>
      <c r="O25" s="49" t="s">
        <v>88</v>
      </c>
      <c r="P25">
        <v>2.5</v>
      </c>
      <c r="Q25">
        <v>125</v>
      </c>
    </row>
    <row r="26" spans="1:17" x14ac:dyDescent="0.3">
      <c r="A26" s="40" t="s">
        <v>102</v>
      </c>
      <c r="B26" s="41">
        <v>44865</v>
      </c>
      <c r="C26" s="40">
        <v>1</v>
      </c>
      <c r="D26" s="40">
        <v>50</v>
      </c>
      <c r="E26" s="40">
        <v>50</v>
      </c>
      <c r="F26" s="40" t="s">
        <v>65</v>
      </c>
      <c r="G26" s="40" t="s">
        <v>65</v>
      </c>
      <c r="H26" s="40" t="s">
        <v>104</v>
      </c>
      <c r="I26" s="40" t="s">
        <v>67</v>
      </c>
      <c r="J26" s="40" t="s">
        <v>70</v>
      </c>
      <c r="K26" s="40">
        <v>50</v>
      </c>
      <c r="O26" s="49" t="s">
        <v>91</v>
      </c>
      <c r="P26">
        <v>3</v>
      </c>
      <c r="Q26">
        <v>150</v>
      </c>
    </row>
    <row r="27" spans="1:17" x14ac:dyDescent="0.3">
      <c r="A27" s="40" t="s">
        <v>105</v>
      </c>
      <c r="B27" s="41">
        <v>44838</v>
      </c>
      <c r="C27" s="40">
        <v>1</v>
      </c>
      <c r="D27" s="40">
        <v>50</v>
      </c>
      <c r="E27" s="40">
        <v>50</v>
      </c>
      <c r="F27" s="40" t="s">
        <v>65</v>
      </c>
      <c r="G27" s="40" t="s">
        <v>65</v>
      </c>
      <c r="H27" s="40" t="s">
        <v>106</v>
      </c>
      <c r="I27" s="40" t="s">
        <v>67</v>
      </c>
      <c r="J27" s="40" t="s">
        <v>70</v>
      </c>
      <c r="K27" s="40">
        <v>50</v>
      </c>
      <c r="O27" s="49" t="s">
        <v>93</v>
      </c>
      <c r="P27">
        <v>1.5</v>
      </c>
      <c r="Q27">
        <v>75</v>
      </c>
    </row>
    <row r="28" spans="1:17" x14ac:dyDescent="0.3">
      <c r="A28" s="40" t="s">
        <v>105</v>
      </c>
      <c r="B28" s="41">
        <v>44840</v>
      </c>
      <c r="C28" s="40">
        <v>2</v>
      </c>
      <c r="D28" s="40">
        <v>50</v>
      </c>
      <c r="E28" s="40">
        <v>100</v>
      </c>
      <c r="F28" s="40" t="s">
        <v>65</v>
      </c>
      <c r="G28" s="40" t="s">
        <v>65</v>
      </c>
      <c r="H28" s="40" t="s">
        <v>106</v>
      </c>
      <c r="I28" s="40" t="s">
        <v>67</v>
      </c>
      <c r="J28" s="40" t="s">
        <v>70</v>
      </c>
      <c r="K28" s="40">
        <v>100</v>
      </c>
      <c r="O28" s="49" t="s">
        <v>95</v>
      </c>
      <c r="P28">
        <v>3.5</v>
      </c>
      <c r="Q28">
        <v>175</v>
      </c>
    </row>
    <row r="29" spans="1:17" x14ac:dyDescent="0.3">
      <c r="A29" s="40" t="s">
        <v>105</v>
      </c>
      <c r="B29" s="41">
        <v>44851</v>
      </c>
      <c r="C29" s="40">
        <v>1.5</v>
      </c>
      <c r="D29" s="40">
        <v>50</v>
      </c>
      <c r="E29" s="40">
        <v>75</v>
      </c>
      <c r="F29" s="40" t="s">
        <v>65</v>
      </c>
      <c r="G29" s="40" t="s">
        <v>65</v>
      </c>
      <c r="H29" s="40" t="s">
        <v>107</v>
      </c>
      <c r="I29" s="40" t="s">
        <v>67</v>
      </c>
      <c r="J29" s="40" t="s">
        <v>70</v>
      </c>
      <c r="K29" s="40">
        <v>75</v>
      </c>
      <c r="O29" s="49" t="s">
        <v>98</v>
      </c>
      <c r="P29">
        <v>2</v>
      </c>
      <c r="Q29">
        <v>100</v>
      </c>
    </row>
    <row r="30" spans="1:17" x14ac:dyDescent="0.3">
      <c r="A30" s="40" t="s">
        <v>105</v>
      </c>
      <c r="B30" s="41">
        <v>44857</v>
      </c>
      <c r="C30" s="40">
        <v>1</v>
      </c>
      <c r="D30" s="40">
        <v>50</v>
      </c>
      <c r="E30" s="40">
        <v>75</v>
      </c>
      <c r="F30" s="40" t="s">
        <v>65</v>
      </c>
      <c r="G30" s="40" t="s">
        <v>65</v>
      </c>
      <c r="H30" s="40" t="s">
        <v>106</v>
      </c>
      <c r="I30" s="40" t="s">
        <v>67</v>
      </c>
      <c r="J30" s="40" t="s">
        <v>70</v>
      </c>
      <c r="K30" s="40">
        <v>75</v>
      </c>
      <c r="O30" s="49" t="s">
        <v>100</v>
      </c>
      <c r="P30">
        <v>0.5</v>
      </c>
      <c r="Q30">
        <v>30</v>
      </c>
    </row>
    <row r="31" spans="1:17" x14ac:dyDescent="0.3">
      <c r="A31" s="40" t="s">
        <v>105</v>
      </c>
      <c r="B31" s="41">
        <v>44858</v>
      </c>
      <c r="C31" s="40">
        <v>1</v>
      </c>
      <c r="D31" s="40">
        <v>50</v>
      </c>
      <c r="E31" s="40">
        <v>50</v>
      </c>
      <c r="F31" s="40" t="s">
        <v>65</v>
      </c>
      <c r="G31" s="40" t="s">
        <v>65</v>
      </c>
      <c r="H31" s="40" t="s">
        <v>106</v>
      </c>
      <c r="I31" s="40" t="s">
        <v>67</v>
      </c>
      <c r="J31" s="40" t="s">
        <v>70</v>
      </c>
      <c r="K31" s="40">
        <v>50</v>
      </c>
      <c r="O31" s="49" t="s">
        <v>102</v>
      </c>
      <c r="P31">
        <v>4</v>
      </c>
      <c r="Q31">
        <v>200</v>
      </c>
    </row>
    <row r="32" spans="1:17" x14ac:dyDescent="0.3">
      <c r="A32" s="40" t="s">
        <v>105</v>
      </c>
      <c r="B32" s="41">
        <v>44859</v>
      </c>
      <c r="C32" s="40">
        <v>1</v>
      </c>
      <c r="D32" s="40">
        <v>50</v>
      </c>
      <c r="E32" s="40">
        <v>50</v>
      </c>
      <c r="F32" s="40" t="s">
        <v>65</v>
      </c>
      <c r="G32" s="40" t="s">
        <v>65</v>
      </c>
      <c r="H32" s="40" t="s">
        <v>106</v>
      </c>
      <c r="I32" s="40" t="s">
        <v>67</v>
      </c>
      <c r="J32" s="40" t="s">
        <v>70</v>
      </c>
      <c r="K32" s="40">
        <v>50</v>
      </c>
      <c r="O32" s="49" t="s">
        <v>105</v>
      </c>
      <c r="P32">
        <v>8.75</v>
      </c>
      <c r="Q32">
        <v>462.5</v>
      </c>
    </row>
    <row r="33" spans="1:17" x14ac:dyDescent="0.3">
      <c r="A33" s="40" t="s">
        <v>105</v>
      </c>
      <c r="B33" s="41">
        <v>44860</v>
      </c>
      <c r="C33" s="40">
        <v>1.25</v>
      </c>
      <c r="D33" s="40">
        <v>50</v>
      </c>
      <c r="E33" s="40">
        <v>62.5</v>
      </c>
      <c r="F33" s="40" t="s">
        <v>65</v>
      </c>
      <c r="G33" s="40" t="s">
        <v>65</v>
      </c>
      <c r="H33" s="40" t="s">
        <v>106</v>
      </c>
      <c r="I33" s="40" t="s">
        <v>67</v>
      </c>
      <c r="J33" s="40" t="s">
        <v>70</v>
      </c>
      <c r="K33" s="40">
        <v>62.5</v>
      </c>
      <c r="O33" s="49" t="s">
        <v>108</v>
      </c>
      <c r="P33">
        <v>1.5</v>
      </c>
      <c r="Q33">
        <v>75</v>
      </c>
    </row>
    <row r="34" spans="1:17" x14ac:dyDescent="0.3">
      <c r="A34" s="40" t="s">
        <v>108</v>
      </c>
      <c r="B34" s="41">
        <v>44846</v>
      </c>
      <c r="C34" s="40">
        <v>1.5</v>
      </c>
      <c r="D34" s="40">
        <v>50</v>
      </c>
      <c r="E34" s="40">
        <v>75</v>
      </c>
      <c r="F34" s="40" t="s">
        <v>65</v>
      </c>
      <c r="G34" s="40" t="s">
        <v>65</v>
      </c>
      <c r="H34" s="40" t="s">
        <v>109</v>
      </c>
      <c r="I34" s="40" t="s">
        <v>67</v>
      </c>
      <c r="J34" s="40" t="s">
        <v>70</v>
      </c>
      <c r="K34" s="40">
        <v>75</v>
      </c>
      <c r="O34" s="49" t="s">
        <v>110</v>
      </c>
      <c r="P34">
        <v>2</v>
      </c>
      <c r="Q34">
        <v>120</v>
      </c>
    </row>
    <row r="35" spans="1:17" x14ac:dyDescent="0.3">
      <c r="A35" s="40" t="s">
        <v>110</v>
      </c>
      <c r="B35" s="41">
        <v>44860</v>
      </c>
      <c r="C35" s="40">
        <v>1</v>
      </c>
      <c r="D35" s="40">
        <v>60</v>
      </c>
      <c r="E35" s="40">
        <v>60</v>
      </c>
      <c r="F35" s="40" t="s">
        <v>111</v>
      </c>
      <c r="G35" s="40" t="s">
        <v>65</v>
      </c>
      <c r="H35" s="40" t="s">
        <v>112</v>
      </c>
      <c r="I35" s="40" t="s">
        <v>67</v>
      </c>
      <c r="J35" s="40" t="s">
        <v>70</v>
      </c>
      <c r="K35" s="40">
        <v>60</v>
      </c>
      <c r="O35" s="49" t="s">
        <v>113</v>
      </c>
      <c r="P35">
        <v>11.5</v>
      </c>
      <c r="Q35">
        <v>450</v>
      </c>
    </row>
    <row r="36" spans="1:17" x14ac:dyDescent="0.3">
      <c r="A36" s="40" t="s">
        <v>110</v>
      </c>
      <c r="B36" s="41">
        <v>44861</v>
      </c>
      <c r="C36" s="40">
        <v>1</v>
      </c>
      <c r="D36" s="40">
        <v>60</v>
      </c>
      <c r="E36" s="40">
        <v>60</v>
      </c>
      <c r="F36" s="40" t="s">
        <v>65</v>
      </c>
      <c r="G36" s="40" t="s">
        <v>65</v>
      </c>
      <c r="H36" s="40" t="s">
        <v>112</v>
      </c>
      <c r="I36" s="40" t="s">
        <v>67</v>
      </c>
      <c r="J36" s="40" t="s">
        <v>70</v>
      </c>
      <c r="K36" s="40">
        <v>60</v>
      </c>
      <c r="O36" s="49" t="s">
        <v>135</v>
      </c>
      <c r="P36">
        <v>57.25</v>
      </c>
      <c r="Q36">
        <v>2840</v>
      </c>
    </row>
    <row r="37" spans="1:17" x14ac:dyDescent="0.3">
      <c r="A37" s="40" t="s">
        <v>113</v>
      </c>
      <c r="B37" s="41">
        <v>44840</v>
      </c>
      <c r="C37" s="40">
        <v>1.5</v>
      </c>
      <c r="D37" s="40">
        <v>50</v>
      </c>
      <c r="E37" s="40">
        <v>75</v>
      </c>
      <c r="F37" s="40" t="s">
        <v>65</v>
      </c>
      <c r="G37" s="40" t="s">
        <v>65</v>
      </c>
      <c r="H37" s="40" t="s">
        <v>114</v>
      </c>
      <c r="I37" s="40" t="s">
        <v>67</v>
      </c>
      <c r="J37" s="40" t="s">
        <v>70</v>
      </c>
      <c r="K37" s="40">
        <v>75</v>
      </c>
    </row>
    <row r="38" spans="1:17" x14ac:dyDescent="0.3">
      <c r="A38" s="40" t="s">
        <v>113</v>
      </c>
      <c r="B38" s="41">
        <v>44855</v>
      </c>
      <c r="C38" s="40">
        <v>2</v>
      </c>
      <c r="D38" s="40">
        <v>50</v>
      </c>
      <c r="E38" s="40">
        <v>100</v>
      </c>
      <c r="F38" s="40" t="s">
        <v>65</v>
      </c>
      <c r="G38" s="40" t="s">
        <v>65</v>
      </c>
      <c r="H38" s="40" t="s">
        <v>99</v>
      </c>
      <c r="I38" s="40" t="s">
        <v>67</v>
      </c>
      <c r="J38" s="40" t="s">
        <v>70</v>
      </c>
      <c r="K38" s="40">
        <v>100</v>
      </c>
    </row>
    <row r="39" spans="1:17" x14ac:dyDescent="0.3">
      <c r="A39" s="40" t="s">
        <v>113</v>
      </c>
      <c r="B39" s="41">
        <v>44857</v>
      </c>
      <c r="C39" s="40">
        <v>0.5</v>
      </c>
      <c r="D39" s="40">
        <v>50</v>
      </c>
      <c r="E39" s="40">
        <v>25</v>
      </c>
      <c r="F39" s="40" t="s">
        <v>67</v>
      </c>
      <c r="G39" s="40" t="s">
        <v>65</v>
      </c>
      <c r="H39" s="40" t="s">
        <v>99</v>
      </c>
      <c r="I39" s="40" t="s">
        <v>67</v>
      </c>
      <c r="J39" s="40" t="s">
        <v>70</v>
      </c>
      <c r="K39" s="40">
        <v>25</v>
      </c>
    </row>
    <row r="40" spans="1:17" x14ac:dyDescent="0.3">
      <c r="A40" s="40" t="s">
        <v>113</v>
      </c>
      <c r="B40" s="41">
        <v>44863</v>
      </c>
      <c r="C40" s="40">
        <v>5</v>
      </c>
      <c r="D40" s="40">
        <v>50</v>
      </c>
      <c r="E40" s="40">
        <v>125</v>
      </c>
      <c r="F40" s="40" t="s">
        <v>65</v>
      </c>
      <c r="G40" s="40" t="s">
        <v>65</v>
      </c>
      <c r="H40" s="40" t="s">
        <v>99</v>
      </c>
      <c r="I40" s="40" t="s">
        <v>67</v>
      </c>
      <c r="J40" s="40" t="s">
        <v>70</v>
      </c>
      <c r="K40" s="40">
        <v>250</v>
      </c>
    </row>
    <row r="41" spans="1:17" x14ac:dyDescent="0.3">
      <c r="A41" s="40" t="s">
        <v>113</v>
      </c>
      <c r="B41" s="41">
        <v>44864</v>
      </c>
      <c r="C41" s="40">
        <v>2.5</v>
      </c>
      <c r="D41" s="40">
        <v>50</v>
      </c>
      <c r="E41" s="40">
        <v>125</v>
      </c>
      <c r="F41" s="40" t="s">
        <v>65</v>
      </c>
      <c r="G41" s="40" t="s">
        <v>65</v>
      </c>
      <c r="H41" s="40" t="s">
        <v>99</v>
      </c>
      <c r="I41" s="40" t="s">
        <v>67</v>
      </c>
      <c r="J41" s="40" t="s">
        <v>115</v>
      </c>
      <c r="K41" s="40">
        <v>125</v>
      </c>
    </row>
    <row r="42" spans="1:17" x14ac:dyDescent="0.3">
      <c r="B42" s="43"/>
    </row>
    <row r="43" spans="1:17" x14ac:dyDescent="0.3">
      <c r="B43" s="43"/>
      <c r="K43" s="38">
        <f>SUM(K2:K41)</f>
        <v>2990</v>
      </c>
    </row>
  </sheetData>
  <autoFilter ref="A1:K41" xr:uid="{D3EF0EA6-529F-4507-9157-BE315FC3F571}">
    <sortState xmlns:xlrd2="http://schemas.microsoft.com/office/spreadsheetml/2017/richdata2" ref="A2:K41">
      <sortCondition ref="A1:A41"/>
    </sortState>
  </autoFilter>
  <pageMargins left="0.7" right="0.7" top="0.75" bottom="0.75" header="0.3" footer="0.3"/>
  <pageSetup orientation="portrait"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50884-CA0A-40B5-9B91-41BC9D88A1A2}">
  <dimension ref="A1:Q27"/>
  <sheetViews>
    <sheetView workbookViewId="0">
      <pane ySplit="1" topLeftCell="A2" activePane="bottomLeft" state="frozen"/>
      <selection activeCell="O19" sqref="O19:O35"/>
      <selection pane="bottomLeft" activeCell="O19" sqref="O19:O35"/>
    </sheetView>
  </sheetViews>
  <sheetFormatPr defaultColWidth="9.109375" defaultRowHeight="14.4" x14ac:dyDescent="0.3"/>
  <cols>
    <col min="1" max="1" width="16.33203125" style="38" bestFit="1" customWidth="1"/>
    <col min="2" max="2" width="7" style="38" bestFit="1" customWidth="1"/>
    <col min="3" max="3" width="6.109375" style="38" bestFit="1" customWidth="1"/>
    <col min="4" max="4" width="10.5546875" style="38" bestFit="1" customWidth="1"/>
    <col min="5" max="5" width="5" style="38" bestFit="1" customWidth="1"/>
    <col min="6" max="6" width="7.109375" style="38" bestFit="1" customWidth="1"/>
    <col min="7" max="7" width="38.5546875" style="38" bestFit="1" customWidth="1"/>
    <col min="8" max="8" width="27.109375" style="38" bestFit="1" customWidth="1"/>
    <col min="9" max="9" width="4.6640625" style="38" bestFit="1" customWidth="1"/>
    <col min="10" max="10" width="6.33203125" style="38" bestFit="1" customWidth="1"/>
    <col min="11" max="14" width="9.109375" style="38"/>
    <col min="15" max="15" width="16.33203125" style="38" bestFit="1" customWidth="1"/>
    <col min="16" max="16" width="12.6640625" style="38" bestFit="1" customWidth="1"/>
    <col min="17" max="17" width="11.5546875" style="38" bestFit="1" customWidth="1"/>
    <col min="18" max="16384" width="9.109375" style="38"/>
  </cols>
  <sheetData>
    <row r="1" spans="1:17" x14ac:dyDescent="0.3">
      <c r="A1" s="38" t="s">
        <v>53</v>
      </c>
      <c r="B1" s="38" t="s">
        <v>54</v>
      </c>
      <c r="C1" s="38" t="s">
        <v>55</v>
      </c>
      <c r="D1" s="38" t="s">
        <v>56</v>
      </c>
      <c r="E1" s="38" t="s">
        <v>57</v>
      </c>
      <c r="F1" s="38" t="s">
        <v>58</v>
      </c>
      <c r="G1" s="38" t="s">
        <v>59</v>
      </c>
      <c r="H1" s="38" t="s">
        <v>60</v>
      </c>
      <c r="I1" s="38" t="s">
        <v>61</v>
      </c>
      <c r="J1" s="38" t="s">
        <v>63</v>
      </c>
    </row>
    <row r="2" spans="1:17" x14ac:dyDescent="0.3">
      <c r="A2" s="44" t="s">
        <v>105</v>
      </c>
      <c r="B2" s="45">
        <v>44822</v>
      </c>
      <c r="C2" s="44">
        <v>1</v>
      </c>
      <c r="D2" s="44">
        <v>50</v>
      </c>
      <c r="E2" s="44">
        <v>50</v>
      </c>
      <c r="F2" s="44" t="s">
        <v>65</v>
      </c>
      <c r="G2" s="44" t="s">
        <v>65</v>
      </c>
      <c r="H2" s="44" t="s">
        <v>116</v>
      </c>
      <c r="I2" s="44" t="s">
        <v>67</v>
      </c>
      <c r="J2" s="44">
        <v>50</v>
      </c>
      <c r="M2" s="38" t="s">
        <v>68</v>
      </c>
    </row>
    <row r="3" spans="1:17" x14ac:dyDescent="0.3">
      <c r="A3" s="44" t="s">
        <v>95</v>
      </c>
      <c r="B3" s="45">
        <v>44822</v>
      </c>
      <c r="C3" s="44">
        <v>2</v>
      </c>
      <c r="D3" s="44">
        <v>50</v>
      </c>
      <c r="E3" s="44">
        <v>100</v>
      </c>
      <c r="F3" s="44" t="s">
        <v>65</v>
      </c>
      <c r="G3" s="44" t="s">
        <v>65</v>
      </c>
      <c r="H3" s="44" t="s">
        <v>99</v>
      </c>
      <c r="I3" s="44" t="s">
        <v>67</v>
      </c>
      <c r="J3" s="44">
        <v>100</v>
      </c>
    </row>
    <row r="4" spans="1:17" x14ac:dyDescent="0.3">
      <c r="A4" s="44" t="s">
        <v>76</v>
      </c>
      <c r="B4" s="45">
        <v>44822</v>
      </c>
      <c r="C4" s="44">
        <v>1.5</v>
      </c>
      <c r="D4" s="44">
        <v>50</v>
      </c>
      <c r="E4" s="44">
        <v>75</v>
      </c>
      <c r="F4" s="44" t="s">
        <v>65</v>
      </c>
      <c r="G4" s="44" t="s">
        <v>65</v>
      </c>
      <c r="H4" s="44" t="s">
        <v>117</v>
      </c>
      <c r="I4" s="44">
        <v>25</v>
      </c>
      <c r="J4" s="44">
        <v>100</v>
      </c>
    </row>
    <row r="5" spans="1:17" x14ac:dyDescent="0.3">
      <c r="A5" s="44" t="s">
        <v>91</v>
      </c>
      <c r="B5" s="45">
        <v>44822</v>
      </c>
      <c r="C5" s="44">
        <v>1.5</v>
      </c>
      <c r="D5" s="44">
        <v>50</v>
      </c>
      <c r="E5" s="44">
        <v>75</v>
      </c>
      <c r="F5" s="44" t="s">
        <v>65</v>
      </c>
      <c r="G5" s="44" t="s">
        <v>65</v>
      </c>
      <c r="H5" s="44" t="s">
        <v>118</v>
      </c>
      <c r="I5" s="44" t="s">
        <v>67</v>
      </c>
      <c r="J5" s="44">
        <v>75</v>
      </c>
    </row>
    <row r="6" spans="1:17" x14ac:dyDescent="0.3">
      <c r="A6" s="44" t="s">
        <v>93</v>
      </c>
      <c r="B6" s="45">
        <v>44822</v>
      </c>
      <c r="C6" s="44">
        <v>1.5</v>
      </c>
      <c r="D6" s="44">
        <v>50</v>
      </c>
      <c r="E6" s="44">
        <v>75</v>
      </c>
      <c r="F6" s="44" t="s">
        <v>65</v>
      </c>
      <c r="G6" s="44" t="s">
        <v>65</v>
      </c>
      <c r="H6" s="44" t="s">
        <v>99</v>
      </c>
      <c r="I6" s="44" t="s">
        <v>67</v>
      </c>
      <c r="J6" s="44">
        <v>75</v>
      </c>
    </row>
    <row r="7" spans="1:17" x14ac:dyDescent="0.3">
      <c r="A7" s="44" t="s">
        <v>64</v>
      </c>
      <c r="B7" s="45">
        <v>44823</v>
      </c>
      <c r="C7" s="44">
        <v>2</v>
      </c>
      <c r="D7" s="44">
        <v>50</v>
      </c>
      <c r="E7" s="44">
        <v>100</v>
      </c>
      <c r="F7" s="44" t="s">
        <v>65</v>
      </c>
      <c r="G7" s="44" t="s">
        <v>65</v>
      </c>
      <c r="H7" s="44" t="s">
        <v>119</v>
      </c>
      <c r="I7" s="44" t="s">
        <v>67</v>
      </c>
      <c r="J7" s="44">
        <v>100</v>
      </c>
    </row>
    <row r="8" spans="1:17" x14ac:dyDescent="0.3">
      <c r="A8" s="44" t="s">
        <v>91</v>
      </c>
      <c r="B8" s="45">
        <v>44823</v>
      </c>
      <c r="C8" s="44">
        <v>1</v>
      </c>
      <c r="D8" s="44">
        <v>50</v>
      </c>
      <c r="E8" s="44">
        <v>50</v>
      </c>
      <c r="F8" s="44" t="s">
        <v>65</v>
      </c>
      <c r="G8" s="44" t="s">
        <v>65</v>
      </c>
      <c r="H8" s="44" t="s">
        <v>118</v>
      </c>
      <c r="I8" s="44" t="s">
        <v>67</v>
      </c>
      <c r="J8" s="44">
        <v>50</v>
      </c>
    </row>
    <row r="9" spans="1:17" x14ac:dyDescent="0.3">
      <c r="A9" s="44" t="s">
        <v>95</v>
      </c>
      <c r="B9" s="45">
        <v>44826</v>
      </c>
      <c r="C9" s="44">
        <v>1</v>
      </c>
      <c r="D9" s="44">
        <v>50</v>
      </c>
      <c r="E9" s="44">
        <v>50</v>
      </c>
      <c r="F9" s="44" t="s">
        <v>65</v>
      </c>
      <c r="G9" s="44" t="s">
        <v>65</v>
      </c>
      <c r="H9" s="44" t="s">
        <v>120</v>
      </c>
      <c r="I9" s="44" t="s">
        <v>67</v>
      </c>
      <c r="J9" s="44">
        <v>50</v>
      </c>
    </row>
    <row r="10" spans="1:17" x14ac:dyDescent="0.3">
      <c r="A10" s="44" t="s">
        <v>121</v>
      </c>
      <c r="B10" s="45">
        <v>44827</v>
      </c>
      <c r="C10" s="44">
        <v>0.5</v>
      </c>
      <c r="D10" s="44">
        <v>50</v>
      </c>
      <c r="E10" s="44">
        <v>25</v>
      </c>
      <c r="F10" s="44" t="s">
        <v>67</v>
      </c>
      <c r="G10" s="44" t="s">
        <v>122</v>
      </c>
      <c r="H10" s="44" t="s">
        <v>123</v>
      </c>
      <c r="I10" s="44"/>
      <c r="J10" s="44"/>
      <c r="O10" s="48" t="s">
        <v>134</v>
      </c>
      <c r="P10" t="s">
        <v>136</v>
      </c>
      <c r="Q10" t="s">
        <v>137</v>
      </c>
    </row>
    <row r="11" spans="1:17" x14ac:dyDescent="0.3">
      <c r="A11" s="44" t="s">
        <v>95</v>
      </c>
      <c r="B11" s="45">
        <v>44827</v>
      </c>
      <c r="C11" s="44">
        <v>1</v>
      </c>
      <c r="D11" s="44">
        <v>50</v>
      </c>
      <c r="E11" s="44">
        <v>50</v>
      </c>
      <c r="F11" s="44" t="s">
        <v>65</v>
      </c>
      <c r="G11" s="44" t="s">
        <v>65</v>
      </c>
      <c r="H11" s="44" t="s">
        <v>124</v>
      </c>
      <c r="I11" s="44" t="s">
        <v>67</v>
      </c>
      <c r="J11" s="44">
        <v>50</v>
      </c>
      <c r="O11" s="49" t="s">
        <v>64</v>
      </c>
      <c r="P11">
        <v>2</v>
      </c>
      <c r="Q11">
        <v>100</v>
      </c>
    </row>
    <row r="12" spans="1:17" x14ac:dyDescent="0.3">
      <c r="A12" s="44" t="s">
        <v>81</v>
      </c>
      <c r="B12" s="45">
        <v>44829</v>
      </c>
      <c r="C12" s="44">
        <v>1</v>
      </c>
      <c r="D12" s="44">
        <v>50</v>
      </c>
      <c r="E12" s="44">
        <v>50</v>
      </c>
      <c r="F12" s="44" t="s">
        <v>65</v>
      </c>
      <c r="G12" s="44" t="s">
        <v>65</v>
      </c>
      <c r="H12" s="44" t="s">
        <v>125</v>
      </c>
      <c r="I12" s="44" t="s">
        <v>67</v>
      </c>
      <c r="J12" s="44">
        <v>50</v>
      </c>
      <c r="O12" s="49" t="s">
        <v>76</v>
      </c>
      <c r="P12">
        <v>1.5</v>
      </c>
      <c r="Q12">
        <v>75</v>
      </c>
    </row>
    <row r="13" spans="1:17" x14ac:dyDescent="0.3">
      <c r="A13" s="44" t="s">
        <v>95</v>
      </c>
      <c r="B13" s="45">
        <v>44829</v>
      </c>
      <c r="C13" s="44">
        <v>2</v>
      </c>
      <c r="D13" s="44">
        <v>100</v>
      </c>
      <c r="E13" s="44">
        <v>100</v>
      </c>
      <c r="F13" s="44" t="s">
        <v>65</v>
      </c>
      <c r="G13" s="44" t="s">
        <v>65</v>
      </c>
      <c r="H13" s="44" t="s">
        <v>114</v>
      </c>
      <c r="I13" s="44" t="s">
        <v>67</v>
      </c>
      <c r="J13" s="44">
        <v>100</v>
      </c>
      <c r="O13" s="49" t="s">
        <v>81</v>
      </c>
      <c r="P13">
        <v>2</v>
      </c>
      <c r="Q13">
        <v>100</v>
      </c>
    </row>
    <row r="14" spans="1:17" x14ac:dyDescent="0.3">
      <c r="A14" s="44" t="s">
        <v>126</v>
      </c>
      <c r="B14" s="45">
        <v>44829</v>
      </c>
      <c r="C14" s="44">
        <v>2</v>
      </c>
      <c r="D14" s="44">
        <v>100</v>
      </c>
      <c r="E14" s="44">
        <v>100</v>
      </c>
      <c r="F14" s="44" t="s">
        <v>65</v>
      </c>
      <c r="G14" s="44" t="s">
        <v>65</v>
      </c>
      <c r="H14" s="44" t="s">
        <v>114</v>
      </c>
      <c r="I14" s="44" t="s">
        <v>67</v>
      </c>
      <c r="J14" s="44">
        <v>100</v>
      </c>
      <c r="O14" s="49" t="s">
        <v>91</v>
      </c>
      <c r="P14">
        <v>2.5</v>
      </c>
      <c r="Q14">
        <v>125</v>
      </c>
    </row>
    <row r="15" spans="1:17" x14ac:dyDescent="0.3">
      <c r="A15" s="44" t="s">
        <v>81</v>
      </c>
      <c r="B15" s="45">
        <v>44830</v>
      </c>
      <c r="C15" s="44">
        <v>1</v>
      </c>
      <c r="D15" s="44">
        <v>50</v>
      </c>
      <c r="E15" s="44">
        <v>50</v>
      </c>
      <c r="F15" s="44" t="s">
        <v>65</v>
      </c>
      <c r="G15" s="44" t="s">
        <v>65</v>
      </c>
      <c r="H15" s="44" t="s">
        <v>125</v>
      </c>
      <c r="I15" s="44" t="s">
        <v>67</v>
      </c>
      <c r="J15" s="44">
        <v>50</v>
      </c>
      <c r="O15" s="49" t="s">
        <v>93</v>
      </c>
      <c r="P15">
        <v>1.5</v>
      </c>
      <c r="Q15">
        <v>75</v>
      </c>
    </row>
    <row r="16" spans="1:17" x14ac:dyDescent="0.3">
      <c r="A16" s="44" t="s">
        <v>95</v>
      </c>
      <c r="B16" s="45">
        <v>44832</v>
      </c>
      <c r="C16" s="44">
        <v>1.5</v>
      </c>
      <c r="D16" s="44">
        <v>50</v>
      </c>
      <c r="E16" s="44">
        <v>75</v>
      </c>
      <c r="F16" s="44" t="s">
        <v>65</v>
      </c>
      <c r="G16" s="44" t="s">
        <v>65</v>
      </c>
      <c r="H16" s="44" t="s">
        <v>114</v>
      </c>
      <c r="I16" s="44" t="s">
        <v>67</v>
      </c>
      <c r="J16" s="44">
        <v>75</v>
      </c>
      <c r="O16" s="49" t="s">
        <v>95</v>
      </c>
      <c r="P16">
        <v>7.5</v>
      </c>
      <c r="Q16">
        <v>375</v>
      </c>
    </row>
    <row r="17" spans="2:17" x14ac:dyDescent="0.3">
      <c r="B17" s="43"/>
      <c r="O17" s="49" t="s">
        <v>121</v>
      </c>
      <c r="P17">
        <v>0.5</v>
      </c>
      <c r="Q17">
        <v>25</v>
      </c>
    </row>
    <row r="18" spans="2:17" x14ac:dyDescent="0.3">
      <c r="J18" s="38">
        <f>SUM(J2:J16)</f>
        <v>1025</v>
      </c>
      <c r="O18" s="49" t="s">
        <v>105</v>
      </c>
      <c r="P18">
        <v>1</v>
      </c>
      <c r="Q18">
        <v>50</v>
      </c>
    </row>
    <row r="19" spans="2:17" x14ac:dyDescent="0.3">
      <c r="O19" s="49" t="s">
        <v>126</v>
      </c>
      <c r="P19">
        <v>2</v>
      </c>
      <c r="Q19">
        <v>100</v>
      </c>
    </row>
    <row r="20" spans="2:17" x14ac:dyDescent="0.3">
      <c r="O20" s="49" t="s">
        <v>135</v>
      </c>
      <c r="P20">
        <v>20.5</v>
      </c>
      <c r="Q20">
        <v>1025</v>
      </c>
    </row>
    <row r="21" spans="2:17" x14ac:dyDescent="0.3">
      <c r="O21"/>
      <c r="P21"/>
      <c r="Q21"/>
    </row>
    <row r="22" spans="2:17" x14ac:dyDescent="0.3">
      <c r="O22"/>
      <c r="P22"/>
      <c r="Q22"/>
    </row>
    <row r="23" spans="2:17" x14ac:dyDescent="0.3">
      <c r="O23"/>
      <c r="P23"/>
      <c r="Q23"/>
    </row>
    <row r="24" spans="2:17" x14ac:dyDescent="0.3">
      <c r="O24"/>
      <c r="P24"/>
      <c r="Q24"/>
    </row>
    <row r="25" spans="2:17" x14ac:dyDescent="0.3">
      <c r="O25"/>
      <c r="P25"/>
      <c r="Q25"/>
    </row>
    <row r="26" spans="2:17" x14ac:dyDescent="0.3">
      <c r="O26"/>
      <c r="P26"/>
      <c r="Q26"/>
    </row>
    <row r="27" spans="2:17" x14ac:dyDescent="0.3">
      <c r="O27"/>
      <c r="P27"/>
      <c r="Q27"/>
    </row>
  </sheetData>
  <pageMargins left="0.7" right="0.7" top="0.75" bottom="0.75" header="0.3" footer="0.3"/>
  <pageSetup orientation="portrait"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C50D3-5430-4040-A2C7-88AE9FBF77B5}">
  <dimension ref="A1:Q22"/>
  <sheetViews>
    <sheetView workbookViewId="0">
      <pane ySplit="1" topLeftCell="A2" activePane="bottomLeft" state="frozen"/>
      <selection activeCell="O19" sqref="O19:O35"/>
      <selection pane="bottomLeft" activeCell="O19" sqref="O19:O35"/>
    </sheetView>
  </sheetViews>
  <sheetFormatPr defaultColWidth="9.109375" defaultRowHeight="14.4" x14ac:dyDescent="0.3"/>
  <cols>
    <col min="1" max="1" width="15.109375" style="38" bestFit="1" customWidth="1"/>
    <col min="2" max="2" width="9.6640625" style="38" bestFit="1" customWidth="1"/>
    <col min="3" max="3" width="6.109375" style="38" bestFit="1" customWidth="1"/>
    <col min="4" max="6" width="9.109375" style="38"/>
    <col min="7" max="7" width="18.6640625" style="38" bestFit="1" customWidth="1"/>
    <col min="8" max="14" width="9.109375" style="38"/>
    <col min="15" max="15" width="16.33203125" style="38" bestFit="1" customWidth="1"/>
    <col min="16" max="16" width="12.6640625" style="38" bestFit="1" customWidth="1"/>
    <col min="17" max="17" width="11.5546875" style="38" bestFit="1" customWidth="1"/>
    <col min="18" max="16384" width="9.109375" style="38"/>
  </cols>
  <sheetData>
    <row r="1" spans="1:17" x14ac:dyDescent="0.3">
      <c r="A1" s="38" t="s">
        <v>53</v>
      </c>
      <c r="B1" s="38" t="s">
        <v>54</v>
      </c>
      <c r="C1" s="38" t="s">
        <v>55</v>
      </c>
      <c r="D1" s="38" t="s">
        <v>56</v>
      </c>
      <c r="E1" s="38" t="s">
        <v>57</v>
      </c>
      <c r="F1" s="38" t="s">
        <v>58</v>
      </c>
      <c r="G1" s="38" t="s">
        <v>59</v>
      </c>
      <c r="H1" s="38" t="s">
        <v>60</v>
      </c>
      <c r="I1" s="38" t="s">
        <v>61</v>
      </c>
      <c r="J1" s="38" t="s">
        <v>63</v>
      </c>
    </row>
    <row r="2" spans="1:17" x14ac:dyDescent="0.3">
      <c r="A2" s="46" t="s">
        <v>76</v>
      </c>
      <c r="B2" s="47">
        <v>44793</v>
      </c>
      <c r="C2" s="46">
        <v>0.5</v>
      </c>
      <c r="D2" s="46">
        <v>50</v>
      </c>
      <c r="E2" s="46">
        <f t="shared" ref="E2:E7" si="0">C2*D2</f>
        <v>25</v>
      </c>
      <c r="F2" s="46" t="s">
        <v>65</v>
      </c>
      <c r="G2" s="46" t="s">
        <v>65</v>
      </c>
      <c r="H2" s="46" t="s">
        <v>127</v>
      </c>
      <c r="I2" s="46">
        <v>10</v>
      </c>
      <c r="J2" s="46">
        <f t="shared" ref="J2:J7" si="1">E2+I2</f>
        <v>35</v>
      </c>
    </row>
    <row r="3" spans="1:17" x14ac:dyDescent="0.3">
      <c r="A3" s="46" t="s">
        <v>102</v>
      </c>
      <c r="B3" s="47">
        <v>44794</v>
      </c>
      <c r="C3" s="46">
        <v>1.5</v>
      </c>
      <c r="D3" s="46">
        <v>50</v>
      </c>
      <c r="E3" s="46">
        <f t="shared" si="0"/>
        <v>75</v>
      </c>
      <c r="F3" s="46" t="s">
        <v>67</v>
      </c>
      <c r="G3" s="46" t="s">
        <v>65</v>
      </c>
      <c r="H3" s="46" t="s">
        <v>128</v>
      </c>
      <c r="I3" s="46">
        <v>0</v>
      </c>
      <c r="J3" s="46">
        <f t="shared" si="1"/>
        <v>75</v>
      </c>
    </row>
    <row r="4" spans="1:17" x14ac:dyDescent="0.3">
      <c r="A4" s="46" t="s">
        <v>95</v>
      </c>
      <c r="B4" s="47">
        <v>44794</v>
      </c>
      <c r="C4" s="46">
        <v>1</v>
      </c>
      <c r="D4" s="46">
        <v>50</v>
      </c>
      <c r="E4" s="46">
        <f t="shared" si="0"/>
        <v>50</v>
      </c>
      <c r="F4" s="46" t="s">
        <v>67</v>
      </c>
      <c r="G4" s="46" t="s">
        <v>67</v>
      </c>
      <c r="H4" s="46" t="s">
        <v>129</v>
      </c>
      <c r="I4" s="46"/>
      <c r="J4" s="46">
        <f t="shared" si="1"/>
        <v>50</v>
      </c>
    </row>
    <row r="5" spans="1:17" x14ac:dyDescent="0.3">
      <c r="A5" s="46" t="s">
        <v>113</v>
      </c>
      <c r="B5" s="47">
        <v>44796</v>
      </c>
      <c r="C5" s="46">
        <v>2</v>
      </c>
      <c r="D5" s="46">
        <v>50</v>
      </c>
      <c r="E5" s="46">
        <f t="shared" si="0"/>
        <v>100</v>
      </c>
      <c r="F5" s="46" t="s">
        <v>65</v>
      </c>
      <c r="G5" s="46" t="s">
        <v>65</v>
      </c>
      <c r="H5" s="46" t="s">
        <v>130</v>
      </c>
      <c r="I5" s="46"/>
      <c r="J5" s="46">
        <f t="shared" si="1"/>
        <v>100</v>
      </c>
      <c r="O5" s="48" t="s">
        <v>134</v>
      </c>
      <c r="P5" t="s">
        <v>136</v>
      </c>
      <c r="Q5" t="s">
        <v>137</v>
      </c>
    </row>
    <row r="6" spans="1:17" x14ac:dyDescent="0.3">
      <c r="A6" s="46" t="s">
        <v>95</v>
      </c>
      <c r="B6" s="47">
        <v>44796</v>
      </c>
      <c r="C6" s="46">
        <v>2</v>
      </c>
      <c r="D6" s="46">
        <v>50</v>
      </c>
      <c r="E6" s="46">
        <f t="shared" si="0"/>
        <v>100</v>
      </c>
      <c r="F6" s="46" t="s">
        <v>67</v>
      </c>
      <c r="G6" s="46" t="s">
        <v>67</v>
      </c>
      <c r="H6" s="46" t="s">
        <v>131</v>
      </c>
      <c r="I6" s="46"/>
      <c r="J6" s="46">
        <f t="shared" si="1"/>
        <v>100</v>
      </c>
      <c r="O6" s="49" t="s">
        <v>76</v>
      </c>
      <c r="P6">
        <v>0.5</v>
      </c>
      <c r="Q6">
        <v>25</v>
      </c>
    </row>
    <row r="7" spans="1:17" x14ac:dyDescent="0.3">
      <c r="A7" s="46" t="s">
        <v>132</v>
      </c>
      <c r="B7" s="47">
        <v>44796</v>
      </c>
      <c r="C7" s="46">
        <v>0.5</v>
      </c>
      <c r="D7" s="46">
        <v>50</v>
      </c>
      <c r="E7" s="46">
        <f t="shared" si="0"/>
        <v>25</v>
      </c>
      <c r="F7" s="46" t="s">
        <v>65</v>
      </c>
      <c r="G7" s="46" t="s">
        <v>65</v>
      </c>
      <c r="H7" s="46" t="s">
        <v>133</v>
      </c>
      <c r="I7" s="46"/>
      <c r="J7" s="46">
        <f t="shared" si="1"/>
        <v>25</v>
      </c>
      <c r="O7" s="49" t="s">
        <v>95</v>
      </c>
      <c r="P7">
        <v>3</v>
      </c>
      <c r="Q7">
        <v>150</v>
      </c>
    </row>
    <row r="8" spans="1:17" x14ac:dyDescent="0.3">
      <c r="O8" s="49" t="s">
        <v>132</v>
      </c>
      <c r="P8">
        <v>0.5</v>
      </c>
      <c r="Q8">
        <v>25</v>
      </c>
    </row>
    <row r="9" spans="1:17" x14ac:dyDescent="0.3">
      <c r="O9" s="49" t="s">
        <v>102</v>
      </c>
      <c r="P9">
        <v>1.5</v>
      </c>
      <c r="Q9">
        <v>75</v>
      </c>
    </row>
    <row r="10" spans="1:17" x14ac:dyDescent="0.3">
      <c r="J10" s="38">
        <f>SUM(J2:J7)</f>
        <v>385</v>
      </c>
      <c r="O10" s="49" t="s">
        <v>113</v>
      </c>
      <c r="P10">
        <v>2</v>
      </c>
      <c r="Q10">
        <v>100</v>
      </c>
    </row>
    <row r="11" spans="1:17" x14ac:dyDescent="0.3">
      <c r="O11" s="49" t="s">
        <v>135</v>
      </c>
      <c r="P11">
        <v>7.5</v>
      </c>
      <c r="Q11">
        <v>375</v>
      </c>
    </row>
    <row r="12" spans="1:17" x14ac:dyDescent="0.3">
      <c r="J12" s="38" t="s">
        <v>68</v>
      </c>
      <c r="O12"/>
      <c r="P12"/>
      <c r="Q12"/>
    </row>
    <row r="13" spans="1:17" x14ac:dyDescent="0.3">
      <c r="O13"/>
      <c r="P13"/>
      <c r="Q13"/>
    </row>
    <row r="14" spans="1:17" x14ac:dyDescent="0.3">
      <c r="O14"/>
      <c r="P14"/>
      <c r="Q14"/>
    </row>
    <row r="15" spans="1:17" x14ac:dyDescent="0.3">
      <c r="O15"/>
      <c r="P15"/>
      <c r="Q15"/>
    </row>
    <row r="16" spans="1:17" x14ac:dyDescent="0.3">
      <c r="O16"/>
      <c r="P16"/>
      <c r="Q16"/>
    </row>
    <row r="17" spans="15:17" x14ac:dyDescent="0.3">
      <c r="O17"/>
      <c r="P17"/>
      <c r="Q17"/>
    </row>
    <row r="18" spans="15:17" x14ac:dyDescent="0.3">
      <c r="O18"/>
      <c r="P18"/>
      <c r="Q18"/>
    </row>
    <row r="19" spans="15:17" x14ac:dyDescent="0.3">
      <c r="O19"/>
      <c r="P19"/>
      <c r="Q19"/>
    </row>
    <row r="20" spans="15:17" x14ac:dyDescent="0.3">
      <c r="O20"/>
      <c r="P20"/>
      <c r="Q20"/>
    </row>
    <row r="21" spans="15:17" x14ac:dyDescent="0.3">
      <c r="O21"/>
      <c r="P21"/>
      <c r="Q21"/>
    </row>
    <row r="22" spans="15:17" x14ac:dyDescent="0.3">
      <c r="O22"/>
      <c r="P22"/>
      <c r="Q22"/>
    </row>
  </sheetData>
  <pageMargins left="0.7" right="0.7" top="0.75" bottom="0.75" header="0.3" footer="0.3"/>
  <pageSetup orientation="portrait"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6805E2-A9E4-4D00-9CD7-7E8C83250335}">
  <sheetPr>
    <tabColor theme="0" tint="-0.249977111117893"/>
    <pageSetUpPr fitToPage="1"/>
  </sheetPr>
  <dimension ref="B13:Q63"/>
  <sheetViews>
    <sheetView showGridLines="0" topLeftCell="A14" zoomScale="55" zoomScaleNormal="85" workbookViewId="0">
      <selection activeCell="B2" sqref="B2:AD63"/>
    </sheetView>
  </sheetViews>
  <sheetFormatPr defaultRowHeight="14.4" outlineLevelCol="1" x14ac:dyDescent="0.3"/>
  <cols>
    <col min="2" max="2" width="20.44140625" style="391" customWidth="1"/>
    <col min="3" max="3" width="25.5546875" style="391" bestFit="1" customWidth="1"/>
    <col min="4" max="4" width="0.33203125" customWidth="1"/>
    <col min="5" max="5" width="10.33203125" hidden="1" customWidth="1" outlineLevel="1" collapsed="1"/>
    <col min="6" max="6" width="12.5546875" hidden="1" customWidth="1" outlineLevel="1" collapsed="1"/>
    <col min="7" max="7" width="12.5546875" hidden="1" customWidth="1" outlineLevel="1"/>
    <col min="8" max="8" width="12.5546875" hidden="1" customWidth="1" outlineLevel="1" collapsed="1"/>
    <col min="9" max="9" width="12.5546875" hidden="1" customWidth="1" outlineLevel="1"/>
    <col min="10" max="10" width="12.5546875" customWidth="1" collapsed="1"/>
    <col min="11" max="11" width="13.88671875" hidden="1" customWidth="1" outlineLevel="1" collapsed="1"/>
    <col min="12" max="13" width="11.6640625" hidden="1" customWidth="1" outlineLevel="1" collapsed="1"/>
    <col min="14" max="14" width="12.21875" hidden="1" customWidth="1" outlineLevel="1"/>
    <col min="15" max="15" width="12.88671875" bestFit="1" customWidth="1" collapsed="1"/>
    <col min="16" max="16" width="0.5546875" customWidth="1"/>
    <col min="17" max="17" width="21.5546875" bestFit="1" customWidth="1"/>
  </cols>
  <sheetData>
    <row r="13" spans="2:17" ht="15" thickBot="1" x14ac:dyDescent="0.35"/>
    <row r="14" spans="2:17" ht="16.8" thickTop="1" thickBot="1" x14ac:dyDescent="0.35">
      <c r="B14" s="648">
        <v>45596</v>
      </c>
      <c r="C14" s="649"/>
      <c r="D14" s="649"/>
      <c r="E14" s="649"/>
      <c r="F14" s="649"/>
      <c r="G14" s="649"/>
      <c r="H14" s="649"/>
      <c r="I14" s="649"/>
      <c r="J14" s="649"/>
      <c r="K14" s="649"/>
      <c r="L14" s="649"/>
      <c r="M14" s="649"/>
      <c r="N14" s="649"/>
      <c r="O14" s="649"/>
      <c r="P14" s="649"/>
      <c r="Q14" s="650"/>
    </row>
    <row r="15" spans="2:17" ht="15" thickTop="1" x14ac:dyDescent="0.3">
      <c r="B15" s="392"/>
      <c r="C15" s="432"/>
      <c r="D15" s="433"/>
      <c r="E15" s="393" t="s">
        <v>297</v>
      </c>
      <c r="F15" s="394">
        <v>45473</v>
      </c>
      <c r="G15" s="394">
        <v>45504</v>
      </c>
      <c r="H15" s="394">
        <v>45535</v>
      </c>
      <c r="I15" s="394">
        <v>45565</v>
      </c>
      <c r="J15" s="393" t="s">
        <v>297</v>
      </c>
      <c r="K15" s="394">
        <v>45473</v>
      </c>
      <c r="L15" s="394">
        <v>45504</v>
      </c>
      <c r="M15" s="394">
        <v>45535</v>
      </c>
      <c r="N15" s="394">
        <v>45565</v>
      </c>
      <c r="O15" s="394" t="s">
        <v>209</v>
      </c>
      <c r="P15" s="434"/>
      <c r="Q15" s="395" t="s">
        <v>308</v>
      </c>
    </row>
    <row r="16" spans="2:17" x14ac:dyDescent="0.3">
      <c r="B16" s="651" t="s">
        <v>3</v>
      </c>
      <c r="C16" s="652"/>
      <c r="E16" s="179"/>
      <c r="F16" s="396">
        <v>11356.388803691116</v>
      </c>
      <c r="G16" s="396">
        <v>12767.593177718407</v>
      </c>
      <c r="H16" s="396">
        <v>11839.445281446575</v>
      </c>
      <c r="I16" s="396">
        <v>12882.102930588289</v>
      </c>
      <c r="J16" s="396">
        <v>10297.132981062774</v>
      </c>
      <c r="K16" s="397">
        <v>12226.72</v>
      </c>
      <c r="L16" s="397">
        <v>12232.12</v>
      </c>
      <c r="M16" s="397">
        <v>12073.09</v>
      </c>
      <c r="N16" s="397">
        <v>9051.9699999999993</v>
      </c>
      <c r="O16" s="397">
        <f>+SUMIF('Monthly Detail'!$4:$4, $B$14,'Monthly Detail'!$9:$9)</f>
        <v>11082.04</v>
      </c>
      <c r="P16" s="179"/>
      <c r="Q16" s="419">
        <f>+O16-J16</f>
        <v>784.90701893722689</v>
      </c>
    </row>
    <row r="17" spans="2:17" x14ac:dyDescent="0.3">
      <c r="B17" s="653" t="s">
        <v>337</v>
      </c>
      <c r="C17" s="446" t="s">
        <v>280</v>
      </c>
      <c r="D17" s="173"/>
      <c r="E17" s="175"/>
      <c r="F17" s="398">
        <v>282.60004982472412</v>
      </c>
      <c r="G17" s="398">
        <v>256.51065311043124</v>
      </c>
      <c r="H17" s="398">
        <v>216.3502595249046</v>
      </c>
      <c r="I17" s="398">
        <v>272.23655445239865</v>
      </c>
      <c r="J17" s="398">
        <v>189.78013292904356</v>
      </c>
      <c r="K17" s="399">
        <v>231</v>
      </c>
      <c r="L17" s="399">
        <v>220</v>
      </c>
      <c r="M17" s="399">
        <v>270</v>
      </c>
      <c r="N17" s="399">
        <v>183</v>
      </c>
      <c r="O17" s="399">
        <f>+SUMIF('Monthly Detail'!$4:$4, $B$14,'Monthly Detail'!11:11)</f>
        <v>213</v>
      </c>
      <c r="P17" s="435"/>
      <c r="Q17" s="508">
        <f t="shared" ref="Q17:Q31" si="0">+O17-J17</f>
        <v>23.21986707095644</v>
      </c>
    </row>
    <row r="18" spans="2:17" x14ac:dyDescent="0.3">
      <c r="B18" s="654"/>
      <c r="C18" s="447" t="s">
        <v>230</v>
      </c>
      <c r="D18" s="177"/>
      <c r="E18" s="435"/>
      <c r="F18" s="451">
        <v>163.16400105353586</v>
      </c>
      <c r="G18" s="451">
        <v>165.87293965570609</v>
      </c>
      <c r="H18" s="451">
        <v>139.90317013157804</v>
      </c>
      <c r="I18" s="451">
        <v>176.04211373365271</v>
      </c>
      <c r="J18" s="451">
        <v>128.85072183077168</v>
      </c>
      <c r="K18" s="402">
        <v>150</v>
      </c>
      <c r="L18" s="402">
        <v>146</v>
      </c>
      <c r="M18" s="402">
        <v>163</v>
      </c>
      <c r="N18" s="402">
        <v>125</v>
      </c>
      <c r="O18" s="402">
        <f>+SUMIF('Monthly Detail'!$4:$4, $B$14,'Monthly Detail'!12:12)</f>
        <v>134</v>
      </c>
      <c r="P18" s="400"/>
      <c r="Q18" s="509">
        <f t="shared" si="0"/>
        <v>5.1492781692283245</v>
      </c>
    </row>
    <row r="19" spans="2:17" x14ac:dyDescent="0.3">
      <c r="B19" s="654"/>
      <c r="C19" s="448" t="s">
        <v>283</v>
      </c>
      <c r="D19" s="177"/>
      <c r="E19" s="435"/>
      <c r="F19" s="401">
        <v>106.81959781202708</v>
      </c>
      <c r="G19" s="401">
        <v>100.62958339112835</v>
      </c>
      <c r="H19" s="401">
        <v>82.408716652847346</v>
      </c>
      <c r="I19" s="401">
        <v>103.68124489834761</v>
      </c>
      <c r="J19" s="401">
        <v>93.803325492801775</v>
      </c>
      <c r="K19" s="402">
        <v>91</v>
      </c>
      <c r="L19" s="402">
        <v>86</v>
      </c>
      <c r="M19" s="402">
        <v>96</v>
      </c>
      <c r="N19" s="402">
        <v>91</v>
      </c>
      <c r="O19" s="402">
        <f>+SUMIF('Monthly Detail'!$4:$4, $B$14,'Monthly Detail'!13:13)</f>
        <v>79</v>
      </c>
      <c r="P19" s="435"/>
      <c r="Q19" s="509">
        <f t="shared" si="0"/>
        <v>-14.803325492801775</v>
      </c>
    </row>
    <row r="20" spans="2:17" x14ac:dyDescent="0.3">
      <c r="B20" s="654"/>
      <c r="C20" s="449" t="s">
        <v>290</v>
      </c>
      <c r="D20" s="177"/>
      <c r="E20" s="436"/>
      <c r="F20" s="401">
        <v>26</v>
      </c>
      <c r="G20" s="401">
        <v>19</v>
      </c>
      <c r="H20" s="401">
        <v>-8</v>
      </c>
      <c r="I20" s="401">
        <v>15</v>
      </c>
      <c r="J20" s="401">
        <v>0</v>
      </c>
      <c r="K20" s="407">
        <v>11</v>
      </c>
      <c r="L20" s="407">
        <v>-5</v>
      </c>
      <c r="M20" s="407">
        <v>17</v>
      </c>
      <c r="N20" s="407">
        <v>-38</v>
      </c>
      <c r="O20" s="407">
        <f>+SUMIF('Monthly Detail'!$4:$4, $B$14,'Monthly Detail'!14:14)</f>
        <v>15</v>
      </c>
      <c r="P20" s="436"/>
      <c r="Q20" s="509">
        <f t="shared" si="0"/>
        <v>15</v>
      </c>
    </row>
    <row r="21" spans="2:17" x14ac:dyDescent="0.3">
      <c r="B21" s="654"/>
      <c r="C21" s="449" t="s">
        <v>281</v>
      </c>
      <c r="D21" s="177"/>
      <c r="E21" s="436"/>
      <c r="F21" s="401">
        <v>301.73140575692753</v>
      </c>
      <c r="G21" s="401">
        <v>283.23351514911803</v>
      </c>
      <c r="H21" s="401">
        <v>241.13908409929221</v>
      </c>
      <c r="I21" s="401">
        <v>303.1231886531711</v>
      </c>
      <c r="J21" s="401">
        <v>209.97748686011693</v>
      </c>
      <c r="K21" s="402">
        <v>259</v>
      </c>
      <c r="L21" s="402">
        <v>244</v>
      </c>
      <c r="M21" s="402">
        <v>310</v>
      </c>
      <c r="N21" s="402">
        <v>211</v>
      </c>
      <c r="O21" s="402">
        <f>+SUMIF('Monthly Detail'!$4:$4, $B$14,'Monthly Detail'!17:17)</f>
        <v>241</v>
      </c>
      <c r="P21" s="436"/>
      <c r="Q21" s="509">
        <f t="shared" si="0"/>
        <v>31.022513139883074</v>
      </c>
    </row>
    <row r="22" spans="2:17" x14ac:dyDescent="0.3">
      <c r="B22" s="654"/>
      <c r="C22" s="449" t="s">
        <v>284</v>
      </c>
      <c r="D22" s="177"/>
      <c r="E22" s="436"/>
      <c r="F22" s="401">
        <v>173</v>
      </c>
      <c r="G22" s="401">
        <v>175</v>
      </c>
      <c r="H22" s="401">
        <v>148</v>
      </c>
      <c r="I22" s="401">
        <v>187</v>
      </c>
      <c r="J22" s="401">
        <v>137</v>
      </c>
      <c r="K22" s="402">
        <v>156</v>
      </c>
      <c r="L22" s="402">
        <v>156</v>
      </c>
      <c r="M22" s="402">
        <v>172</v>
      </c>
      <c r="N22" s="402">
        <v>137</v>
      </c>
      <c r="O22" s="402">
        <f>+SUMIF('Monthly Detail'!$4:$4, $B$14,'Monthly Detail'!18:18)</f>
        <v>142</v>
      </c>
      <c r="P22" s="436"/>
      <c r="Q22" s="509">
        <f t="shared" si="0"/>
        <v>5</v>
      </c>
    </row>
    <row r="23" spans="2:17" x14ac:dyDescent="0.3">
      <c r="B23" s="654"/>
      <c r="C23" s="449" t="s">
        <v>282</v>
      </c>
      <c r="D23" s="177"/>
      <c r="E23" s="436"/>
      <c r="F23" s="452">
        <v>6.3405252377392488E-2</v>
      </c>
      <c r="G23" s="452">
        <v>0.11568338544886071</v>
      </c>
      <c r="H23" s="452">
        <v>0.11267647533812547</v>
      </c>
      <c r="I23" s="452">
        <v>0.11439494148434239</v>
      </c>
      <c r="J23" s="452">
        <v>0.1103680542681605</v>
      </c>
      <c r="K23" s="437">
        <v>0.10810810810810811</v>
      </c>
      <c r="L23" s="437">
        <v>9.8360655737704916E-2</v>
      </c>
      <c r="M23" s="437">
        <v>0.12903225806451613</v>
      </c>
      <c r="N23" s="437">
        <v>0.13270142180094788</v>
      </c>
      <c r="O23" s="437">
        <f>+SUMIF('Monthly Detail'!$4:$4, $B$14,'Monthly Detail'!19:19)</f>
        <v>0.11618257261410789</v>
      </c>
      <c r="P23" s="436"/>
      <c r="Q23" s="510">
        <f t="shared" si="0"/>
        <v>5.8145183459473865E-3</v>
      </c>
    </row>
    <row r="24" spans="2:17" x14ac:dyDescent="0.3">
      <c r="B24" s="654"/>
      <c r="C24" s="449" t="s">
        <v>288</v>
      </c>
      <c r="D24" s="177"/>
      <c r="E24" s="436"/>
      <c r="F24" s="452">
        <v>0.17384173419809978</v>
      </c>
      <c r="G24" s="452">
        <v>0.10581959770470717</v>
      </c>
      <c r="H24" s="452">
        <v>-4.1759108687821622E-2</v>
      </c>
      <c r="I24" s="452">
        <v>8.0012967691120984E-2</v>
      </c>
      <c r="J24" s="452">
        <v>3.0805774646173401E-2</v>
      </c>
      <c r="K24" s="437">
        <v>7.9136690647481966E-2</v>
      </c>
      <c r="L24" s="437">
        <v>-2.6666666666666616E-2</v>
      </c>
      <c r="M24" s="437">
        <v>0.11643835616438358</v>
      </c>
      <c r="N24" s="437">
        <v>-0.23312883435582821</v>
      </c>
      <c r="O24" s="437">
        <f>+SUMIF('Monthly Detail'!$4:$4, $B$14,'Monthly Detail'!20:20)</f>
        <v>7.2000000000000064E-2</v>
      </c>
      <c r="P24" s="436"/>
      <c r="Q24" s="510">
        <f t="shared" si="0"/>
        <v>4.1194225353826663E-2</v>
      </c>
    </row>
    <row r="25" spans="2:17" x14ac:dyDescent="0.3">
      <c r="B25" s="654"/>
      <c r="C25" s="449" t="s">
        <v>289</v>
      </c>
      <c r="D25" s="177"/>
      <c r="E25" s="436"/>
      <c r="F25" s="452">
        <v>0.94314451476032291</v>
      </c>
      <c r="G25" s="452">
        <v>0.94784536946117759</v>
      </c>
      <c r="H25" s="452">
        <v>0.94529169007822988</v>
      </c>
      <c r="I25" s="452">
        <v>0.941401677720068</v>
      </c>
      <c r="J25" s="452">
        <v>0.94051621774285887</v>
      </c>
      <c r="K25" s="437">
        <v>0.96153846153846156</v>
      </c>
      <c r="L25" s="437">
        <v>0.9358974358974359</v>
      </c>
      <c r="M25" s="437">
        <v>0.94767441860465118</v>
      </c>
      <c r="N25" s="437">
        <v>0.91240875912408759</v>
      </c>
      <c r="O25" s="437">
        <f>+SUMIF('Monthly Detail'!$4:$4, $B$14,'Monthly Detail'!21:21)</f>
        <v>0.94366197183098588</v>
      </c>
      <c r="P25" s="436"/>
      <c r="Q25" s="510">
        <f t="shared" si="0"/>
        <v>3.1457540881270063E-3</v>
      </c>
    </row>
    <row r="26" spans="2:17" x14ac:dyDescent="0.3">
      <c r="B26" s="654"/>
      <c r="C26" s="449" t="s">
        <v>291</v>
      </c>
      <c r="D26" s="177"/>
      <c r="E26" s="440"/>
      <c r="F26" s="453">
        <v>1.732</v>
      </c>
      <c r="G26" s="453">
        <v>1.5464285714285715</v>
      </c>
      <c r="H26" s="453">
        <v>1.5464285714285715</v>
      </c>
      <c r="I26" s="453">
        <v>1.5464285714285715</v>
      </c>
      <c r="J26" s="453">
        <v>1.4728682170542635</v>
      </c>
      <c r="K26" s="441">
        <v>1.54</v>
      </c>
      <c r="L26" s="441">
        <v>1.5068493150684932</v>
      </c>
      <c r="M26" s="441">
        <v>1.656441717791411</v>
      </c>
      <c r="N26" s="441">
        <v>1.464</v>
      </c>
      <c r="O26" s="441">
        <f>+SUMIF('Monthly Detail'!$4:$4, $B$14,'Monthly Detail'!22:22)</f>
        <v>1.5895522388059702</v>
      </c>
      <c r="P26" s="440"/>
      <c r="Q26" s="511">
        <f t="shared" si="0"/>
        <v>0.11668402175170667</v>
      </c>
    </row>
    <row r="27" spans="2:17" x14ac:dyDescent="0.3">
      <c r="B27" s="654"/>
      <c r="C27" s="449" t="s">
        <v>259</v>
      </c>
      <c r="D27" s="177"/>
      <c r="E27" s="436"/>
      <c r="F27" s="404">
        <v>169.56002989483446</v>
      </c>
      <c r="G27" s="404">
        <v>169.29703105288462</v>
      </c>
      <c r="H27" s="404">
        <v>142.79117128643702</v>
      </c>
      <c r="I27" s="404">
        <v>171.50902930501113</v>
      </c>
      <c r="J27" s="404">
        <v>130.94829172104005</v>
      </c>
      <c r="K27" s="220">
        <v>134.75</v>
      </c>
      <c r="L27" s="220">
        <v>110.75</v>
      </c>
      <c r="M27" s="220">
        <v>150.75</v>
      </c>
      <c r="N27" s="220">
        <v>100</v>
      </c>
      <c r="O27" s="220">
        <f>+SUMIF('Monthly Detail'!$4:$4, $B$14,'Monthly Detail'!26:26)</f>
        <v>117.5</v>
      </c>
      <c r="P27" s="436"/>
      <c r="Q27" s="512">
        <f t="shared" si="0"/>
        <v>-13.44829172104005</v>
      </c>
    </row>
    <row r="28" spans="2:17" x14ac:dyDescent="0.3">
      <c r="B28" s="654"/>
      <c r="C28" s="449" t="s">
        <v>51</v>
      </c>
      <c r="D28" s="177"/>
      <c r="E28" s="436"/>
      <c r="F28" s="444">
        <v>66.975623976562417</v>
      </c>
      <c r="G28" s="444">
        <v>75.415340117394592</v>
      </c>
      <c r="H28" s="444">
        <v>82.914406925739257</v>
      </c>
      <c r="I28" s="444">
        <v>75.110348316873726</v>
      </c>
      <c r="J28" s="444">
        <v>78.635107382682165</v>
      </c>
      <c r="K28" s="438">
        <v>81.511466666666664</v>
      </c>
      <c r="L28" s="438">
        <v>99.045506072874502</v>
      </c>
      <c r="M28" s="438">
        <v>69.286025824964128</v>
      </c>
      <c r="N28" s="438">
        <v>77.36726495726495</v>
      </c>
      <c r="O28" s="438">
        <f>+SUMIF('Monthly Detail'!$4:$4, $B$14,'Monthly Detail'!28:28)</f>
        <v>84.274068441064642</v>
      </c>
      <c r="P28" s="436"/>
      <c r="Q28" s="513">
        <f t="shared" si="0"/>
        <v>5.6389610583824776</v>
      </c>
    </row>
    <row r="29" spans="2:17" hidden="1" x14ac:dyDescent="0.3">
      <c r="B29" s="403"/>
      <c r="C29" s="449" t="s">
        <v>272</v>
      </c>
      <c r="D29" s="177"/>
      <c r="E29" s="177"/>
      <c r="F29" s="406">
        <v>0</v>
      </c>
      <c r="G29" s="406">
        <v>0</v>
      </c>
      <c r="H29" s="406">
        <v>0</v>
      </c>
      <c r="I29" s="406">
        <v>0</v>
      </c>
      <c r="J29" s="406">
        <v>0</v>
      </c>
      <c r="K29" s="405">
        <v>0</v>
      </c>
      <c r="L29" s="405">
        <v>0</v>
      </c>
      <c r="M29" s="405">
        <v>0</v>
      </c>
      <c r="N29" s="405">
        <v>0</v>
      </c>
      <c r="O29" s="405">
        <f>+SUMIF('Monthly Detail'!$4:$4, H14,'Monthly Detail'!26:26)</f>
        <v>0</v>
      </c>
      <c r="P29" s="177"/>
      <c r="Q29" s="514">
        <f t="shared" si="0"/>
        <v>0</v>
      </c>
    </row>
    <row r="30" spans="2:17" ht="2.4" customHeight="1" x14ac:dyDescent="0.3">
      <c r="B30" s="408"/>
      <c r="C30" s="449"/>
      <c r="D30" s="177"/>
      <c r="E30" s="177"/>
      <c r="F30" s="406"/>
      <c r="G30" s="406"/>
      <c r="H30" s="406"/>
      <c r="I30" s="406"/>
      <c r="J30" s="406"/>
      <c r="K30" s="407"/>
      <c r="L30" s="407"/>
      <c r="M30" s="407"/>
      <c r="N30" s="407"/>
      <c r="O30" s="407"/>
      <c r="P30" s="177"/>
      <c r="Q30" s="514">
        <f t="shared" si="0"/>
        <v>0</v>
      </c>
    </row>
    <row r="31" spans="2:17" ht="15" thickBot="1" x14ac:dyDescent="0.35">
      <c r="B31" s="409"/>
      <c r="C31" s="450" t="s">
        <v>52</v>
      </c>
      <c r="D31" s="174"/>
      <c r="E31" s="410"/>
      <c r="F31" s="412">
        <v>3.7499999999999999E-3</v>
      </c>
      <c r="G31" s="412">
        <v>3.7499999999999999E-3</v>
      </c>
      <c r="H31" s="412">
        <v>3.7499999999999999E-3</v>
      </c>
      <c r="I31" s="412">
        <v>3.7499999999999999E-3</v>
      </c>
      <c r="J31" s="412">
        <v>3.7499999999999999E-3</v>
      </c>
      <c r="K31" s="413">
        <v>3.6458333333333334E-3</v>
      </c>
      <c r="L31" s="413">
        <v>2.8602789256198346E-3</v>
      </c>
      <c r="M31" s="413">
        <v>3.1723484848484849E-3</v>
      </c>
      <c r="N31" s="413">
        <v>3.2526671870934166E-3</v>
      </c>
      <c r="O31" s="413">
        <f>+SUMIF('Monthly Detail'!$4:$4, $B$14,'Monthly Detail'!42:42)</f>
        <v>2.9980608287405591E-3</v>
      </c>
      <c r="P31" s="411"/>
      <c r="Q31" s="515">
        <f t="shared" si="0"/>
        <v>-7.5193917125944074E-4</v>
      </c>
    </row>
    <row r="32" spans="2:17" ht="3.6" customHeight="1" x14ac:dyDescent="0.3">
      <c r="B32" s="636"/>
      <c r="C32" s="637"/>
      <c r="E32" s="414"/>
      <c r="F32" s="415"/>
      <c r="G32" s="415"/>
      <c r="H32" s="415"/>
      <c r="I32" s="415"/>
      <c r="J32" s="415"/>
      <c r="K32" s="416"/>
      <c r="L32" s="416"/>
      <c r="M32" s="416"/>
      <c r="N32" s="416"/>
      <c r="O32" s="416"/>
      <c r="P32" s="414"/>
      <c r="Q32" s="419"/>
    </row>
    <row r="33" spans="2:17" x14ac:dyDescent="0.3">
      <c r="B33" s="636" t="s">
        <v>219</v>
      </c>
      <c r="C33" s="637"/>
      <c r="E33" s="414"/>
      <c r="F33" s="415"/>
      <c r="G33" s="415"/>
      <c r="H33" s="415"/>
      <c r="I33" s="415"/>
      <c r="J33" s="415"/>
      <c r="K33" s="416"/>
      <c r="L33" s="416"/>
      <c r="M33" s="416"/>
      <c r="N33" s="416"/>
      <c r="O33" s="416"/>
      <c r="P33" s="414"/>
      <c r="Q33" s="419"/>
    </row>
    <row r="34" spans="2:17" x14ac:dyDescent="0.3">
      <c r="B34" s="636" t="s">
        <v>318</v>
      </c>
      <c r="C34" s="637"/>
      <c r="E34" s="414"/>
      <c r="F34" s="415">
        <v>137.59784291775929</v>
      </c>
      <c r="G34" s="415">
        <v>447.17993697454943</v>
      </c>
      <c r="H34" s="415">
        <v>409.81178220089089</v>
      </c>
      <c r="I34" s="415">
        <v>435.81014138975422</v>
      </c>
      <c r="J34" s="415">
        <v>336.0087937071977</v>
      </c>
      <c r="K34" s="416">
        <v>456.05</v>
      </c>
      <c r="L34" s="416">
        <v>406.15</v>
      </c>
      <c r="M34" s="416">
        <v>386.64</v>
      </c>
      <c r="N34" s="416">
        <v>306.56</v>
      </c>
      <c r="O34" s="416">
        <f>+SUMIF('Monthly Detail'!$4:$4, $B$14,'Monthly Detail'!54:54)</f>
        <v>298.52</v>
      </c>
      <c r="P34" s="414"/>
      <c r="Q34" s="419">
        <f t="shared" ref="Q34:Q39" si="1">+O34-J34</f>
        <v>-37.488793707197715</v>
      </c>
    </row>
    <row r="35" spans="2:17" x14ac:dyDescent="0.3">
      <c r="B35" s="636" t="s">
        <v>319</v>
      </c>
      <c r="C35" s="637"/>
      <c r="E35" s="414"/>
      <c r="F35" s="415">
        <v>146.667218326843</v>
      </c>
      <c r="G35" s="415">
        <v>93.188842154669175</v>
      </c>
      <c r="H35" s="415">
        <v>153.42534302233324</v>
      </c>
      <c r="I35" s="415">
        <v>212.49912368932931</v>
      </c>
      <c r="J35" s="415">
        <v>199.25790409392837</v>
      </c>
      <c r="K35" s="416">
        <v>79.58</v>
      </c>
      <c r="L35" s="416">
        <v>360.51</v>
      </c>
      <c r="M35" s="416">
        <v>162.63</v>
      </c>
      <c r="N35" s="416">
        <v>136.44</v>
      </c>
      <c r="O35" s="416">
        <f>+SUMIF('Monthly Detail'!$4:$4, $B$14,'Monthly Detail'!55:55)</f>
        <v>345.16</v>
      </c>
      <c r="P35" s="414"/>
      <c r="Q35" s="419">
        <f t="shared" si="1"/>
        <v>145.90209590607165</v>
      </c>
    </row>
    <row r="36" spans="2:17" ht="14.4" customHeight="1" x14ac:dyDescent="0.3">
      <c r="B36" s="642" t="s">
        <v>312</v>
      </c>
      <c r="C36" s="643"/>
      <c r="E36" s="414"/>
      <c r="F36" s="415">
        <v>0</v>
      </c>
      <c r="G36" s="415">
        <v>0</v>
      </c>
      <c r="H36" s="415">
        <v>0</v>
      </c>
      <c r="I36" s="415">
        <v>0</v>
      </c>
      <c r="J36" s="415">
        <v>0</v>
      </c>
      <c r="K36" s="416">
        <v>0</v>
      </c>
      <c r="L36" s="416">
        <v>0</v>
      </c>
      <c r="M36" s="416">
        <v>0</v>
      </c>
      <c r="N36" s="416">
        <v>0</v>
      </c>
      <c r="O36" s="416">
        <f>+SUMIF('Monthly Detail'!$4:$4, $B$14,'Monthly Detail'!56:56)</f>
        <v>0</v>
      </c>
      <c r="P36" s="414"/>
      <c r="Q36" s="419">
        <f t="shared" si="1"/>
        <v>0</v>
      </c>
    </row>
    <row r="37" spans="2:17" x14ac:dyDescent="0.3">
      <c r="B37" s="644" t="s">
        <v>6</v>
      </c>
      <c r="C37" s="645"/>
      <c r="D37" s="5"/>
      <c r="E37" s="176"/>
      <c r="F37" s="417">
        <v>284.26506124460229</v>
      </c>
      <c r="G37" s="417">
        <v>540.36877912921864</v>
      </c>
      <c r="H37" s="417">
        <v>563.2371252232241</v>
      </c>
      <c r="I37" s="417">
        <v>648.3092650790835</v>
      </c>
      <c r="J37" s="417">
        <v>535.26669780112604</v>
      </c>
      <c r="K37" s="181">
        <v>535.63</v>
      </c>
      <c r="L37" s="181">
        <v>766.66</v>
      </c>
      <c r="M37" s="181">
        <v>549.27</v>
      </c>
      <c r="N37" s="181">
        <v>443</v>
      </c>
      <c r="O37" s="181">
        <f>+SUM(O34:O35)</f>
        <v>643.68000000000006</v>
      </c>
      <c r="P37" s="9"/>
      <c r="Q37" s="516">
        <f t="shared" si="1"/>
        <v>108.41330219887402</v>
      </c>
    </row>
    <row r="38" spans="2:17" x14ac:dyDescent="0.3">
      <c r="B38" s="642" t="s">
        <v>4</v>
      </c>
      <c r="C38" s="643"/>
      <c r="E38" s="9"/>
      <c r="F38" s="418">
        <v>11072.123742446514</v>
      </c>
      <c r="G38" s="418">
        <v>12227.224398589187</v>
      </c>
      <c r="H38" s="418">
        <v>11276.208156223351</v>
      </c>
      <c r="I38" s="418">
        <v>12233.793665509205</v>
      </c>
      <c r="J38" s="418">
        <v>9761.8662832616483</v>
      </c>
      <c r="K38" s="180">
        <v>11691.09</v>
      </c>
      <c r="L38" s="180">
        <v>11465.460000000001</v>
      </c>
      <c r="M38" s="180">
        <v>11523.82</v>
      </c>
      <c r="N38" s="180">
        <v>8608.9699999999993</v>
      </c>
      <c r="O38" s="180">
        <f>+O16-O37</f>
        <v>10438.36</v>
      </c>
      <c r="P38" s="9"/>
      <c r="Q38" s="419">
        <f t="shared" si="1"/>
        <v>676.4937167383523</v>
      </c>
    </row>
    <row r="39" spans="2:17" x14ac:dyDescent="0.3">
      <c r="B39" s="638" t="s">
        <v>333</v>
      </c>
      <c r="C39" s="639"/>
      <c r="D39" s="425"/>
      <c r="E39" s="442"/>
      <c r="F39" s="445">
        <v>0.97496871002230845</v>
      </c>
      <c r="G39" s="445">
        <v>0.95767653530249897</v>
      </c>
      <c r="H39" s="445">
        <v>0.95242706800580723</v>
      </c>
      <c r="I39" s="445">
        <v>0.94967364656435971</v>
      </c>
      <c r="J39" s="445">
        <v>0.94801789014616766</v>
      </c>
      <c r="K39" s="443">
        <v>0.95619184867241591</v>
      </c>
      <c r="L39" s="443">
        <v>0.93732402886825839</v>
      </c>
      <c r="M39" s="443">
        <v>0.95450460486917599</v>
      </c>
      <c r="N39" s="443">
        <v>0.95106037691242895</v>
      </c>
      <c r="O39" s="443">
        <f>+O38/O16</f>
        <v>0.9419168311971442</v>
      </c>
      <c r="P39" s="442"/>
      <c r="Q39" s="517">
        <f t="shared" si="1"/>
        <v>-6.1010589490234635E-3</v>
      </c>
    </row>
    <row r="40" spans="2:17" ht="4.95" customHeight="1" x14ac:dyDescent="0.3">
      <c r="B40" s="636"/>
      <c r="C40" s="637"/>
      <c r="E40" s="414"/>
      <c r="F40" s="415"/>
      <c r="G40" s="415"/>
      <c r="H40" s="415"/>
      <c r="I40" s="415"/>
      <c r="J40" s="415"/>
      <c r="K40" s="416"/>
      <c r="L40" s="416"/>
      <c r="M40" s="416"/>
      <c r="N40" s="416"/>
      <c r="O40" s="416"/>
      <c r="P40" s="414"/>
      <c r="Q40" s="419"/>
    </row>
    <row r="41" spans="2:17" x14ac:dyDescent="0.3">
      <c r="B41" s="636" t="s">
        <v>5</v>
      </c>
      <c r="C41" s="637"/>
      <c r="E41" s="414"/>
      <c r="F41" s="415"/>
      <c r="G41" s="415"/>
      <c r="H41" s="415"/>
      <c r="I41" s="415"/>
      <c r="J41" s="415"/>
      <c r="K41" s="416"/>
      <c r="L41" s="416"/>
      <c r="M41" s="416"/>
      <c r="N41" s="416"/>
      <c r="O41" s="416"/>
      <c r="P41" s="414"/>
      <c r="Q41" s="419"/>
    </row>
    <row r="42" spans="2:17" x14ac:dyDescent="0.3">
      <c r="B42" s="636" t="s">
        <v>343</v>
      </c>
      <c r="C42" s="637"/>
      <c r="E42" s="414"/>
      <c r="F42" s="415"/>
      <c r="G42" s="415"/>
      <c r="H42" s="415"/>
      <c r="I42" s="415">
        <v>50</v>
      </c>
      <c r="J42" s="415">
        <v>50</v>
      </c>
      <c r="K42" s="416"/>
      <c r="L42" s="416"/>
      <c r="M42" s="416"/>
      <c r="N42" s="416">
        <v>63</v>
      </c>
      <c r="O42" s="416">
        <f>+SUMIF('Monthly Detail'!$4:$4, $B$14,'Monthly Detail'!65:65)</f>
        <v>11.73</v>
      </c>
      <c r="P42" s="414"/>
      <c r="Q42" s="419">
        <f t="shared" ref="Q42:Q61" si="2">+O42-J42</f>
        <v>-38.269999999999996</v>
      </c>
    </row>
    <row r="43" spans="2:17" ht="14.4" customHeight="1" x14ac:dyDescent="0.3">
      <c r="B43" s="636" t="s">
        <v>314</v>
      </c>
      <c r="C43" s="637"/>
      <c r="E43" s="414"/>
      <c r="F43" s="415">
        <v>55</v>
      </c>
      <c r="G43" s="415">
        <v>55</v>
      </c>
      <c r="H43" s="415">
        <v>56.663333333333334</v>
      </c>
      <c r="I43" s="415">
        <v>59.993333333333339</v>
      </c>
      <c r="J43" s="415">
        <v>63.323333333333323</v>
      </c>
      <c r="K43" s="416">
        <v>55</v>
      </c>
      <c r="L43" s="416">
        <v>59.99</v>
      </c>
      <c r="M43" s="416">
        <v>64.989999999999995</v>
      </c>
      <c r="N43" s="416">
        <v>64.989999999999995</v>
      </c>
      <c r="O43" s="416">
        <f>+SUMIF('Monthly Detail'!$4:$4, $B$14,'Monthly Detail'!68:68)</f>
        <v>65</v>
      </c>
      <c r="P43" s="414"/>
      <c r="Q43" s="419">
        <f t="shared" si="2"/>
        <v>1.6766666666666765</v>
      </c>
    </row>
    <row r="44" spans="2:17" x14ac:dyDescent="0.3">
      <c r="B44" s="636" t="s">
        <v>315</v>
      </c>
      <c r="C44" s="637"/>
      <c r="E44" s="414"/>
      <c r="F44" s="415">
        <v>300</v>
      </c>
      <c r="G44" s="415">
        <v>300</v>
      </c>
      <c r="H44" s="415">
        <v>0</v>
      </c>
      <c r="I44" s="415">
        <v>1800</v>
      </c>
      <c r="J44" s="415">
        <v>100</v>
      </c>
      <c r="K44" s="416">
        <v>0</v>
      </c>
      <c r="L44" s="416">
        <v>374.22</v>
      </c>
      <c r="M44" s="416">
        <v>152</v>
      </c>
      <c r="N44" s="416">
        <v>422.45</v>
      </c>
      <c r="O44" s="416">
        <f>+SUMIF('Monthly Detail'!$4:$4, $B$14,'Monthly Detail'!69:69)</f>
        <v>0</v>
      </c>
      <c r="P44" s="414"/>
      <c r="Q44" s="419">
        <f t="shared" si="2"/>
        <v>-100</v>
      </c>
    </row>
    <row r="45" spans="2:17" x14ac:dyDescent="0.3">
      <c r="B45" s="636" t="s">
        <v>316</v>
      </c>
      <c r="C45" s="637"/>
      <c r="E45" s="414"/>
      <c r="F45" s="415">
        <v>478.09999999999997</v>
      </c>
      <c r="G45" s="415">
        <v>405.49666666666667</v>
      </c>
      <c r="H45" s="415">
        <v>396.57666666666665</v>
      </c>
      <c r="I45" s="415">
        <v>501.96333333333331</v>
      </c>
      <c r="J45" s="415">
        <v>428.85</v>
      </c>
      <c r="K45" s="416">
        <v>384.06</v>
      </c>
      <c r="L45" s="416">
        <v>299.25</v>
      </c>
      <c r="M45" s="416">
        <v>522.58000000000004</v>
      </c>
      <c r="N45" s="416">
        <v>164.72</v>
      </c>
      <c r="O45" s="416">
        <f>+SUMIF('Monthly Detail'!$4:$4, $B$14,'Monthly Detail'!70:70)</f>
        <v>325.47000000000003</v>
      </c>
      <c r="P45" s="414"/>
      <c r="Q45" s="419">
        <f t="shared" si="2"/>
        <v>-103.38</v>
      </c>
    </row>
    <row r="46" spans="2:17" x14ac:dyDescent="0.3">
      <c r="B46" s="636" t="s">
        <v>317</v>
      </c>
      <c r="C46" s="637"/>
      <c r="E46" s="414"/>
      <c r="F46" s="415">
        <v>115.51333333333334</v>
      </c>
      <c r="G46" s="415">
        <v>0</v>
      </c>
      <c r="H46" s="415">
        <v>0</v>
      </c>
      <c r="I46" s="415">
        <v>0</v>
      </c>
      <c r="J46" s="415">
        <v>50</v>
      </c>
      <c r="K46" s="416">
        <v>0</v>
      </c>
      <c r="L46" s="416">
        <v>0</v>
      </c>
      <c r="M46" s="416">
        <v>0</v>
      </c>
      <c r="N46" s="416">
        <v>111.85</v>
      </c>
      <c r="O46" s="416">
        <f>+SUMIF('Monthly Detail'!$4:$4, $B$14,'Monthly Detail'!71:71)</f>
        <v>0</v>
      </c>
      <c r="P46" s="414"/>
      <c r="Q46" s="419">
        <f t="shared" si="2"/>
        <v>-50</v>
      </c>
    </row>
    <row r="47" spans="2:17" x14ac:dyDescent="0.3">
      <c r="B47" s="636" t="s">
        <v>309</v>
      </c>
      <c r="C47" s="637"/>
      <c r="E47" s="414"/>
      <c r="F47" s="415">
        <v>308.83</v>
      </c>
      <c r="G47" s="415">
        <v>308.83</v>
      </c>
      <c r="H47" s="415">
        <v>327.08</v>
      </c>
      <c r="I47" s="415">
        <v>350</v>
      </c>
      <c r="J47" s="415">
        <v>300</v>
      </c>
      <c r="K47" s="416">
        <v>308.83</v>
      </c>
      <c r="L47" s="416">
        <v>327.08</v>
      </c>
      <c r="M47" s="416">
        <v>270</v>
      </c>
      <c r="N47" s="416">
        <v>242.42</v>
      </c>
      <c r="O47" s="416">
        <f>+SUMIF('Monthly Detail'!$4:$4, $B$14,'Monthly Detail'!72:72)</f>
        <v>240.83</v>
      </c>
      <c r="P47" s="414"/>
      <c r="Q47" s="419">
        <f t="shared" si="2"/>
        <v>-59.169999999999987</v>
      </c>
    </row>
    <row r="48" spans="2:17" ht="14.4" customHeight="1" x14ac:dyDescent="0.3">
      <c r="B48" s="636" t="s">
        <v>310</v>
      </c>
      <c r="C48" s="637"/>
      <c r="E48" s="414"/>
      <c r="F48" s="415">
        <v>0</v>
      </c>
      <c r="G48" s="415">
        <v>0.25</v>
      </c>
      <c r="H48" s="415">
        <v>1.0233333333333332</v>
      </c>
      <c r="I48" s="415">
        <v>0.25</v>
      </c>
      <c r="J48" s="415">
        <v>0.38500000000000001</v>
      </c>
      <c r="K48" s="416">
        <v>0.25</v>
      </c>
      <c r="L48" s="416">
        <v>0.52</v>
      </c>
      <c r="M48" s="416">
        <v>0</v>
      </c>
      <c r="N48" s="416">
        <v>0.52</v>
      </c>
      <c r="O48" s="416">
        <f>+SUMIF('Monthly Detail'!$4:$4, $B$14,'Monthly Detail'!73:73)</f>
        <v>1.25</v>
      </c>
      <c r="P48" s="414"/>
      <c r="Q48" s="419">
        <f t="shared" si="2"/>
        <v>0.86499999999999999</v>
      </c>
    </row>
    <row r="49" spans="2:17" ht="14.4" customHeight="1" x14ac:dyDescent="0.3">
      <c r="B49" s="636" t="s">
        <v>345</v>
      </c>
      <c r="C49" s="637"/>
      <c r="E49" s="414"/>
      <c r="F49" s="415"/>
      <c r="G49" s="415"/>
      <c r="H49" s="415"/>
      <c r="I49" s="415">
        <v>0</v>
      </c>
      <c r="J49" s="415">
        <v>0</v>
      </c>
      <c r="K49" s="416"/>
      <c r="L49" s="416"/>
      <c r="M49" s="416"/>
      <c r="N49" s="416">
        <v>0</v>
      </c>
      <c r="O49" s="416">
        <f>+SUMIF('Monthly Detail'!$4:$4, $B$14,'Monthly Detail'!75:75)</f>
        <v>200</v>
      </c>
      <c r="P49" s="414"/>
      <c r="Q49" s="419">
        <f t="shared" si="2"/>
        <v>200</v>
      </c>
    </row>
    <row r="50" spans="2:17" ht="14.4" customHeight="1" x14ac:dyDescent="0.3">
      <c r="B50" s="636" t="s">
        <v>344</v>
      </c>
      <c r="C50" s="637"/>
      <c r="E50" s="414"/>
      <c r="F50" s="415"/>
      <c r="G50" s="415"/>
      <c r="H50" s="415"/>
      <c r="I50" s="415">
        <v>1200</v>
      </c>
      <c r="J50" s="415">
        <v>1200</v>
      </c>
      <c r="K50" s="416"/>
      <c r="L50" s="416"/>
      <c r="M50" s="416"/>
      <c r="N50" s="416">
        <v>1200</v>
      </c>
      <c r="O50" s="416">
        <f>+SUMIF('Monthly Detail'!$4:$4, $B$14,'Monthly Detail'!74:74)</f>
        <v>1230</v>
      </c>
      <c r="P50" s="414"/>
      <c r="Q50" s="419">
        <f t="shared" si="2"/>
        <v>30</v>
      </c>
    </row>
    <row r="51" spans="2:17" x14ac:dyDescent="0.3">
      <c r="B51" s="636" t="s">
        <v>311</v>
      </c>
      <c r="C51" s="637"/>
      <c r="E51" s="414"/>
      <c r="F51" s="415">
        <v>189.5</v>
      </c>
      <c r="G51" s="415">
        <v>399.80333333333328</v>
      </c>
      <c r="H51" s="415">
        <v>426.01333333333332</v>
      </c>
      <c r="I51" s="415">
        <v>439.46999999999997</v>
      </c>
      <c r="J51" s="415">
        <v>481.79666666666662</v>
      </c>
      <c r="K51" s="416">
        <v>423.02</v>
      </c>
      <c r="L51" s="416">
        <v>512.91</v>
      </c>
      <c r="M51" s="416">
        <v>382</v>
      </c>
      <c r="N51" s="416">
        <v>550</v>
      </c>
      <c r="O51" s="416">
        <f>+SUMIF('Monthly Detail'!$4:$4, $B$14,'Monthly Detail'!76:76)</f>
        <v>518.05999999999995</v>
      </c>
      <c r="P51" s="414"/>
      <c r="Q51" s="419">
        <f t="shared" si="2"/>
        <v>36.263333333333321</v>
      </c>
    </row>
    <row r="52" spans="2:17" x14ac:dyDescent="0.3">
      <c r="B52" s="636" t="s">
        <v>349</v>
      </c>
      <c r="C52" s="637"/>
      <c r="E52" s="414"/>
      <c r="F52" s="415"/>
      <c r="G52" s="415"/>
      <c r="H52" s="415"/>
      <c r="I52" s="415">
        <v>0</v>
      </c>
      <c r="J52" s="415">
        <v>50</v>
      </c>
      <c r="K52" s="416">
        <v>0</v>
      </c>
      <c r="L52" s="416">
        <v>0</v>
      </c>
      <c r="M52" s="416">
        <v>0</v>
      </c>
      <c r="N52" s="416">
        <v>0</v>
      </c>
      <c r="O52" s="416">
        <f>+SUMIF('Monthly Detail'!$4:$4, $B$14,'Monthly Detail'!77:77)</f>
        <v>0</v>
      </c>
      <c r="P52" s="414"/>
      <c r="Q52" s="419">
        <f t="shared" si="2"/>
        <v>-50</v>
      </c>
    </row>
    <row r="53" spans="2:17" x14ac:dyDescent="0.3">
      <c r="B53" s="642" t="s">
        <v>347</v>
      </c>
      <c r="C53" s="643"/>
      <c r="E53" s="414"/>
      <c r="F53" s="415"/>
      <c r="G53" s="415"/>
      <c r="H53" s="415"/>
      <c r="I53" s="415"/>
      <c r="J53" s="415">
        <v>0</v>
      </c>
      <c r="K53" s="416"/>
      <c r="L53" s="416"/>
      <c r="M53" s="416"/>
      <c r="N53" s="416"/>
      <c r="O53" s="416">
        <f>+SUMIF('Monthly Detail'!$4:$4, $B$14,'Monthly Detail'!78:78)</f>
        <v>51.94</v>
      </c>
      <c r="P53" s="414"/>
      <c r="Q53" s="419">
        <f t="shared" si="2"/>
        <v>51.94</v>
      </c>
    </row>
    <row r="54" spans="2:17" x14ac:dyDescent="0.3">
      <c r="B54" s="644" t="s">
        <v>6</v>
      </c>
      <c r="C54" s="645"/>
      <c r="D54" s="5"/>
      <c r="E54" s="176"/>
      <c r="F54" s="417">
        <v>1698.9699999999998</v>
      </c>
      <c r="G54" s="417">
        <v>1469.3799999999999</v>
      </c>
      <c r="H54" s="417">
        <v>1207.3566666666666</v>
      </c>
      <c r="I54" s="417">
        <v>4401.6766666666663</v>
      </c>
      <c r="J54" s="417">
        <v>2724.355</v>
      </c>
      <c r="K54" s="181">
        <v>1171.1599999999999</v>
      </c>
      <c r="L54" s="181">
        <v>1573.9699999999998</v>
      </c>
      <c r="M54" s="181">
        <v>1391.5700000000002</v>
      </c>
      <c r="N54" s="181">
        <v>2819.95</v>
      </c>
      <c r="O54" s="181">
        <f>SUM(O42:O53)</f>
        <v>2644.28</v>
      </c>
      <c r="P54" s="9"/>
      <c r="Q54" s="516">
        <f>+O54-J54</f>
        <v>-80.074999999999818</v>
      </c>
    </row>
    <row r="55" spans="2:17" x14ac:dyDescent="0.3">
      <c r="B55" s="644" t="s">
        <v>7</v>
      </c>
      <c r="C55" s="645"/>
      <c r="E55" s="9"/>
      <c r="F55" s="418">
        <v>9373.153742446515</v>
      </c>
      <c r="G55" s="418">
        <v>10757.844398589188</v>
      </c>
      <c r="H55" s="418">
        <v>10068.851489556684</v>
      </c>
      <c r="I55" s="418">
        <v>7832.116998842539</v>
      </c>
      <c r="J55" s="418">
        <v>7037.5112832616487</v>
      </c>
      <c r="K55" s="180">
        <v>10519.93</v>
      </c>
      <c r="L55" s="180">
        <v>9891.4900000000016</v>
      </c>
      <c r="M55" s="180">
        <v>10132.25</v>
      </c>
      <c r="N55" s="180">
        <v>5789.0199999999995</v>
      </c>
      <c r="O55" s="180">
        <f>+O38-O54</f>
        <v>7794.08</v>
      </c>
      <c r="P55" s="9"/>
      <c r="Q55" s="419">
        <f t="shared" si="2"/>
        <v>756.56871673835121</v>
      </c>
    </row>
    <row r="56" spans="2:17" x14ac:dyDescent="0.3">
      <c r="B56" s="646" t="s">
        <v>313</v>
      </c>
      <c r="C56" s="647"/>
      <c r="D56" s="173"/>
      <c r="E56" s="420"/>
      <c r="F56" s="421">
        <v>0.82536393429925548</v>
      </c>
      <c r="G56" s="421">
        <v>0.8425898482858486</v>
      </c>
      <c r="H56" s="421">
        <v>0.85044959879458515</v>
      </c>
      <c r="I56" s="421">
        <v>0.60798435170435861</v>
      </c>
      <c r="J56" s="421">
        <v>0.683443760142185</v>
      </c>
      <c r="K56" s="422">
        <v>0.86040491644529371</v>
      </c>
      <c r="L56" s="422">
        <v>0.80864886871613428</v>
      </c>
      <c r="M56" s="422">
        <v>0.83924248059113282</v>
      </c>
      <c r="N56" s="422">
        <v>0.63953150529663705</v>
      </c>
      <c r="O56" s="422">
        <f>+O55/O16</f>
        <v>0.70330733330686401</v>
      </c>
      <c r="P56" s="420"/>
      <c r="Q56" s="518">
        <f t="shared" si="2"/>
        <v>1.9863573164679016E-2</v>
      </c>
    </row>
    <row r="57" spans="2:17" hidden="1" x14ac:dyDescent="0.3">
      <c r="B57" s="642" t="s">
        <v>9</v>
      </c>
      <c r="C57" s="643"/>
      <c r="E57" s="414"/>
      <c r="F57" s="415">
        <v>0</v>
      </c>
      <c r="G57" s="415">
        <v>0</v>
      </c>
      <c r="H57" s="415">
        <v>0</v>
      </c>
      <c r="I57" s="415">
        <v>0</v>
      </c>
      <c r="J57" s="415">
        <v>0</v>
      </c>
      <c r="K57" s="416">
        <v>2183.16</v>
      </c>
      <c r="L57" s="416">
        <v>0</v>
      </c>
      <c r="M57" s="416">
        <v>0</v>
      </c>
      <c r="N57" s="416">
        <v>0</v>
      </c>
      <c r="O57" s="416">
        <f>+SUMIF('Monthly Detail'!$4:$4, F14,'Monthly Detail'!94:94)</f>
        <v>0</v>
      </c>
      <c r="P57" s="414"/>
      <c r="Q57" s="419">
        <f t="shared" si="2"/>
        <v>0</v>
      </c>
    </row>
    <row r="58" spans="2:17" x14ac:dyDescent="0.3">
      <c r="B58" s="644" t="s">
        <v>10</v>
      </c>
      <c r="C58" s="645"/>
      <c r="D58" s="5"/>
      <c r="E58" s="176"/>
      <c r="F58" s="417">
        <v>0</v>
      </c>
      <c r="G58" s="417">
        <v>0</v>
      </c>
      <c r="H58" s="417">
        <v>0</v>
      </c>
      <c r="I58" s="417">
        <v>0</v>
      </c>
      <c r="J58" s="417">
        <v>0</v>
      </c>
      <c r="K58" s="181">
        <v>0</v>
      </c>
      <c r="L58" s="181">
        <v>0</v>
      </c>
      <c r="M58" s="181">
        <v>0</v>
      </c>
      <c r="N58" s="181">
        <v>0</v>
      </c>
      <c r="O58" s="181">
        <v>0</v>
      </c>
      <c r="P58" s="9"/>
      <c r="Q58" s="516">
        <f t="shared" si="2"/>
        <v>0</v>
      </c>
    </row>
    <row r="59" spans="2:17" hidden="1" x14ac:dyDescent="0.3">
      <c r="B59" s="644" t="s">
        <v>11</v>
      </c>
      <c r="C59" s="645"/>
      <c r="D59" s="3"/>
      <c r="E59" s="10"/>
      <c r="F59" s="423">
        <v>0</v>
      </c>
      <c r="G59" s="423">
        <v>0</v>
      </c>
      <c r="H59" s="423">
        <v>0</v>
      </c>
      <c r="I59" s="423">
        <v>0</v>
      </c>
      <c r="J59" s="423">
        <v>0</v>
      </c>
      <c r="K59" s="424">
        <v>0</v>
      </c>
      <c r="L59" s="424">
        <v>0</v>
      </c>
      <c r="M59" s="424">
        <v>0</v>
      </c>
      <c r="N59" s="424">
        <v>0</v>
      </c>
      <c r="O59" s="424">
        <f>+O58</f>
        <v>0</v>
      </c>
      <c r="P59" s="9"/>
      <c r="Q59" s="519">
        <f t="shared" si="2"/>
        <v>0</v>
      </c>
    </row>
    <row r="60" spans="2:17" x14ac:dyDescent="0.3">
      <c r="B60" s="638" t="s">
        <v>320</v>
      </c>
      <c r="C60" s="639"/>
      <c r="D60" s="425"/>
      <c r="E60" s="426"/>
      <c r="F60" s="427">
        <v>-1212.1799999999976</v>
      </c>
      <c r="G60" s="427">
        <v>-3048.1599999999967</v>
      </c>
      <c r="H60" s="427">
        <v>-995.45999999999776</v>
      </c>
      <c r="I60" s="427">
        <v>-1751.1699999999892</v>
      </c>
      <c r="J60" s="427">
        <v>-6500</v>
      </c>
      <c r="K60" s="428">
        <v>-1212.1799999999935</v>
      </c>
      <c r="L60" s="428">
        <v>-2188.1600000000003</v>
      </c>
      <c r="M60" s="428">
        <v>-998.02999999999338</v>
      </c>
      <c r="N60" s="428">
        <v>-1751.1699999999892</v>
      </c>
      <c r="O60" s="428">
        <f>+SUMIF('Monthly Detail'!$4:$4, $B$14,'Monthly Detail'!125:125)</f>
        <v>-7269.5500000000029</v>
      </c>
      <c r="P60" s="426"/>
      <c r="Q60" s="454">
        <f t="shared" si="2"/>
        <v>-769.55000000000291</v>
      </c>
    </row>
    <row r="61" spans="2:17" ht="15" thickBot="1" x14ac:dyDescent="0.35">
      <c r="B61" s="640" t="s">
        <v>12</v>
      </c>
      <c r="C61" s="641"/>
      <c r="D61" s="182"/>
      <c r="E61" s="183"/>
      <c r="F61" s="429">
        <v>9373.153742446515</v>
      </c>
      <c r="G61" s="429">
        <v>10757.844398589188</v>
      </c>
      <c r="H61" s="429">
        <v>10068.851489556684</v>
      </c>
      <c r="I61" s="429">
        <v>7832.1169988425409</v>
      </c>
      <c r="J61" s="429">
        <v>7037.5112832616487</v>
      </c>
      <c r="K61" s="439">
        <v>10519.93</v>
      </c>
      <c r="L61" s="439">
        <v>9891.4900000000016</v>
      </c>
      <c r="M61" s="439">
        <v>10132.25</v>
      </c>
      <c r="N61" s="439">
        <v>5789.0199999999995</v>
      </c>
      <c r="O61" s="439">
        <f>+O59+O55</f>
        <v>7794.08</v>
      </c>
      <c r="P61" s="183"/>
      <c r="Q61" s="520">
        <f t="shared" si="2"/>
        <v>756.56871673835121</v>
      </c>
    </row>
    <row r="62" spans="2:17" ht="15" thickTop="1" x14ac:dyDescent="0.3"/>
    <row r="63" spans="2:17" x14ac:dyDescent="0.3">
      <c r="B63" s="430"/>
      <c r="C63" s="430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431"/>
    </row>
  </sheetData>
  <mergeCells count="33">
    <mergeCell ref="B43:C43"/>
    <mergeCell ref="B44:C44"/>
    <mergeCell ref="B32:C32"/>
    <mergeCell ref="B33:C33"/>
    <mergeCell ref="B34:C34"/>
    <mergeCell ref="B14:Q14"/>
    <mergeCell ref="B16:C16"/>
    <mergeCell ref="B41:C41"/>
    <mergeCell ref="B39:C39"/>
    <mergeCell ref="B40:C40"/>
    <mergeCell ref="B37:C37"/>
    <mergeCell ref="B17:B28"/>
    <mergeCell ref="B51:C51"/>
    <mergeCell ref="B52:C52"/>
    <mergeCell ref="B53:C53"/>
    <mergeCell ref="B49:C49"/>
    <mergeCell ref="B50:C50"/>
    <mergeCell ref="B42:C42"/>
    <mergeCell ref="B35:C35"/>
    <mergeCell ref="B60:C60"/>
    <mergeCell ref="B61:C61"/>
    <mergeCell ref="B38:C38"/>
    <mergeCell ref="B36:C36"/>
    <mergeCell ref="B57:C57"/>
    <mergeCell ref="B58:C58"/>
    <mergeCell ref="B59:C59"/>
    <mergeCell ref="B54:C54"/>
    <mergeCell ref="B55:C55"/>
    <mergeCell ref="B56:C56"/>
    <mergeCell ref="B45:C45"/>
    <mergeCell ref="B46:C46"/>
    <mergeCell ref="B47:C47"/>
    <mergeCell ref="B48:C48"/>
  </mergeCells>
  <pageMargins left="0.7" right="0.7" top="0.75" bottom="0.75" header="0.3" footer="0.3"/>
  <pageSetup scale="56" orientation="landscape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20CB5-91A4-481E-BE9B-927BCB109E27}">
  <sheetPr>
    <tabColor theme="0" tint="-0.249977111117893"/>
  </sheetPr>
  <dimension ref="B2:FC4"/>
  <sheetViews>
    <sheetView topLeftCell="C1" workbookViewId="0">
      <selection activeCell="H5" sqref="H5"/>
    </sheetView>
  </sheetViews>
  <sheetFormatPr defaultRowHeight="14.4" x14ac:dyDescent="0.3"/>
  <cols>
    <col min="3" max="3" width="14.5546875" bestFit="1" customWidth="1"/>
    <col min="8" max="11" width="9.5546875" bestFit="1" customWidth="1"/>
    <col min="12" max="14" width="10.5546875" bestFit="1" customWidth="1"/>
    <col min="15" max="23" width="9.5546875" bestFit="1" customWidth="1"/>
    <col min="24" max="26" width="10.5546875" bestFit="1" customWidth="1"/>
    <col min="27" max="35" width="9.5546875" bestFit="1" customWidth="1"/>
    <col min="36" max="38" width="10.5546875" bestFit="1" customWidth="1"/>
    <col min="39" max="47" width="9.5546875" bestFit="1" customWidth="1"/>
    <col min="48" max="50" width="10.5546875" bestFit="1" customWidth="1"/>
    <col min="51" max="59" width="9.5546875" bestFit="1" customWidth="1"/>
    <col min="60" max="62" width="10.5546875" bestFit="1" customWidth="1"/>
    <col min="63" max="71" width="9.5546875" bestFit="1" customWidth="1"/>
    <col min="72" max="74" width="10.5546875" bestFit="1" customWidth="1"/>
    <col min="75" max="83" width="9.5546875" bestFit="1" customWidth="1"/>
    <col min="84" max="86" width="10.5546875" bestFit="1" customWidth="1"/>
    <col min="87" max="95" width="9.5546875" bestFit="1" customWidth="1"/>
    <col min="96" max="98" width="10.5546875" bestFit="1" customWidth="1"/>
    <col min="99" max="107" width="9.5546875" bestFit="1" customWidth="1"/>
    <col min="108" max="110" width="10.5546875" bestFit="1" customWidth="1"/>
    <col min="111" max="119" width="9.5546875" bestFit="1" customWidth="1"/>
    <col min="120" max="122" width="10.5546875" bestFit="1" customWidth="1"/>
    <col min="123" max="131" width="9.5546875" bestFit="1" customWidth="1"/>
    <col min="132" max="134" width="10.5546875" bestFit="1" customWidth="1"/>
    <col min="135" max="143" width="9.5546875" bestFit="1" customWidth="1"/>
    <col min="144" max="146" width="10.5546875" bestFit="1" customWidth="1"/>
    <col min="147" max="155" width="9.5546875" bestFit="1" customWidth="1"/>
    <col min="156" max="158" width="10.5546875" bestFit="1" customWidth="1"/>
  </cols>
  <sheetData>
    <row r="2" spans="2:159" x14ac:dyDescent="0.3">
      <c r="H2" s="178">
        <v>45838</v>
      </c>
      <c r="I2" s="178">
        <v>45869</v>
      </c>
      <c r="J2" s="178">
        <v>45900</v>
      </c>
      <c r="K2" s="178">
        <v>45930</v>
      </c>
      <c r="L2" s="178">
        <v>45961</v>
      </c>
      <c r="M2" s="178">
        <v>45991</v>
      </c>
      <c r="N2" s="178">
        <v>46022</v>
      </c>
      <c r="O2" s="178">
        <v>46053</v>
      </c>
      <c r="P2" s="178">
        <v>46081</v>
      </c>
      <c r="Q2" s="178">
        <v>46112</v>
      </c>
      <c r="R2" s="178">
        <v>46142</v>
      </c>
      <c r="S2" s="178">
        <v>46173</v>
      </c>
      <c r="T2" s="178">
        <v>46203</v>
      </c>
      <c r="U2" s="178">
        <v>46234</v>
      </c>
      <c r="V2" s="178">
        <v>46265</v>
      </c>
      <c r="W2" s="178">
        <v>46295</v>
      </c>
      <c r="X2" s="178">
        <v>46326</v>
      </c>
      <c r="Y2" s="178">
        <v>46356</v>
      </c>
      <c r="Z2" s="178">
        <v>46387</v>
      </c>
      <c r="AA2" s="178">
        <v>46418</v>
      </c>
      <c r="AB2" s="178">
        <v>46446</v>
      </c>
      <c r="AC2" s="178">
        <v>46477</v>
      </c>
      <c r="AD2" s="178">
        <v>46507</v>
      </c>
      <c r="AE2" s="178">
        <v>46538</v>
      </c>
      <c r="AF2" s="178">
        <v>46568</v>
      </c>
      <c r="AG2" s="178">
        <v>46599</v>
      </c>
      <c r="AH2" s="178">
        <v>46630</v>
      </c>
      <c r="AI2" s="178">
        <v>46660</v>
      </c>
      <c r="AJ2" s="178">
        <v>46691</v>
      </c>
      <c r="AK2" s="178">
        <v>46721</v>
      </c>
      <c r="AL2" s="178">
        <v>46752</v>
      </c>
      <c r="AM2" s="178">
        <v>46783</v>
      </c>
      <c r="AN2" s="178">
        <v>46812</v>
      </c>
      <c r="AO2" s="178">
        <v>46843</v>
      </c>
      <c r="AP2" s="178">
        <v>46873</v>
      </c>
      <c r="AQ2" s="178">
        <v>46904</v>
      </c>
      <c r="AR2" s="178">
        <v>46934</v>
      </c>
      <c r="AS2" s="178">
        <v>46965</v>
      </c>
      <c r="AT2" s="178">
        <v>46996</v>
      </c>
      <c r="AU2" s="178">
        <v>47026</v>
      </c>
      <c r="AV2" s="178">
        <v>47057</v>
      </c>
      <c r="AW2" s="178">
        <v>47087</v>
      </c>
      <c r="AX2" s="178">
        <v>47118</v>
      </c>
      <c r="AY2" s="178">
        <v>47149</v>
      </c>
      <c r="AZ2" s="178">
        <v>47177</v>
      </c>
      <c r="BA2" s="178">
        <v>47208</v>
      </c>
      <c r="BB2" s="178">
        <v>47238</v>
      </c>
      <c r="BC2" s="178">
        <v>47269</v>
      </c>
      <c r="BD2" s="178">
        <v>47299</v>
      </c>
      <c r="BE2" s="178">
        <v>47330</v>
      </c>
      <c r="BF2" s="178">
        <v>47361</v>
      </c>
      <c r="BG2" s="178">
        <v>47391</v>
      </c>
      <c r="BH2" s="178">
        <v>47422</v>
      </c>
      <c r="BI2" s="178">
        <v>47452</v>
      </c>
      <c r="BJ2" s="178">
        <v>47483</v>
      </c>
      <c r="BK2" s="178">
        <v>47514</v>
      </c>
      <c r="BL2" s="178">
        <v>47542</v>
      </c>
      <c r="BM2" s="178">
        <v>47573</v>
      </c>
      <c r="BN2" s="178">
        <v>47603</v>
      </c>
      <c r="BO2" s="178">
        <v>47634</v>
      </c>
      <c r="BP2" s="178">
        <v>47664</v>
      </c>
      <c r="BQ2" s="178">
        <v>47695</v>
      </c>
      <c r="BR2" s="178">
        <v>47726</v>
      </c>
      <c r="BS2" s="178">
        <v>47756</v>
      </c>
      <c r="BT2" s="178">
        <v>47787</v>
      </c>
      <c r="BU2" s="178">
        <v>47817</v>
      </c>
      <c r="BV2" s="178">
        <v>47848</v>
      </c>
      <c r="BW2" s="178">
        <v>47879</v>
      </c>
      <c r="BX2" s="178">
        <v>47907</v>
      </c>
      <c r="BY2" s="178">
        <v>47938</v>
      </c>
      <c r="BZ2" s="178">
        <v>47968</v>
      </c>
      <c r="CA2" s="178">
        <v>47999</v>
      </c>
      <c r="CB2" s="178">
        <v>48029</v>
      </c>
      <c r="CC2" s="178">
        <v>48060</v>
      </c>
      <c r="CD2" s="178">
        <v>48091</v>
      </c>
      <c r="CE2" s="178">
        <v>48121</v>
      </c>
      <c r="CF2" s="178">
        <v>48152</v>
      </c>
      <c r="CG2" s="178">
        <v>48182</v>
      </c>
      <c r="CH2" s="178">
        <v>48213</v>
      </c>
      <c r="CI2" s="178">
        <v>48244</v>
      </c>
      <c r="CJ2" s="178">
        <v>48273</v>
      </c>
      <c r="CK2" s="178">
        <v>48304</v>
      </c>
      <c r="CL2" s="178">
        <v>48334</v>
      </c>
      <c r="CM2" s="178">
        <v>48365</v>
      </c>
      <c r="CN2" s="178">
        <v>48395</v>
      </c>
      <c r="CO2" s="178">
        <v>48426</v>
      </c>
      <c r="CP2" s="178">
        <v>48457</v>
      </c>
      <c r="CQ2" s="178">
        <v>48487</v>
      </c>
      <c r="CR2" s="178">
        <v>48518</v>
      </c>
      <c r="CS2" s="178">
        <v>48548</v>
      </c>
      <c r="CT2" s="178">
        <v>48579</v>
      </c>
      <c r="CU2" s="178">
        <v>48610</v>
      </c>
      <c r="CV2" s="178">
        <v>48638</v>
      </c>
      <c r="CW2" s="178">
        <v>48669</v>
      </c>
      <c r="CX2" s="178">
        <v>48699</v>
      </c>
      <c r="CY2" s="178">
        <v>48730</v>
      </c>
      <c r="CZ2" s="178">
        <v>48760</v>
      </c>
      <c r="DA2" s="178">
        <v>48791</v>
      </c>
      <c r="DB2" s="178">
        <v>48822</v>
      </c>
      <c r="DC2" s="178">
        <v>48852</v>
      </c>
      <c r="DD2" s="178">
        <v>48883</v>
      </c>
      <c r="DE2" s="178">
        <v>48913</v>
      </c>
      <c r="DF2" s="178">
        <v>48944</v>
      </c>
      <c r="DG2" s="178">
        <v>48975</v>
      </c>
      <c r="DH2" s="178">
        <v>49003</v>
      </c>
      <c r="DI2" s="178">
        <v>49034</v>
      </c>
      <c r="DJ2" s="178">
        <v>49064</v>
      </c>
      <c r="DK2" s="178">
        <v>49095</v>
      </c>
      <c r="DL2" s="178">
        <v>49125</v>
      </c>
      <c r="DM2" s="178">
        <v>49156</v>
      </c>
      <c r="DN2" s="178">
        <v>49187</v>
      </c>
      <c r="DO2" s="178">
        <v>49217</v>
      </c>
      <c r="DP2" s="178">
        <v>49248</v>
      </c>
      <c r="DQ2" s="178">
        <v>49278</v>
      </c>
      <c r="DR2" s="178">
        <v>49309</v>
      </c>
      <c r="DS2" s="178">
        <v>49340</v>
      </c>
      <c r="DT2" s="178">
        <v>49368</v>
      </c>
      <c r="DU2" s="178">
        <v>49399</v>
      </c>
      <c r="DV2" s="178">
        <v>49429</v>
      </c>
      <c r="DW2" s="178">
        <v>49460</v>
      </c>
      <c r="DX2" s="178">
        <v>49490</v>
      </c>
      <c r="DY2" s="178">
        <v>49521</v>
      </c>
      <c r="DZ2" s="178">
        <v>49552</v>
      </c>
      <c r="EA2" s="178">
        <v>49582</v>
      </c>
      <c r="EB2" s="178">
        <v>49613</v>
      </c>
      <c r="EC2" s="178">
        <v>49643</v>
      </c>
      <c r="ED2" s="178">
        <v>49674</v>
      </c>
      <c r="EE2" s="178">
        <v>49705</v>
      </c>
      <c r="EF2" s="178">
        <v>49734</v>
      </c>
      <c r="EG2" s="178">
        <v>49765</v>
      </c>
      <c r="EH2" s="178">
        <v>49795</v>
      </c>
      <c r="EI2" s="178">
        <v>49826</v>
      </c>
      <c r="EJ2" s="178">
        <v>49856</v>
      </c>
      <c r="EK2" s="178">
        <v>49887</v>
      </c>
      <c r="EL2" s="178">
        <v>49918</v>
      </c>
      <c r="EM2" s="178">
        <v>49948</v>
      </c>
      <c r="EN2" s="178">
        <v>49979</v>
      </c>
      <c r="EO2" s="178">
        <v>50009</v>
      </c>
      <c r="EP2" s="178">
        <v>50040</v>
      </c>
      <c r="EQ2" s="178">
        <v>50071</v>
      </c>
      <c r="ER2" s="178">
        <v>50099</v>
      </c>
      <c r="ES2" s="178">
        <v>50130</v>
      </c>
      <c r="ET2" s="178">
        <v>50160</v>
      </c>
      <c r="EU2" s="178">
        <v>50191</v>
      </c>
      <c r="EV2" s="178">
        <v>50221</v>
      </c>
      <c r="EW2" s="178">
        <v>50252</v>
      </c>
      <c r="EX2" s="178">
        <v>50283</v>
      </c>
      <c r="EY2" s="178">
        <v>50313</v>
      </c>
      <c r="EZ2" s="178">
        <v>50344</v>
      </c>
      <c r="FA2" s="178">
        <v>50374</v>
      </c>
      <c r="FB2" s="178">
        <v>50405</v>
      </c>
      <c r="FC2" s="178"/>
    </row>
    <row r="3" spans="2:159" x14ac:dyDescent="0.3">
      <c r="B3" t="s">
        <v>275</v>
      </c>
      <c r="C3" t="s">
        <v>276</v>
      </c>
      <c r="D3" t="s">
        <v>277</v>
      </c>
    </row>
    <row r="4" spans="2:159" x14ac:dyDescent="0.3">
      <c r="C4" t="s">
        <v>278</v>
      </c>
      <c r="D4">
        <v>35</v>
      </c>
      <c r="H4" s="324">
        <f>+IF((SUM('Monthly Detail'!AG26,'Monthly Detail'!AG27)-'Monthly Detail'!$B$24)&gt;0,(SUM('Monthly Detail'!AG26,'Monthly Detail'!AG27)-'Monthly Detail'!$B$24)*'People Plan'!$D$4, 0)</f>
        <v>0</v>
      </c>
      <c r="I4" s="324">
        <f>+IF((SUM('Monthly Detail'!AH26,'Monthly Detail'!AH27)-'Monthly Detail'!$B$24)&gt;0,(SUM('Monthly Detail'!AH26,'Monthly Detail'!AH27)-'Monthly Detail'!$B$24)*'People Plan'!$D$4, 0)</f>
        <v>0</v>
      </c>
      <c r="J4" s="324">
        <f>+IF((SUM('Monthly Detail'!AI26,'Monthly Detail'!AI27)-'Monthly Detail'!$B$24)&gt;0,(SUM('Monthly Detail'!AI26,'Monthly Detail'!AI27)-'Monthly Detail'!$B$24)*'People Plan'!$D$4, 0)</f>
        <v>0</v>
      </c>
      <c r="K4" s="324">
        <f>+IF((SUM('Monthly Detail'!AJ26,'Monthly Detail'!AJ27)-'Monthly Detail'!$B$24)&gt;0,(SUM('Monthly Detail'!AJ26,'Monthly Detail'!AJ27)-'Monthly Detail'!$B$24)*'People Plan'!$D$4, 0)</f>
        <v>0</v>
      </c>
      <c r="L4" s="324">
        <f>+IF((SUM('Monthly Detail'!AK26,'Monthly Detail'!AK27)-'Monthly Detail'!$B$24)&gt;0,(SUM('Monthly Detail'!AK26,'Monthly Detail'!AK27)-'Monthly Detail'!$B$24)*'People Plan'!$D$4, 0)</f>
        <v>0</v>
      </c>
      <c r="M4" s="324">
        <f>+IF((SUM('Monthly Detail'!AL26,'Monthly Detail'!AL27)-'Monthly Detail'!$B$24)&gt;0,(SUM('Monthly Detail'!AL26,'Monthly Detail'!AL27)-'Monthly Detail'!$B$24)*'People Plan'!$D$4, 0)</f>
        <v>0</v>
      </c>
      <c r="N4" s="324">
        <f>+IF((SUM('Monthly Detail'!AM26,'Monthly Detail'!AM27)-'Monthly Detail'!$B$24)&gt;0,(SUM('Monthly Detail'!AM26,'Monthly Detail'!AM27)-'Monthly Detail'!$B$24)*'People Plan'!$D$4, 0)</f>
        <v>0</v>
      </c>
      <c r="O4" s="324">
        <f>+IF((SUM('Monthly Detail'!AN26,'Monthly Detail'!AN27)-'Monthly Detail'!$B$24)&gt;0,(SUM('Monthly Detail'!AN26,'Monthly Detail'!AN27)-'Monthly Detail'!$B$24)*'People Plan'!$D$4, 0)</f>
        <v>0</v>
      </c>
      <c r="P4" s="324">
        <f>+IF((SUM('Monthly Detail'!AO26,'Monthly Detail'!AO27)-'Monthly Detail'!$B$24)&gt;0,(SUM('Monthly Detail'!AO26,'Monthly Detail'!AO27)-'Monthly Detail'!$B$24)*'People Plan'!$D$4, 0)</f>
        <v>0</v>
      </c>
      <c r="Q4" s="324">
        <f>+IF((SUM('Monthly Detail'!AP26,'Monthly Detail'!AP27)-'Monthly Detail'!$B$24)&gt;0,(SUM('Monthly Detail'!AP26,'Monthly Detail'!AP27)-'Monthly Detail'!$B$24)*'People Plan'!$D$4, 0)</f>
        <v>0</v>
      </c>
      <c r="R4" s="324">
        <f>+IF((SUM('Monthly Detail'!AQ26,'Monthly Detail'!AQ27)-'Monthly Detail'!$B$24)&gt;0,(SUM('Monthly Detail'!AQ26,'Monthly Detail'!AQ27)-'Monthly Detail'!$B$24)*'People Plan'!$D$4, 0)</f>
        <v>0</v>
      </c>
      <c r="S4" s="324">
        <f>+IF((SUM('Monthly Detail'!AR26,'Monthly Detail'!AR27)-'Monthly Detail'!$B$24)&gt;0,(SUM('Monthly Detail'!AR26,'Monthly Detail'!AR27)-'Monthly Detail'!$B$24)*'People Plan'!$D$4, 0)</f>
        <v>0</v>
      </c>
      <c r="T4" s="324">
        <f>+IF((SUM('Monthly Detail'!AS26,'Monthly Detail'!AS27)-'Monthly Detail'!$B$24)&gt;0,(SUM('Monthly Detail'!AS26,'Monthly Detail'!AS27)-'Monthly Detail'!$B$24)*'People Plan'!$D$4, 0)</f>
        <v>0</v>
      </c>
      <c r="U4" s="324">
        <f>+IF((SUM('Monthly Detail'!AT26,'Monthly Detail'!AT27)-'Monthly Detail'!$B$24)&gt;0,(SUM('Monthly Detail'!AT26,'Monthly Detail'!AT27)-'Monthly Detail'!$B$24)*'People Plan'!$D$4, 0)</f>
        <v>0</v>
      </c>
      <c r="V4" s="324">
        <f>+IF((SUM('Monthly Detail'!AU26,'Monthly Detail'!AU27)-'Monthly Detail'!$B$24)&gt;0,(SUM('Monthly Detail'!AU26,'Monthly Detail'!AU27)-'Monthly Detail'!$B$24)*'People Plan'!$D$4, 0)</f>
        <v>0</v>
      </c>
      <c r="W4" s="324">
        <f>+IF((SUM('Monthly Detail'!AV26,'Monthly Detail'!AV27)-'Monthly Detail'!$B$24)&gt;0,(SUM('Monthly Detail'!AV26,'Monthly Detail'!AV27)-'Monthly Detail'!$B$24)*'People Plan'!$D$4, 0)</f>
        <v>0</v>
      </c>
      <c r="X4" s="324">
        <f>+IF((SUM('Monthly Detail'!AW26,'Monthly Detail'!AW27)-'Monthly Detail'!$B$24)&gt;0,(SUM('Monthly Detail'!AW26,'Monthly Detail'!AW27)-'Monthly Detail'!$B$24)*'People Plan'!$D$4, 0)</f>
        <v>0</v>
      </c>
      <c r="Y4" s="324">
        <f>+IF((SUM('Monthly Detail'!AX26,'Monthly Detail'!AX27)-'Monthly Detail'!$B$24)&gt;0,(SUM('Monthly Detail'!AX26,'Monthly Detail'!AX27)-'Monthly Detail'!$B$24)*'People Plan'!$D$4, 0)</f>
        <v>0</v>
      </c>
      <c r="Z4" s="324">
        <f>+IF((SUM('Monthly Detail'!AY26,'Monthly Detail'!AY27)-'Monthly Detail'!$B$24)&gt;0,(SUM('Monthly Detail'!AY26,'Monthly Detail'!AY27)-'Monthly Detail'!$B$24)*'People Plan'!$D$4, 0)</f>
        <v>0</v>
      </c>
      <c r="AA4" s="324">
        <f>+IF((SUM('Monthly Detail'!AZ26,'Monthly Detail'!AZ27)-'Monthly Detail'!$B$24)&gt;0,(SUM('Monthly Detail'!AZ26,'Monthly Detail'!AZ27)-'Monthly Detail'!$B$24)*'People Plan'!$D$4, 0)</f>
        <v>0</v>
      </c>
      <c r="AB4" s="324">
        <f>+IF((SUM('Monthly Detail'!BA26,'Monthly Detail'!BA27)-'Monthly Detail'!$B$24)&gt;0,(SUM('Monthly Detail'!BA26,'Monthly Detail'!BA27)-'Monthly Detail'!$B$24)*'People Plan'!$D$4, 0)</f>
        <v>0</v>
      </c>
      <c r="AC4" s="324">
        <f>+IF((SUM('Monthly Detail'!BB26,'Monthly Detail'!BB27)-'Monthly Detail'!$B$24)&gt;0,(SUM('Monthly Detail'!BB26,'Monthly Detail'!BB27)-'Monthly Detail'!$B$24)*'People Plan'!$D$4, 0)</f>
        <v>0</v>
      </c>
      <c r="AD4" s="324">
        <f>+IF((SUM('Monthly Detail'!BC26,'Monthly Detail'!BC27)-'Monthly Detail'!$B$24)&gt;0,(SUM('Monthly Detail'!BC26,'Monthly Detail'!BC27)-'Monthly Detail'!$B$24)*'People Plan'!$D$4, 0)</f>
        <v>0</v>
      </c>
      <c r="AE4" s="324">
        <f>+IF((SUM('Monthly Detail'!BD26,'Monthly Detail'!BD27)-'Monthly Detail'!$B$24)&gt;0,(SUM('Monthly Detail'!BD26,'Monthly Detail'!BD27)-'Monthly Detail'!$B$24)*'People Plan'!$D$4, 0)</f>
        <v>0</v>
      </c>
      <c r="AF4" s="324">
        <f>+IF((SUM('Monthly Detail'!BE26,'Monthly Detail'!BE27)-'Monthly Detail'!$B$24)&gt;0,(SUM('Monthly Detail'!BE26,'Monthly Detail'!BE27)-'Monthly Detail'!$B$24)*'People Plan'!$D$4, 0)</f>
        <v>0</v>
      </c>
      <c r="AG4" s="324">
        <f>+IF((SUM('Monthly Detail'!BF26,'Monthly Detail'!BF27)-'Monthly Detail'!$B$24)&gt;0,(SUM('Monthly Detail'!BF26,'Monthly Detail'!BF27)-'Monthly Detail'!$B$24)*'People Plan'!$D$4, 0)</f>
        <v>0</v>
      </c>
      <c r="AH4" s="324">
        <f>+IF((SUM('Monthly Detail'!BG26,'Monthly Detail'!BG27)-'Monthly Detail'!$B$24)&gt;0,(SUM('Monthly Detail'!BG26,'Monthly Detail'!BG27)-'Monthly Detail'!$B$24)*'People Plan'!$D$4, 0)</f>
        <v>0</v>
      </c>
      <c r="AI4" s="324">
        <f>+IF((SUM('Monthly Detail'!BH26,'Monthly Detail'!BH27)-'Monthly Detail'!$B$24)&gt;0,(SUM('Monthly Detail'!BH26,'Monthly Detail'!BH27)-'Monthly Detail'!$B$24)*'People Plan'!$D$4, 0)</f>
        <v>0</v>
      </c>
      <c r="AJ4" s="324">
        <f>+IF((SUM('Monthly Detail'!BI26,'Monthly Detail'!BI27)-'Monthly Detail'!$B$24)&gt;0,(SUM('Monthly Detail'!BI26,'Monthly Detail'!BI27)-'Monthly Detail'!$B$24)*'People Plan'!$D$4, 0)</f>
        <v>0</v>
      </c>
      <c r="AK4" s="324">
        <f>+IF((SUM('Monthly Detail'!BJ26,'Monthly Detail'!BJ27)-'Monthly Detail'!$B$24)&gt;0,(SUM('Monthly Detail'!BJ26,'Monthly Detail'!BJ27)-'Monthly Detail'!$B$24)*'People Plan'!$D$4, 0)</f>
        <v>856.28409244792067</v>
      </c>
      <c r="AL4" s="324">
        <f>+IF((SUM('Monthly Detail'!BK26,'Monthly Detail'!BK27)-'Monthly Detail'!$B$24)&gt;0,(SUM('Monthly Detail'!BK26,'Monthly Detail'!BK27)-'Monthly Detail'!$B$24)*'People Plan'!$D$4, 0)</f>
        <v>2253.878031794256</v>
      </c>
      <c r="AM4" s="324">
        <f>+IF((SUM('Monthly Detail'!BL26,'Monthly Detail'!BL27)-'Monthly Detail'!$B$24)&gt;0,(SUM('Monthly Detail'!BL26,'Monthly Detail'!BL27)-'Monthly Detail'!$B$24)*'People Plan'!$D$4, 0)</f>
        <v>0</v>
      </c>
      <c r="AN4" s="324">
        <f>+IF((SUM('Monthly Detail'!BM26,'Monthly Detail'!BM27)-'Monthly Detail'!$B$24)&gt;0,(SUM('Monthly Detail'!BM26,'Monthly Detail'!BM27)-'Monthly Detail'!$B$24)*'People Plan'!$D$4, 0)</f>
        <v>0</v>
      </c>
      <c r="AO4" s="324">
        <f>+IF((SUM('Monthly Detail'!BN26,'Monthly Detail'!BN27)-'Monthly Detail'!$B$24)&gt;0,(SUM('Monthly Detail'!BN26,'Monthly Detail'!BN27)-'Monthly Detail'!$B$24)*'People Plan'!$D$4, 0)</f>
        <v>0</v>
      </c>
      <c r="AP4" s="324">
        <f>+IF((SUM('Monthly Detail'!BO26,'Monthly Detail'!BO27)-'Monthly Detail'!$B$24)&gt;0,(SUM('Monthly Detail'!BO26,'Monthly Detail'!BO27)-'Monthly Detail'!$B$24)*'People Plan'!$D$4, 0)</f>
        <v>0</v>
      </c>
      <c r="AQ4" s="324">
        <f>+IF((SUM('Monthly Detail'!BP26,'Monthly Detail'!BP27)-'Monthly Detail'!$B$24)&gt;0,(SUM('Monthly Detail'!BP26,'Monthly Detail'!BP27)-'Monthly Detail'!$B$24)*'People Plan'!$D$4, 0)</f>
        <v>0</v>
      </c>
      <c r="AR4" s="324">
        <f>+IF((SUM('Monthly Detail'!BQ26,'Monthly Detail'!BQ27)-'Monthly Detail'!$B$24)&gt;0,(SUM('Monthly Detail'!BQ26,'Monthly Detail'!BQ27)-'Monthly Detail'!$B$24)*'People Plan'!$D$4, 0)</f>
        <v>29.117384924315388</v>
      </c>
      <c r="AS4" s="324">
        <f>+IF((SUM('Monthly Detail'!BR26,'Monthly Detail'!BR27)-'Monthly Detail'!$B$24)&gt;0,(SUM('Monthly Detail'!BR26,'Monthly Detail'!BR27)-'Monthly Detail'!$B$24)*'People Plan'!$D$4, 0)</f>
        <v>0</v>
      </c>
      <c r="AT4" s="324">
        <f>+IF((SUM('Monthly Detail'!BS26,'Monthly Detail'!BS27)-'Monthly Detail'!$B$24)&gt;0,(SUM('Monthly Detail'!BS26,'Monthly Detail'!BS27)-'Monthly Detail'!$B$24)*'People Plan'!$D$4, 0)</f>
        <v>1136.5350982462587</v>
      </c>
      <c r="AU4" s="324">
        <f>+IF((SUM('Monthly Detail'!BT26,'Monthly Detail'!BT27)-'Monthly Detail'!$B$24)&gt;0,(SUM('Monthly Detail'!BT26,'Monthly Detail'!BT27)-'Monthly Detail'!$B$24)*'People Plan'!$D$4, 0)</f>
        <v>842.15843552578667</v>
      </c>
      <c r="AV4" s="324">
        <f>+IF((SUM('Monthly Detail'!BU26,'Monthly Detail'!BU27)-'Monthly Detail'!$B$24)&gt;0,(SUM('Monthly Detail'!BU26,'Monthly Detail'!BU27)-'Monthly Detail'!$B$24)*'People Plan'!$D$4, 0)</f>
        <v>0</v>
      </c>
      <c r="AW4" s="324">
        <f>+IF((SUM('Monthly Detail'!BV26,'Monthly Detail'!BV27)-'Monthly Detail'!$B$24)&gt;0,(SUM('Monthly Detail'!BV26,'Monthly Detail'!BV27)-'Monthly Detail'!$B$24)*'People Plan'!$D$4, 0)</f>
        <v>2990.8623871028949</v>
      </c>
      <c r="AX4" s="324">
        <f>+IF((SUM('Monthly Detail'!BW26,'Monthly Detail'!BW27)-'Monthly Detail'!$B$24)&gt;0,(SUM('Monthly Detail'!BW26,'Monthly Detail'!BW27)-'Monthly Detail'!$B$24)*'People Plan'!$D$4, 0)</f>
        <v>4152.2772439521887</v>
      </c>
      <c r="AY4" s="324">
        <f>+IF((SUM('Monthly Detail'!BX26,'Monthly Detail'!BX27)-'Monthly Detail'!$B$24)&gt;0,(SUM('Monthly Detail'!BX26,'Monthly Detail'!BX27)-'Monthly Detail'!$B$24)*'People Plan'!$D$4, 0)</f>
        <v>0</v>
      </c>
      <c r="AZ4" s="324">
        <f>+IF((SUM('Monthly Detail'!BY26,'Monthly Detail'!BY27)-'Monthly Detail'!$B$24)&gt;0,(SUM('Monthly Detail'!BY26,'Monthly Detail'!BY27)-'Monthly Detail'!$B$24)*'People Plan'!$D$4, 0)</f>
        <v>0</v>
      </c>
      <c r="BA4" s="324">
        <f>+IF((SUM('Monthly Detail'!BZ26,'Monthly Detail'!BZ27)-'Monthly Detail'!$B$24)&gt;0,(SUM('Monthly Detail'!BZ26,'Monthly Detail'!BZ27)-'Monthly Detail'!$B$24)*'People Plan'!$D$4, 0)</f>
        <v>1460.31252491748</v>
      </c>
      <c r="BB4" s="324">
        <f>+IF((SUM('Monthly Detail'!CA26,'Monthly Detail'!CA27)-'Monthly Detail'!$B$24)&gt;0,(SUM('Monthly Detail'!CA26,'Monthly Detail'!CA27)-'Monthly Detail'!$B$24)*'People Plan'!$D$4, 0)</f>
        <v>0</v>
      </c>
      <c r="BC4" s="324">
        <f>+IF((SUM('Monthly Detail'!CB26,'Monthly Detail'!CB27)-'Monthly Detail'!$B$24)&gt;0,(SUM('Monthly Detail'!CB26,'Monthly Detail'!CB27)-'Monthly Detail'!$B$24)*'People Plan'!$D$4, 0)</f>
        <v>0</v>
      </c>
      <c r="BD4" s="324">
        <f>+IF((SUM('Monthly Detail'!CC26,'Monthly Detail'!CC27)-'Monthly Detail'!$B$24)&gt;0,(SUM('Monthly Detail'!CC26,'Monthly Detail'!CC27)-'Monthly Detail'!$B$24)*'People Plan'!$D$4, 0)</f>
        <v>1404.2239121994564</v>
      </c>
      <c r="BE4" s="324">
        <f>+IF((SUM('Monthly Detail'!CD26,'Monthly Detail'!CD27)-'Monthly Detail'!$B$24)&gt;0,(SUM('Monthly Detail'!CD26,'Monthly Detail'!CD27)-'Monthly Detail'!$B$24)*'People Plan'!$D$4, 0)</f>
        <v>58.793806088054339</v>
      </c>
      <c r="BF4" s="324">
        <f>+IF((SUM('Monthly Detail'!CE26,'Monthly Detail'!CE27)-'Monthly Detail'!$B$24)&gt;0,(SUM('Monthly Detail'!CE26,'Monthly Detail'!CE27)-'Monthly Detail'!$B$24)*'People Plan'!$D$4, 0)</f>
        <v>3040.7778161946662</v>
      </c>
      <c r="BG4" s="324">
        <f>+IF((SUM('Monthly Detail'!CF26,'Monthly Detail'!CF27)-'Monthly Detail'!$B$24)&gt;0,(SUM('Monthly Detail'!CF26,'Monthly Detail'!CF27)-'Monthly Detail'!$B$24)*'People Plan'!$D$4, 0)</f>
        <v>1724.2306616801029</v>
      </c>
      <c r="BH4" s="324">
        <f>+IF((SUM('Monthly Detail'!CG26,'Monthly Detail'!CG27)-'Monthly Detail'!$B$24)&gt;0,(SUM('Monthly Detail'!CG26,'Monthly Detail'!CG27)-'Monthly Detail'!$B$24)*'People Plan'!$D$4, 0)</f>
        <v>954.01465427473136</v>
      </c>
      <c r="BI4" s="324">
        <f>+IF((SUM('Monthly Detail'!CH26,'Monthly Detail'!CH27)-'Monthly Detail'!$B$24)&gt;0,(SUM('Monthly Detail'!CH26,'Monthly Detail'!CH27)-'Monthly Detail'!$B$24)*'People Plan'!$D$4, 0)</f>
        <v>4697.8239905637492</v>
      </c>
      <c r="BJ4" s="324">
        <f>+IF((SUM('Monthly Detail'!CI26,'Monthly Detail'!CI27)-'Monthly Detail'!$B$24)&gt;0,(SUM('Monthly Detail'!CI26,'Monthly Detail'!CI27)-'Monthly Detail'!$B$24)*'People Plan'!$D$4, 0)</f>
        <v>4743.5706716270997</v>
      </c>
      <c r="BK4" s="324">
        <f>+IF((SUM('Monthly Detail'!CJ26,'Monthly Detail'!CJ27)-'Monthly Detail'!$B$24)&gt;0,(SUM('Monthly Detail'!CJ26,'Monthly Detail'!CJ27)-'Monthly Detail'!$B$24)*'People Plan'!$D$4, 0)</f>
        <v>1101.9067823790522</v>
      </c>
      <c r="BL4" s="324">
        <f>+IF((SUM('Monthly Detail'!CK26,'Monthly Detail'!CK27)-'Monthly Detail'!$B$24)&gt;0,(SUM('Monthly Detail'!CK26,'Monthly Detail'!CK27)-'Monthly Detail'!$B$24)*'People Plan'!$D$4, 0)</f>
        <v>827.5639222657037</v>
      </c>
      <c r="BM4" s="324">
        <f>+IF((SUM('Monthly Detail'!CL26,'Monthly Detail'!CL27)-'Monthly Detail'!$B$24)&gt;0,(SUM('Monthly Detail'!CL26,'Monthly Detail'!CL27)-'Monthly Detail'!$B$24)*'People Plan'!$D$4, 0)</f>
        <v>2624.5855362011557</v>
      </c>
      <c r="BN4" s="324">
        <f>+IF((SUM('Monthly Detail'!CM26,'Monthly Detail'!CM27)-'Monthly Detail'!$B$24)&gt;0,(SUM('Monthly Detail'!CM26,'Monthly Detail'!CM27)-'Monthly Detail'!$B$24)*'People Plan'!$D$4, 0)</f>
        <v>0</v>
      </c>
      <c r="BO4" s="324">
        <f>+IF((SUM('Monthly Detail'!CN26,'Monthly Detail'!CN27)-'Monthly Detail'!$B$24)&gt;0,(SUM('Monthly Detail'!CN26,'Monthly Detail'!CN27)-'Monthly Detail'!$B$24)*'People Plan'!$D$4, 0)</f>
        <v>939.72030251676983</v>
      </c>
      <c r="BP4" s="324">
        <f>+IF((SUM('Monthly Detail'!CO26,'Monthly Detail'!CO27)-'Monthly Detail'!$B$24)&gt;0,(SUM('Monthly Detail'!CO26,'Monthly Detail'!CO27)-'Monthly Detail'!$B$24)*'People Plan'!$D$4, 0)</f>
        <v>2402.7900111764138</v>
      </c>
      <c r="BQ4" s="324">
        <f>+IF((SUM('Monthly Detail'!CP26,'Monthly Detail'!CP27)-'Monthly Detail'!$B$24)&gt;0,(SUM('Monthly Detail'!CP26,'Monthly Detail'!CP27)-'Monthly Detail'!$B$24)*'People Plan'!$D$4, 0)</f>
        <v>1814.5022889907586</v>
      </c>
      <c r="BR4" s="324">
        <f>+IF((SUM('Monthly Detail'!CQ26,'Monthly Detail'!CQ27)-'Monthly Detail'!$B$24)&gt;0,(SUM('Monthly Detail'!CQ26,'Monthly Detail'!CQ27)-'Monthly Detail'!$B$24)*'People Plan'!$D$4, 0)</f>
        <v>4716.8215254342776</v>
      </c>
      <c r="BS4" s="324">
        <f>+IF((SUM('Monthly Detail'!CR26,'Monthly Detail'!CR27)-'Monthly Detail'!$B$24)&gt;0,(SUM('Monthly Detail'!CR26,'Monthly Detail'!CR27)-'Monthly Detail'!$B$24)*'People Plan'!$D$4, 0)</f>
        <v>2669.1062192787431</v>
      </c>
      <c r="BT4" s="324">
        <f>+IF((SUM('Monthly Detail'!CS26,'Monthly Detail'!CS27)-'Monthly Detail'!$B$24)&gt;0,(SUM('Monthly Detail'!CS26,'Monthly Detail'!CS27)-'Monthly Detail'!$B$24)*'People Plan'!$D$4, 0)</f>
        <v>2889.9359635411047</v>
      </c>
      <c r="BU4" s="324">
        <f>+IF((SUM('Monthly Detail'!CT26,'Monthly Detail'!CT27)-'Monthly Detail'!$B$24)&gt;0,(SUM('Monthly Detail'!CT26,'Monthly Detail'!CT27)-'Monthly Detail'!$B$24)*'People Plan'!$D$4, 0)</f>
        <v>6625.7683265889482</v>
      </c>
      <c r="BV4" s="324">
        <f>+IF((SUM('Monthly Detail'!CU26,'Monthly Detail'!CU27)-'Monthly Detail'!$B$24)&gt;0,(SUM('Monthly Detail'!CU26,'Monthly Detail'!CU27)-'Monthly Detail'!$B$24)*'People Plan'!$D$4, 0)</f>
        <v>6725.7346758334852</v>
      </c>
      <c r="BW4" s="324">
        <f>+IF((SUM('Monthly Detail'!CV26,'Monthly Detail'!CV27)-'Monthly Detail'!$B$24)&gt;0,(SUM('Monthly Detail'!CV26,'Monthly Detail'!CV27)-'Monthly Detail'!$B$24)*'People Plan'!$D$4, 0)</f>
        <v>2612.9205369757879</v>
      </c>
      <c r="BX4" s="324">
        <f>+IF((SUM('Monthly Detail'!CW26,'Monthly Detail'!CW27)-'Monthly Detail'!$B$24)&gt;0,(SUM('Monthly Detail'!CW26,'Monthly Detail'!CW27)-'Monthly Detail'!$B$24)*'People Plan'!$D$4, 0)</f>
        <v>2296.9220928915497</v>
      </c>
      <c r="BY4" s="324">
        <f>+IF((SUM('Monthly Detail'!CX26,'Monthly Detail'!CX27)-'Monthly Detail'!$B$24)&gt;0,(SUM('Monthly Detail'!CX26,'Monthly Detail'!CX27)-'Monthly Detail'!$B$24)*'People Plan'!$D$4, 0)</f>
        <v>3687.0430547262622</v>
      </c>
      <c r="BZ4" s="324">
        <f>+IF((SUM('Monthly Detail'!CY26,'Monthly Detail'!CY27)-'Monthly Detail'!$B$24)&gt;0,(SUM('Monthly Detail'!CY26,'Monthly Detail'!CY27)-'Monthly Detail'!$B$24)*'People Plan'!$D$4, 0)</f>
        <v>1596.5551962139407</v>
      </c>
      <c r="CA4" s="324">
        <f>+IF((SUM('Monthly Detail'!CZ26,'Monthly Detail'!CZ27)-'Monthly Detail'!$B$24)&gt;0,(SUM('Monthly Detail'!CZ26,'Monthly Detail'!CZ27)-'Monthly Detail'!$B$24)*'People Plan'!$D$4, 0)</f>
        <v>2358.3195325537695</v>
      </c>
      <c r="CB4" s="324">
        <f>+IF((SUM('Monthly Detail'!DA26,'Monthly Detail'!DA27)-'Monthly Detail'!$B$24)&gt;0,(SUM('Monthly Detail'!DA26,'Monthly Detail'!DA27)-'Monthly Detail'!$B$24)*'People Plan'!$D$4, 0)</f>
        <v>3300.1564734211752</v>
      </c>
      <c r="CC4" s="324">
        <f>+IF((SUM('Monthly Detail'!DB26,'Monthly Detail'!DB27)-'Monthly Detail'!$B$24)&gt;0,(SUM('Monthly Detail'!DB26,'Monthly Detail'!DB27)-'Monthly Detail'!$B$24)*'People Plan'!$D$4, 0)</f>
        <v>3748.736701475741</v>
      </c>
      <c r="CD4" s="324">
        <f>+IF((SUM('Monthly Detail'!DC26,'Monthly Detail'!DC27)-'Monthly Detail'!$B$24)&gt;0,(SUM('Monthly Detail'!DC26,'Monthly Detail'!DC27)-'Monthly Detail'!$B$24)*'People Plan'!$D$4, 0)</f>
        <v>5802.6469829011494</v>
      </c>
      <c r="CE4" s="324">
        <f>+IF((SUM('Monthly Detail'!DD26,'Monthly Detail'!DD27)-'Monthly Detail'!$B$24)&gt;0,(SUM('Monthly Detail'!DD26,'Monthly Detail'!DD27)-'Monthly Detail'!$B$24)*'People Plan'!$D$4, 0)</f>
        <v>4815.4624555436403</v>
      </c>
      <c r="CF4" s="324">
        <f>+IF((SUM('Monthly Detail'!DE26,'Monthly Detail'!DE27)-'Monthly Detail'!$B$24)&gt;0,(SUM('Monthly Detail'!DE26,'Monthly Detail'!DE27)-'Monthly Detail'!$B$24)*'People Plan'!$D$4, 0)</f>
        <v>4448.7945316457508</v>
      </c>
      <c r="CG4" s="324">
        <f>+IF((SUM('Monthly Detail'!DF26,'Monthly Detail'!DF27)-'Monthly Detail'!$B$24)&gt;0,(SUM('Monthly Detail'!DF26,'Monthly Detail'!DF27)-'Monthly Detail'!$B$24)*'People Plan'!$D$4, 0)</f>
        <v>7843.6827971815901</v>
      </c>
      <c r="CH4" s="324">
        <f>+IF((SUM('Monthly Detail'!DG26,'Monthly Detail'!DG27)-'Monthly Detail'!$B$24)&gt;0,(SUM('Monthly Detail'!DG26,'Monthly Detail'!DG27)-'Monthly Detail'!$B$24)*'People Plan'!$D$4, 0)</f>
        <v>9577.7305924425418</v>
      </c>
      <c r="CI4" s="324">
        <f>+IF((SUM('Monthly Detail'!DH26,'Monthly Detail'!DH27)-'Monthly Detail'!$B$24)&gt;0,(SUM('Monthly Detail'!DH26,'Monthly Detail'!DH27)-'Monthly Detail'!$B$24)*'People Plan'!$D$4, 0)</f>
        <v>0</v>
      </c>
      <c r="CJ4" s="324">
        <f>+IF((SUM('Monthly Detail'!DI26,'Monthly Detail'!DI27)-'Monthly Detail'!$B$24)&gt;0,(SUM('Monthly Detail'!DI26,'Monthly Detail'!DI27)-'Monthly Detail'!$B$24)*'People Plan'!$D$4, 0)</f>
        <v>0</v>
      </c>
      <c r="CK4" s="324">
        <f>+IF((SUM('Monthly Detail'!DJ26,'Monthly Detail'!DJ27)-'Monthly Detail'!$B$24)&gt;0,(SUM('Monthly Detail'!DJ26,'Monthly Detail'!DJ27)-'Monthly Detail'!$B$24)*'People Plan'!$D$4, 0)</f>
        <v>0</v>
      </c>
      <c r="CL4" s="324">
        <f>+IF((SUM('Monthly Detail'!DK26,'Monthly Detail'!DK27)-'Monthly Detail'!$B$24)&gt;0,(SUM('Monthly Detail'!DK26,'Monthly Detail'!DK27)-'Monthly Detail'!$B$24)*'People Plan'!$D$4, 0)</f>
        <v>0</v>
      </c>
      <c r="CM4" s="324">
        <f>+IF((SUM('Monthly Detail'!DL26,'Monthly Detail'!DL27)-'Monthly Detail'!$B$24)&gt;0,(SUM('Monthly Detail'!DL26,'Monthly Detail'!DL27)-'Monthly Detail'!$B$24)*'People Plan'!$D$4, 0)</f>
        <v>0</v>
      </c>
      <c r="CN4" s="324">
        <f>+IF((SUM('Monthly Detail'!DM26,'Monthly Detail'!DM27)-'Monthly Detail'!$B$24)&gt;0,(SUM('Monthly Detail'!DM26,'Monthly Detail'!DM27)-'Monthly Detail'!$B$24)*'People Plan'!$D$4, 0)</f>
        <v>0</v>
      </c>
      <c r="CO4" s="324">
        <f>+IF((SUM('Monthly Detail'!DN26,'Monthly Detail'!DN27)-'Monthly Detail'!$B$24)&gt;0,(SUM('Monthly Detail'!DN26,'Monthly Detail'!DN27)-'Monthly Detail'!$B$24)*'People Plan'!$D$4, 0)</f>
        <v>0</v>
      </c>
      <c r="CP4" s="324">
        <f>+IF((SUM('Monthly Detail'!DO26,'Monthly Detail'!DO27)-'Monthly Detail'!$B$24)&gt;0,(SUM('Monthly Detail'!DO26,'Monthly Detail'!DO27)-'Monthly Detail'!$B$24)*'People Plan'!$D$4, 0)</f>
        <v>0</v>
      </c>
      <c r="CQ4" s="324">
        <f>+IF((SUM('Monthly Detail'!DP26,'Monthly Detail'!DP27)-'Monthly Detail'!$B$24)&gt;0,(SUM('Monthly Detail'!DP26,'Monthly Detail'!DP27)-'Monthly Detail'!$B$24)*'People Plan'!$D$4, 0)</f>
        <v>0</v>
      </c>
      <c r="CR4" s="324">
        <f>+IF((SUM('Monthly Detail'!DQ26,'Monthly Detail'!DQ27)-'Monthly Detail'!$B$24)&gt;0,(SUM('Monthly Detail'!DQ26,'Monthly Detail'!DQ27)-'Monthly Detail'!$B$24)*'People Plan'!$D$4, 0)</f>
        <v>0</v>
      </c>
      <c r="CS4" s="324">
        <f>+IF((SUM('Monthly Detail'!DR26,'Monthly Detail'!DR27)-'Monthly Detail'!$B$24)&gt;0,(SUM('Monthly Detail'!DR26,'Monthly Detail'!DR27)-'Monthly Detail'!$B$24)*'People Plan'!$D$4, 0)</f>
        <v>0</v>
      </c>
      <c r="CT4" s="324">
        <f>+IF((SUM('Monthly Detail'!DS26,'Monthly Detail'!DS27)-'Monthly Detail'!$B$24)&gt;0,(SUM('Monthly Detail'!DS26,'Monthly Detail'!DS27)-'Monthly Detail'!$B$24)*'People Plan'!$D$4, 0)</f>
        <v>0</v>
      </c>
      <c r="CU4" s="324">
        <f>+IF((SUM('Monthly Detail'!DT26,'Monthly Detail'!DT27)-'Monthly Detail'!$B$24)&gt;0,(SUM('Monthly Detail'!DT26,'Monthly Detail'!DT27)-'Monthly Detail'!$B$24)*'People Plan'!$D$4, 0)</f>
        <v>0</v>
      </c>
      <c r="CV4" s="324">
        <f>+IF((SUM('Monthly Detail'!DU26,'Monthly Detail'!DU27)-'Monthly Detail'!$B$24)&gt;0,(SUM('Monthly Detail'!DU26,'Monthly Detail'!DU27)-'Monthly Detail'!$B$24)*'People Plan'!$D$4, 0)</f>
        <v>0</v>
      </c>
      <c r="CW4" s="324">
        <f>+IF((SUM('Monthly Detail'!DV26,'Monthly Detail'!DV27)-'Monthly Detail'!$B$24)&gt;0,(SUM('Monthly Detail'!DV26,'Monthly Detail'!DV27)-'Monthly Detail'!$B$24)*'People Plan'!$D$4, 0)</f>
        <v>0</v>
      </c>
      <c r="CX4" s="324">
        <f>+IF((SUM('Monthly Detail'!DW26,'Monthly Detail'!DW27)-'Monthly Detail'!$B$24)&gt;0,(SUM('Monthly Detail'!DW26,'Monthly Detail'!DW27)-'Monthly Detail'!$B$24)*'People Plan'!$D$4, 0)</f>
        <v>0</v>
      </c>
      <c r="CY4" s="324">
        <f>+IF((SUM('Monthly Detail'!DX26,'Monthly Detail'!DX27)-'Monthly Detail'!$B$24)&gt;0,(SUM('Monthly Detail'!DX26,'Monthly Detail'!DX27)-'Monthly Detail'!$B$24)*'People Plan'!$D$4, 0)</f>
        <v>0</v>
      </c>
      <c r="CZ4" s="324">
        <f>+IF((SUM('Monthly Detail'!DY26,'Monthly Detail'!DY27)-'Monthly Detail'!$B$24)&gt;0,(SUM('Monthly Detail'!DY26,'Monthly Detail'!DY27)-'Monthly Detail'!$B$24)*'People Plan'!$D$4, 0)</f>
        <v>0</v>
      </c>
      <c r="DA4" s="324">
        <f>+IF((SUM('Monthly Detail'!DZ26,'Monthly Detail'!DZ27)-'Monthly Detail'!$B$24)&gt;0,(SUM('Monthly Detail'!DZ26,'Monthly Detail'!DZ27)-'Monthly Detail'!$B$24)*'People Plan'!$D$4, 0)</f>
        <v>0</v>
      </c>
      <c r="DB4" s="324">
        <f>+IF((SUM('Monthly Detail'!EA26,'Monthly Detail'!EA27)-'Monthly Detail'!$B$24)&gt;0,(SUM('Monthly Detail'!EA26,'Monthly Detail'!EA27)-'Monthly Detail'!$B$24)*'People Plan'!$D$4, 0)</f>
        <v>0</v>
      </c>
      <c r="DC4" s="324">
        <f>+IF((SUM('Monthly Detail'!EB26,'Monthly Detail'!EB27)-'Monthly Detail'!$B$24)&gt;0,(SUM('Monthly Detail'!EB26,'Monthly Detail'!EB27)-'Monthly Detail'!$B$24)*'People Plan'!$D$4, 0)</f>
        <v>0</v>
      </c>
      <c r="DD4" s="324">
        <f>+IF((SUM('Monthly Detail'!EC26,'Monthly Detail'!EC27)-'Monthly Detail'!$B$24)&gt;0,(SUM('Monthly Detail'!EC26,'Monthly Detail'!EC27)-'Monthly Detail'!$B$24)*'People Plan'!$D$4, 0)</f>
        <v>0</v>
      </c>
      <c r="DE4" s="324">
        <f>+IF((SUM('Monthly Detail'!ED26,'Monthly Detail'!ED27)-'Monthly Detail'!$B$24)&gt;0,(SUM('Monthly Detail'!ED26,'Monthly Detail'!ED27)-'Monthly Detail'!$B$24)*'People Plan'!$D$4, 0)</f>
        <v>0</v>
      </c>
      <c r="DF4" s="324">
        <f>+IF((SUM('Monthly Detail'!EE26,'Monthly Detail'!EE27)-'Monthly Detail'!$B$24)&gt;0,(SUM('Monthly Detail'!EE26,'Monthly Detail'!EE27)-'Monthly Detail'!$B$24)*'People Plan'!$D$4, 0)</f>
        <v>0</v>
      </c>
      <c r="DG4" s="324">
        <f>+IF((SUM('Monthly Detail'!EF26,'Monthly Detail'!EF27)-'Monthly Detail'!$B$24)&gt;0,(SUM('Monthly Detail'!EF26,'Monthly Detail'!EF27)-'Monthly Detail'!$B$24)*'People Plan'!$D$4, 0)</f>
        <v>0</v>
      </c>
      <c r="DH4" s="324">
        <f>+IF((SUM('Monthly Detail'!EG26,'Monthly Detail'!EG27)-'Monthly Detail'!$B$24)&gt;0,(SUM('Monthly Detail'!EG26,'Monthly Detail'!EG27)-'Monthly Detail'!$B$24)*'People Plan'!$D$4, 0)</f>
        <v>0</v>
      </c>
      <c r="DI4" s="324">
        <f>+IF((SUM('Monthly Detail'!EH26,'Monthly Detail'!EH27)-'Monthly Detail'!$B$24)&gt;0,(SUM('Monthly Detail'!EH26,'Monthly Detail'!EH27)-'Monthly Detail'!$B$24)*'People Plan'!$D$4, 0)</f>
        <v>0</v>
      </c>
      <c r="DJ4" s="324">
        <f>+IF((SUM('Monthly Detail'!EI26,'Monthly Detail'!EI27)-'Monthly Detail'!$B$24)&gt;0,(SUM('Monthly Detail'!EI26,'Monthly Detail'!EI27)-'Monthly Detail'!$B$24)*'People Plan'!$D$4, 0)</f>
        <v>0</v>
      </c>
      <c r="DK4" s="324">
        <f>+IF((SUM('Monthly Detail'!EJ26,'Monthly Detail'!EJ27)-'Monthly Detail'!$B$24)&gt;0,(SUM('Monthly Detail'!EJ26,'Monthly Detail'!EJ27)-'Monthly Detail'!$B$24)*'People Plan'!$D$4, 0)</f>
        <v>0</v>
      </c>
      <c r="DL4" s="324">
        <f>+IF((SUM('Monthly Detail'!EK26,'Monthly Detail'!EK27)-'Monthly Detail'!$B$24)&gt;0,(SUM('Monthly Detail'!EK26,'Monthly Detail'!EK27)-'Monthly Detail'!$B$24)*'People Plan'!$D$4, 0)</f>
        <v>0</v>
      </c>
      <c r="DM4" s="324">
        <f>+IF((SUM('Monthly Detail'!EL26,'Monthly Detail'!EL27)-'Monthly Detail'!$B$24)&gt;0,(SUM('Monthly Detail'!EL26,'Monthly Detail'!EL27)-'Monthly Detail'!$B$24)*'People Plan'!$D$4, 0)</f>
        <v>0</v>
      </c>
      <c r="DN4" s="324">
        <f>+IF((SUM('Monthly Detail'!EM26,'Monthly Detail'!EM27)-'Monthly Detail'!$B$24)&gt;0,(SUM('Monthly Detail'!EM26,'Monthly Detail'!EM27)-'Monthly Detail'!$B$24)*'People Plan'!$D$4, 0)</f>
        <v>0</v>
      </c>
      <c r="DO4" s="324">
        <f>+IF((SUM('Monthly Detail'!EN26,'Monthly Detail'!EN27)-'Monthly Detail'!$B$24)&gt;0,(SUM('Monthly Detail'!EN26,'Monthly Detail'!EN27)-'Monthly Detail'!$B$24)*'People Plan'!$D$4, 0)</f>
        <v>0</v>
      </c>
      <c r="DP4" s="324">
        <f>+IF((SUM('Monthly Detail'!EO26,'Monthly Detail'!EO27)-'Monthly Detail'!$B$24)&gt;0,(SUM('Monthly Detail'!EO26,'Monthly Detail'!EO27)-'Monthly Detail'!$B$24)*'People Plan'!$D$4, 0)</f>
        <v>0</v>
      </c>
      <c r="DQ4" s="324">
        <f>+IF((SUM('Monthly Detail'!EP26,'Monthly Detail'!EP27)-'Monthly Detail'!$B$24)&gt;0,(SUM('Monthly Detail'!EP26,'Monthly Detail'!EP27)-'Monthly Detail'!$B$24)*'People Plan'!$D$4, 0)</f>
        <v>0</v>
      </c>
      <c r="DR4" s="324">
        <f>+IF((SUM('Monthly Detail'!EQ26,'Monthly Detail'!EQ27)-'Monthly Detail'!$B$24)&gt;0,(SUM('Monthly Detail'!EQ26,'Monthly Detail'!EQ27)-'Monthly Detail'!$B$24)*'People Plan'!$D$4, 0)</f>
        <v>0</v>
      </c>
      <c r="DS4" s="324">
        <f>+IF((SUM('Monthly Detail'!ER26,'Monthly Detail'!ER27)-'Monthly Detail'!$B$24)&gt;0,(SUM('Monthly Detail'!ER26,'Monthly Detail'!ER27)-'Monthly Detail'!$B$24)*'People Plan'!$D$4, 0)</f>
        <v>0</v>
      </c>
      <c r="DT4" s="324">
        <f>+IF((SUM('Monthly Detail'!ES26,'Monthly Detail'!ES27)-'Monthly Detail'!$B$24)&gt;0,(SUM('Monthly Detail'!ES26,'Monthly Detail'!ES27)-'Monthly Detail'!$B$24)*'People Plan'!$D$4, 0)</f>
        <v>0</v>
      </c>
      <c r="DU4" s="324">
        <f>+IF((SUM('Monthly Detail'!ET26,'Monthly Detail'!ET27)-'Monthly Detail'!$B$24)&gt;0,(SUM('Monthly Detail'!ET26,'Monthly Detail'!ET27)-'Monthly Detail'!$B$24)*'People Plan'!$D$4, 0)</f>
        <v>0</v>
      </c>
      <c r="DV4" s="324">
        <f>+IF((SUM('Monthly Detail'!EU26,'Monthly Detail'!EU27)-'Monthly Detail'!$B$24)&gt;0,(SUM('Monthly Detail'!EU26,'Monthly Detail'!EU27)-'Monthly Detail'!$B$24)*'People Plan'!$D$4, 0)</f>
        <v>0</v>
      </c>
      <c r="DW4" s="324">
        <f>+IF((SUM('Monthly Detail'!EV26,'Monthly Detail'!EV27)-'Monthly Detail'!$B$24)&gt;0,(SUM('Monthly Detail'!EV26,'Monthly Detail'!EV27)-'Monthly Detail'!$B$24)*'People Plan'!$D$4, 0)</f>
        <v>0</v>
      </c>
      <c r="DX4" s="324">
        <f>+IF((SUM('Monthly Detail'!EW26,'Monthly Detail'!EW27)-'Monthly Detail'!$B$24)&gt;0,(SUM('Monthly Detail'!EW26,'Monthly Detail'!EW27)-'Monthly Detail'!$B$24)*'People Plan'!$D$4, 0)</f>
        <v>0</v>
      </c>
      <c r="DY4" s="324">
        <f>+IF((SUM('Monthly Detail'!EX26,'Monthly Detail'!EX27)-'Monthly Detail'!$B$24)&gt;0,(SUM('Monthly Detail'!EX26,'Monthly Detail'!EX27)-'Monthly Detail'!$B$24)*'People Plan'!$D$4, 0)</f>
        <v>0</v>
      </c>
      <c r="DZ4" s="324">
        <f>+IF((SUM('Monthly Detail'!EY26,'Monthly Detail'!EY27)-'Monthly Detail'!$B$24)&gt;0,(SUM('Monthly Detail'!EY26,'Monthly Detail'!EY27)-'Monthly Detail'!$B$24)*'People Plan'!$D$4, 0)</f>
        <v>0</v>
      </c>
      <c r="EA4" s="324">
        <f>+IF((SUM('Monthly Detail'!EZ26,'Monthly Detail'!EZ27)-'Monthly Detail'!$B$24)&gt;0,(SUM('Monthly Detail'!EZ26,'Monthly Detail'!EZ27)-'Monthly Detail'!$B$24)*'People Plan'!$D$4, 0)</f>
        <v>0</v>
      </c>
      <c r="EB4" s="324">
        <f>+IF((SUM('Monthly Detail'!FA26,'Monthly Detail'!FA27)-'Monthly Detail'!$B$24)&gt;0,(SUM('Monthly Detail'!FA26,'Monthly Detail'!FA27)-'Monthly Detail'!$B$24)*'People Plan'!$D$4, 0)</f>
        <v>0</v>
      </c>
      <c r="EC4" s="324">
        <f>+IF((SUM('Monthly Detail'!FB26,'Monthly Detail'!FB27)-'Monthly Detail'!$B$24)&gt;0,(SUM('Monthly Detail'!FB26,'Monthly Detail'!FB27)-'Monthly Detail'!$B$24)*'People Plan'!$D$4, 0)</f>
        <v>0</v>
      </c>
      <c r="ED4" s="324">
        <f>+IF((SUM('Monthly Detail'!FC26,'Monthly Detail'!FC27)-'Monthly Detail'!$B$24)&gt;0,(SUM('Monthly Detail'!FC26,'Monthly Detail'!FC27)-'Monthly Detail'!$B$24)*'People Plan'!$D$4, 0)</f>
        <v>0</v>
      </c>
      <c r="EE4" s="324">
        <f>+IF((SUM('Monthly Detail'!FD26,'Monthly Detail'!FD27)-'Monthly Detail'!$B$24)&gt;0,(SUM('Monthly Detail'!FD26,'Monthly Detail'!FD27)-'Monthly Detail'!$B$24)*'People Plan'!$D$4, 0)</f>
        <v>0</v>
      </c>
      <c r="EF4" s="324">
        <f>+IF((SUM('Monthly Detail'!FE26,'Monthly Detail'!FE27)-'Monthly Detail'!$B$24)&gt;0,(SUM('Monthly Detail'!FE26,'Monthly Detail'!FE27)-'Monthly Detail'!$B$24)*'People Plan'!$D$4, 0)</f>
        <v>0</v>
      </c>
      <c r="EG4" s="324">
        <f>+IF((SUM('Monthly Detail'!FF26,'Monthly Detail'!FF27)-'Monthly Detail'!$B$24)&gt;0,(SUM('Monthly Detail'!FF26,'Monthly Detail'!FF27)-'Monthly Detail'!$B$24)*'People Plan'!$D$4, 0)</f>
        <v>0</v>
      </c>
      <c r="EH4" s="324">
        <f>+IF((SUM('Monthly Detail'!FG26,'Monthly Detail'!FG27)-'Monthly Detail'!$B$24)&gt;0,(SUM('Monthly Detail'!FG26,'Monthly Detail'!FG27)-'Monthly Detail'!$B$24)*'People Plan'!$D$4, 0)</f>
        <v>0</v>
      </c>
      <c r="EI4" s="324">
        <f>+IF((SUM('Monthly Detail'!FH26,'Monthly Detail'!FH27)-'Monthly Detail'!$B$24)&gt;0,(SUM('Monthly Detail'!FH26,'Monthly Detail'!FH27)-'Monthly Detail'!$B$24)*'People Plan'!$D$4, 0)</f>
        <v>0</v>
      </c>
      <c r="EJ4" s="324">
        <f>+IF((SUM('Monthly Detail'!FI26,'Monthly Detail'!FI27)-'Monthly Detail'!$B$24)&gt;0,(SUM('Monthly Detail'!FI26,'Monthly Detail'!FI27)-'Monthly Detail'!$B$24)*'People Plan'!$D$4, 0)</f>
        <v>0</v>
      </c>
      <c r="EK4" s="324">
        <f>+IF((SUM('Monthly Detail'!FJ26,'Monthly Detail'!FJ27)-'Monthly Detail'!$B$24)&gt;0,(SUM('Monthly Detail'!FJ26,'Monthly Detail'!FJ27)-'Monthly Detail'!$B$24)*'People Plan'!$D$4, 0)</f>
        <v>0</v>
      </c>
      <c r="EL4" s="324">
        <f>+IF((SUM('Monthly Detail'!FK26,'Monthly Detail'!FK27)-'Monthly Detail'!$B$24)&gt;0,(SUM('Monthly Detail'!FK26,'Monthly Detail'!FK27)-'Monthly Detail'!$B$24)*'People Plan'!$D$4, 0)</f>
        <v>0</v>
      </c>
      <c r="EM4" s="324">
        <f>+IF((SUM('Monthly Detail'!FL26,'Monthly Detail'!FL27)-'Monthly Detail'!$B$24)&gt;0,(SUM('Monthly Detail'!FL26,'Monthly Detail'!FL27)-'Monthly Detail'!$B$24)*'People Plan'!$D$4, 0)</f>
        <v>0</v>
      </c>
      <c r="EN4" s="324">
        <f>+IF((SUM('Monthly Detail'!FM26,'Monthly Detail'!FM27)-'Monthly Detail'!$B$24)&gt;0,(SUM('Monthly Detail'!FM26,'Monthly Detail'!FM27)-'Monthly Detail'!$B$24)*'People Plan'!$D$4, 0)</f>
        <v>0</v>
      </c>
      <c r="EO4" s="324">
        <f>+IF((SUM('Monthly Detail'!FN26,'Monthly Detail'!FN27)-'Monthly Detail'!$B$24)&gt;0,(SUM('Monthly Detail'!FN26,'Monthly Detail'!FN27)-'Monthly Detail'!$B$24)*'People Plan'!$D$4, 0)</f>
        <v>0</v>
      </c>
      <c r="EP4" s="324">
        <f>+IF((SUM('Monthly Detail'!FO26,'Monthly Detail'!FO27)-'Monthly Detail'!$B$24)&gt;0,(SUM('Monthly Detail'!FO26,'Monthly Detail'!FO27)-'Monthly Detail'!$B$24)*'People Plan'!$D$4, 0)</f>
        <v>0</v>
      </c>
      <c r="EQ4" s="324">
        <f>+IF((SUM('Monthly Detail'!FP26,'Monthly Detail'!FP27)-'Monthly Detail'!$B$24)&gt;0,(SUM('Monthly Detail'!FP26,'Monthly Detail'!FP27)-'Monthly Detail'!$B$24)*'People Plan'!$D$4, 0)</f>
        <v>0</v>
      </c>
      <c r="ER4" s="324">
        <f>+IF((SUM('Monthly Detail'!FQ26,'Monthly Detail'!FQ27)-'Monthly Detail'!$B$24)&gt;0,(SUM('Monthly Detail'!FQ26,'Monthly Detail'!FQ27)-'Monthly Detail'!$B$24)*'People Plan'!$D$4, 0)</f>
        <v>0</v>
      </c>
      <c r="ES4" s="324">
        <f>+IF((SUM('Monthly Detail'!FR26,'Monthly Detail'!FR27)-'Monthly Detail'!$B$24)&gt;0,(SUM('Monthly Detail'!FR26,'Monthly Detail'!FR27)-'Monthly Detail'!$B$24)*'People Plan'!$D$4, 0)</f>
        <v>0</v>
      </c>
      <c r="ET4" s="324">
        <f>+IF((SUM('Monthly Detail'!FS26,'Monthly Detail'!FS27)-'Monthly Detail'!$B$24)&gt;0,(SUM('Monthly Detail'!FS26,'Monthly Detail'!FS27)-'Monthly Detail'!$B$24)*'People Plan'!$D$4, 0)</f>
        <v>0</v>
      </c>
      <c r="EU4" s="324">
        <f>+IF((SUM('Monthly Detail'!FT26,'Monthly Detail'!FT27)-'Monthly Detail'!$B$24)&gt;0,(SUM('Monthly Detail'!FT26,'Monthly Detail'!FT27)-'Monthly Detail'!$B$24)*'People Plan'!$D$4, 0)</f>
        <v>0</v>
      </c>
      <c r="EV4" s="324">
        <f>+IF((SUM('Monthly Detail'!FU26,'Monthly Detail'!FU27)-'Monthly Detail'!$B$24)&gt;0,(SUM('Monthly Detail'!FU26,'Monthly Detail'!FU27)-'Monthly Detail'!$B$24)*'People Plan'!$D$4, 0)</f>
        <v>0</v>
      </c>
      <c r="EW4" s="324">
        <f>+IF((SUM('Monthly Detail'!FV26,'Monthly Detail'!FV27)-'Monthly Detail'!$B$24)&gt;0,(SUM('Monthly Detail'!FV26,'Monthly Detail'!FV27)-'Monthly Detail'!$B$24)*'People Plan'!$D$4, 0)</f>
        <v>0</v>
      </c>
      <c r="EX4" s="324">
        <f>+IF((SUM('Monthly Detail'!FW26,'Monthly Detail'!FW27)-'Monthly Detail'!$B$24)&gt;0,(SUM('Monthly Detail'!FW26,'Monthly Detail'!FW27)-'Monthly Detail'!$B$24)*'People Plan'!$D$4, 0)</f>
        <v>0</v>
      </c>
      <c r="EY4" s="324">
        <f>+IF((SUM('Monthly Detail'!FX26,'Monthly Detail'!FX27)-'Monthly Detail'!$B$24)&gt;0,(SUM('Monthly Detail'!FX26,'Monthly Detail'!FX27)-'Monthly Detail'!$B$24)*'People Plan'!$D$4, 0)</f>
        <v>0</v>
      </c>
      <c r="EZ4" s="324">
        <f>+IF((SUM('Monthly Detail'!FY26,'Monthly Detail'!FY27)-'Monthly Detail'!$B$24)&gt;0,(SUM('Monthly Detail'!FY26,'Monthly Detail'!FY27)-'Monthly Detail'!$B$24)*'People Plan'!$D$4, 0)</f>
        <v>0</v>
      </c>
      <c r="FA4" s="324">
        <f>+IF((SUM('Monthly Detail'!FZ26,'Monthly Detail'!FZ27)-'Monthly Detail'!$B$24)&gt;0,(SUM('Monthly Detail'!FZ26,'Monthly Detail'!FZ27)-'Monthly Detail'!$B$24)*'People Plan'!$D$4, 0)</f>
        <v>0</v>
      </c>
      <c r="FB4" s="324">
        <f>+IF((SUM('Monthly Detail'!GA26,'Monthly Detail'!GA27)-'Monthly Detail'!$B$24)&gt;0,(SUM('Monthly Detail'!GA26,'Monthly Detail'!GA27)-'Monthly Detail'!$B$24)*'People Plan'!$D$4, 0)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DE60E-B214-4ADE-BEB3-F68D07A7637B}">
  <sheetPr>
    <tabColor theme="0" tint="-0.249977111117893"/>
  </sheetPr>
  <dimension ref="B2:C62"/>
  <sheetViews>
    <sheetView workbookViewId="0">
      <selection activeCell="C1" sqref="C1:C1048576"/>
    </sheetView>
  </sheetViews>
  <sheetFormatPr defaultRowHeight="14.4" x14ac:dyDescent="0.3"/>
  <cols>
    <col min="2" max="2" width="10.6640625" bestFit="1" customWidth="1"/>
    <col min="3" max="3" width="14.33203125" bestFit="1" customWidth="1"/>
  </cols>
  <sheetData>
    <row r="2" spans="2:3" x14ac:dyDescent="0.3">
      <c r="B2" s="12" t="s">
        <v>38</v>
      </c>
      <c r="C2" s="13"/>
    </row>
    <row r="3" spans="2:3" x14ac:dyDescent="0.3">
      <c r="B3" s="14">
        <v>43831</v>
      </c>
      <c r="C3" t="s">
        <v>39</v>
      </c>
    </row>
    <row r="4" spans="2:3" x14ac:dyDescent="0.3">
      <c r="B4" s="14">
        <v>43850</v>
      </c>
      <c r="C4" t="s">
        <v>40</v>
      </c>
    </row>
    <row r="5" spans="2:3" x14ac:dyDescent="0.3">
      <c r="B5" s="14">
        <v>43878</v>
      </c>
      <c r="C5" t="s">
        <v>41</v>
      </c>
    </row>
    <row r="6" spans="2:3" x14ac:dyDescent="0.3">
      <c r="B6" s="14">
        <v>43976</v>
      </c>
      <c r="C6" t="s">
        <v>42</v>
      </c>
    </row>
    <row r="7" spans="2:3" x14ac:dyDescent="0.3">
      <c r="B7" s="14">
        <v>44081</v>
      </c>
      <c r="C7" t="s">
        <v>43</v>
      </c>
    </row>
    <row r="8" spans="2:3" x14ac:dyDescent="0.3">
      <c r="B8" s="14">
        <v>44016</v>
      </c>
      <c r="C8" t="s">
        <v>44</v>
      </c>
    </row>
    <row r="9" spans="2:3" x14ac:dyDescent="0.3">
      <c r="B9" s="14">
        <v>44161</v>
      </c>
      <c r="C9" t="s">
        <v>45</v>
      </c>
    </row>
    <row r="10" spans="2:3" x14ac:dyDescent="0.3">
      <c r="B10" s="14">
        <f>+B9+1</f>
        <v>44162</v>
      </c>
      <c r="C10" t="s">
        <v>46</v>
      </c>
    </row>
    <row r="11" spans="2:3" x14ac:dyDescent="0.3">
      <c r="B11" s="14">
        <v>44189</v>
      </c>
      <c r="C11" t="s">
        <v>47</v>
      </c>
    </row>
    <row r="12" spans="2:3" x14ac:dyDescent="0.3">
      <c r="B12" s="14">
        <f>+B11+1</f>
        <v>44190</v>
      </c>
      <c r="C12" t="s">
        <v>48</v>
      </c>
    </row>
    <row r="13" spans="2:3" x14ac:dyDescent="0.3">
      <c r="B13" s="14">
        <f>+B3+366</f>
        <v>44197</v>
      </c>
      <c r="C13" t="s">
        <v>39</v>
      </c>
    </row>
    <row r="14" spans="2:3" x14ac:dyDescent="0.3">
      <c r="B14" s="14">
        <f t="shared" ref="B14:B22" si="0">+B4+366</f>
        <v>44216</v>
      </c>
      <c r="C14" t="s">
        <v>40</v>
      </c>
    </row>
    <row r="15" spans="2:3" x14ac:dyDescent="0.3">
      <c r="B15" s="14">
        <f t="shared" si="0"/>
        <v>44244</v>
      </c>
      <c r="C15" t="s">
        <v>41</v>
      </c>
    </row>
    <row r="16" spans="2:3" x14ac:dyDescent="0.3">
      <c r="B16" s="14">
        <f t="shared" si="0"/>
        <v>44342</v>
      </c>
      <c r="C16" t="s">
        <v>42</v>
      </c>
    </row>
    <row r="17" spans="2:3" x14ac:dyDescent="0.3">
      <c r="B17" s="14">
        <f t="shared" si="0"/>
        <v>44447</v>
      </c>
      <c r="C17" t="s">
        <v>43</v>
      </c>
    </row>
    <row r="18" spans="2:3" x14ac:dyDescent="0.3">
      <c r="B18" s="14">
        <f t="shared" si="0"/>
        <v>44382</v>
      </c>
      <c r="C18" t="s">
        <v>44</v>
      </c>
    </row>
    <row r="19" spans="2:3" x14ac:dyDescent="0.3">
      <c r="B19" s="14">
        <f t="shared" si="0"/>
        <v>44527</v>
      </c>
      <c r="C19" t="s">
        <v>45</v>
      </c>
    </row>
    <row r="20" spans="2:3" x14ac:dyDescent="0.3">
      <c r="B20" s="14">
        <f t="shared" si="0"/>
        <v>44528</v>
      </c>
      <c r="C20" t="s">
        <v>46</v>
      </c>
    </row>
    <row r="21" spans="2:3" x14ac:dyDescent="0.3">
      <c r="B21" s="14">
        <f t="shared" si="0"/>
        <v>44555</v>
      </c>
      <c r="C21" t="s">
        <v>47</v>
      </c>
    </row>
    <row r="22" spans="2:3" x14ac:dyDescent="0.3">
      <c r="B22" s="14">
        <f t="shared" si="0"/>
        <v>44556</v>
      </c>
      <c r="C22" t="s">
        <v>48</v>
      </c>
    </row>
    <row r="23" spans="2:3" x14ac:dyDescent="0.3">
      <c r="B23" s="14">
        <f>+B13+365</f>
        <v>44562</v>
      </c>
      <c r="C23" t="s">
        <v>39</v>
      </c>
    </row>
    <row r="24" spans="2:3" x14ac:dyDescent="0.3">
      <c r="B24" s="14">
        <f t="shared" ref="B24:B62" si="1">+B14+365</f>
        <v>44581</v>
      </c>
      <c r="C24" t="s">
        <v>40</v>
      </c>
    </row>
    <row r="25" spans="2:3" x14ac:dyDescent="0.3">
      <c r="B25" s="14">
        <f t="shared" si="1"/>
        <v>44609</v>
      </c>
      <c r="C25" t="s">
        <v>41</v>
      </c>
    </row>
    <row r="26" spans="2:3" x14ac:dyDescent="0.3">
      <c r="B26" s="14">
        <f t="shared" si="1"/>
        <v>44707</v>
      </c>
      <c r="C26" t="s">
        <v>42</v>
      </c>
    </row>
    <row r="27" spans="2:3" x14ac:dyDescent="0.3">
      <c r="B27" s="14">
        <f t="shared" si="1"/>
        <v>44812</v>
      </c>
      <c r="C27" t="s">
        <v>43</v>
      </c>
    </row>
    <row r="28" spans="2:3" x14ac:dyDescent="0.3">
      <c r="B28" s="14">
        <f t="shared" si="1"/>
        <v>44747</v>
      </c>
      <c r="C28" t="s">
        <v>44</v>
      </c>
    </row>
    <row r="29" spans="2:3" x14ac:dyDescent="0.3">
      <c r="B29" s="14">
        <f t="shared" si="1"/>
        <v>44892</v>
      </c>
      <c r="C29" t="s">
        <v>45</v>
      </c>
    </row>
    <row r="30" spans="2:3" x14ac:dyDescent="0.3">
      <c r="B30" s="14">
        <f t="shared" si="1"/>
        <v>44893</v>
      </c>
      <c r="C30" t="s">
        <v>46</v>
      </c>
    </row>
    <row r="31" spans="2:3" x14ac:dyDescent="0.3">
      <c r="B31" s="14">
        <f t="shared" si="1"/>
        <v>44920</v>
      </c>
      <c r="C31" t="s">
        <v>47</v>
      </c>
    </row>
    <row r="32" spans="2:3" x14ac:dyDescent="0.3">
      <c r="B32" s="14">
        <f t="shared" si="1"/>
        <v>44921</v>
      </c>
      <c r="C32" t="s">
        <v>48</v>
      </c>
    </row>
    <row r="33" spans="2:3" x14ac:dyDescent="0.3">
      <c r="B33" s="14">
        <f t="shared" si="1"/>
        <v>44927</v>
      </c>
      <c r="C33" t="s">
        <v>39</v>
      </c>
    </row>
    <row r="34" spans="2:3" x14ac:dyDescent="0.3">
      <c r="B34" s="14">
        <f t="shared" si="1"/>
        <v>44946</v>
      </c>
      <c r="C34" t="s">
        <v>40</v>
      </c>
    </row>
    <row r="35" spans="2:3" x14ac:dyDescent="0.3">
      <c r="B35" s="14">
        <f t="shared" si="1"/>
        <v>44974</v>
      </c>
      <c r="C35" t="s">
        <v>41</v>
      </c>
    </row>
    <row r="36" spans="2:3" x14ac:dyDescent="0.3">
      <c r="B36" s="14">
        <f t="shared" si="1"/>
        <v>45072</v>
      </c>
      <c r="C36" t="s">
        <v>42</v>
      </c>
    </row>
    <row r="37" spans="2:3" x14ac:dyDescent="0.3">
      <c r="B37" s="14">
        <f t="shared" si="1"/>
        <v>45177</v>
      </c>
      <c r="C37" t="s">
        <v>43</v>
      </c>
    </row>
    <row r="38" spans="2:3" x14ac:dyDescent="0.3">
      <c r="B38" s="14">
        <f t="shared" si="1"/>
        <v>45112</v>
      </c>
      <c r="C38" t="s">
        <v>44</v>
      </c>
    </row>
    <row r="39" spans="2:3" x14ac:dyDescent="0.3">
      <c r="B39" s="14">
        <f t="shared" si="1"/>
        <v>45257</v>
      </c>
      <c r="C39" t="s">
        <v>45</v>
      </c>
    </row>
    <row r="40" spans="2:3" x14ac:dyDescent="0.3">
      <c r="B40" s="14">
        <f t="shared" si="1"/>
        <v>45258</v>
      </c>
      <c r="C40" t="s">
        <v>46</v>
      </c>
    </row>
    <row r="41" spans="2:3" x14ac:dyDescent="0.3">
      <c r="B41" s="14">
        <f t="shared" si="1"/>
        <v>45285</v>
      </c>
      <c r="C41" t="s">
        <v>47</v>
      </c>
    </row>
    <row r="42" spans="2:3" x14ac:dyDescent="0.3">
      <c r="B42" s="14">
        <f t="shared" si="1"/>
        <v>45286</v>
      </c>
      <c r="C42" t="s">
        <v>48</v>
      </c>
    </row>
    <row r="43" spans="2:3" x14ac:dyDescent="0.3">
      <c r="B43" s="14">
        <f t="shared" si="1"/>
        <v>45292</v>
      </c>
      <c r="C43" t="s">
        <v>39</v>
      </c>
    </row>
    <row r="44" spans="2:3" x14ac:dyDescent="0.3">
      <c r="B44" s="14">
        <f t="shared" si="1"/>
        <v>45311</v>
      </c>
      <c r="C44" t="s">
        <v>40</v>
      </c>
    </row>
    <row r="45" spans="2:3" x14ac:dyDescent="0.3">
      <c r="B45" s="14">
        <f t="shared" si="1"/>
        <v>45339</v>
      </c>
      <c r="C45" t="s">
        <v>41</v>
      </c>
    </row>
    <row r="46" spans="2:3" x14ac:dyDescent="0.3">
      <c r="B46" s="14">
        <f t="shared" si="1"/>
        <v>45437</v>
      </c>
      <c r="C46" t="s">
        <v>42</v>
      </c>
    </row>
    <row r="47" spans="2:3" x14ac:dyDescent="0.3">
      <c r="B47" s="14">
        <f t="shared" si="1"/>
        <v>45542</v>
      </c>
      <c r="C47" t="s">
        <v>43</v>
      </c>
    </row>
    <row r="48" spans="2:3" x14ac:dyDescent="0.3">
      <c r="B48" s="14">
        <f t="shared" si="1"/>
        <v>45477</v>
      </c>
      <c r="C48" t="s">
        <v>44</v>
      </c>
    </row>
    <row r="49" spans="2:3" x14ac:dyDescent="0.3">
      <c r="B49" s="14">
        <f t="shared" si="1"/>
        <v>45622</v>
      </c>
      <c r="C49" t="s">
        <v>45</v>
      </c>
    </row>
    <row r="50" spans="2:3" x14ac:dyDescent="0.3">
      <c r="B50" s="14">
        <f t="shared" si="1"/>
        <v>45623</v>
      </c>
      <c r="C50" t="s">
        <v>46</v>
      </c>
    </row>
    <row r="51" spans="2:3" x14ac:dyDescent="0.3">
      <c r="B51" s="14">
        <f t="shared" si="1"/>
        <v>45650</v>
      </c>
      <c r="C51" t="s">
        <v>47</v>
      </c>
    </row>
    <row r="52" spans="2:3" x14ac:dyDescent="0.3">
      <c r="B52" s="14">
        <f t="shared" si="1"/>
        <v>45651</v>
      </c>
      <c r="C52" t="s">
        <v>48</v>
      </c>
    </row>
    <row r="53" spans="2:3" x14ac:dyDescent="0.3">
      <c r="B53" s="14">
        <f t="shared" si="1"/>
        <v>45657</v>
      </c>
      <c r="C53" t="s">
        <v>39</v>
      </c>
    </row>
    <row r="54" spans="2:3" x14ac:dyDescent="0.3">
      <c r="B54" s="14">
        <f t="shared" si="1"/>
        <v>45676</v>
      </c>
      <c r="C54" t="s">
        <v>40</v>
      </c>
    </row>
    <row r="55" spans="2:3" x14ac:dyDescent="0.3">
      <c r="B55" s="14">
        <f t="shared" si="1"/>
        <v>45704</v>
      </c>
      <c r="C55" t="s">
        <v>41</v>
      </c>
    </row>
    <row r="56" spans="2:3" x14ac:dyDescent="0.3">
      <c r="B56" s="14">
        <f t="shared" si="1"/>
        <v>45802</v>
      </c>
      <c r="C56" t="s">
        <v>42</v>
      </c>
    </row>
    <row r="57" spans="2:3" x14ac:dyDescent="0.3">
      <c r="B57" s="14">
        <f t="shared" si="1"/>
        <v>45907</v>
      </c>
      <c r="C57" t="s">
        <v>43</v>
      </c>
    </row>
    <row r="58" spans="2:3" x14ac:dyDescent="0.3">
      <c r="B58" s="14">
        <f t="shared" si="1"/>
        <v>45842</v>
      </c>
      <c r="C58" t="s">
        <v>44</v>
      </c>
    </row>
    <row r="59" spans="2:3" x14ac:dyDescent="0.3">
      <c r="B59" s="14">
        <f t="shared" si="1"/>
        <v>45987</v>
      </c>
      <c r="C59" t="s">
        <v>45</v>
      </c>
    </row>
    <row r="60" spans="2:3" x14ac:dyDescent="0.3">
      <c r="B60" s="14">
        <f t="shared" si="1"/>
        <v>45988</v>
      </c>
      <c r="C60" t="s">
        <v>46</v>
      </c>
    </row>
    <row r="61" spans="2:3" x14ac:dyDescent="0.3">
      <c r="B61" s="14">
        <f t="shared" si="1"/>
        <v>46015</v>
      </c>
      <c r="C61" t="s">
        <v>47</v>
      </c>
    </row>
    <row r="62" spans="2:3" x14ac:dyDescent="0.3">
      <c r="B62" s="14">
        <f t="shared" si="1"/>
        <v>46016</v>
      </c>
      <c r="C62" t="s">
        <v>48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9B7E7-E1EF-4D02-8151-E1C7395CE6E2}">
  <dimension ref="A1:XFD18"/>
  <sheetViews>
    <sheetView workbookViewId="0">
      <selection activeCell="C2" sqref="C2:C16"/>
    </sheetView>
  </sheetViews>
  <sheetFormatPr defaultColWidth="8.88671875" defaultRowHeight="14.4" x14ac:dyDescent="0.3"/>
  <cols>
    <col min="1" max="1" width="8.88671875" style="136"/>
    <col min="2" max="2" width="12.33203125" style="136" bestFit="1" customWidth="1"/>
    <col min="3" max="9" width="8.88671875" style="136"/>
    <col min="10" max="10" width="15" style="136" bestFit="1" customWidth="1"/>
    <col min="11" max="16384" width="8.88671875" style="136"/>
  </cols>
  <sheetData>
    <row r="1" spans="1:11 16384:16384" x14ac:dyDescent="0.3">
      <c r="A1" s="136" t="s">
        <v>53</v>
      </c>
      <c r="B1" s="136" t="s">
        <v>54</v>
      </c>
      <c r="C1" s="136" t="s">
        <v>55</v>
      </c>
      <c r="D1" s="136" t="s">
        <v>56</v>
      </c>
      <c r="E1" s="136" t="s">
        <v>57</v>
      </c>
      <c r="F1" s="136" t="s">
        <v>58</v>
      </c>
      <c r="G1" s="136" t="s">
        <v>59</v>
      </c>
      <c r="H1" s="136" t="s">
        <v>60</v>
      </c>
      <c r="I1" s="136" t="s">
        <v>61</v>
      </c>
      <c r="J1" s="137" t="s">
        <v>62</v>
      </c>
      <c r="K1" s="136" t="s">
        <v>63</v>
      </c>
    </row>
    <row r="2" spans="1:11 16384:16384" x14ac:dyDescent="0.3">
      <c r="A2" s="138" t="s">
        <v>76</v>
      </c>
      <c r="B2" s="138" t="s">
        <v>194</v>
      </c>
      <c r="C2" s="138">
        <v>2</v>
      </c>
      <c r="D2" s="138">
        <v>50</v>
      </c>
      <c r="E2" s="138">
        <v>100</v>
      </c>
      <c r="F2" s="138" t="s">
        <v>65</v>
      </c>
      <c r="G2" s="138" t="s">
        <v>65</v>
      </c>
      <c r="H2" s="138" t="s">
        <v>195</v>
      </c>
      <c r="I2" s="138"/>
      <c r="J2" s="139" t="s">
        <v>196</v>
      </c>
      <c r="K2" s="138">
        <v>100</v>
      </c>
    </row>
    <row r="3" spans="1:11 16384:16384" x14ac:dyDescent="0.3">
      <c r="A3" s="138" t="s">
        <v>83</v>
      </c>
      <c r="B3" s="140">
        <v>44906</v>
      </c>
      <c r="C3" s="138">
        <v>1.25</v>
      </c>
      <c r="D3" s="139">
        <v>60</v>
      </c>
      <c r="E3" s="138">
        <v>75</v>
      </c>
      <c r="F3" s="138" t="s">
        <v>65</v>
      </c>
      <c r="G3" s="138" t="s">
        <v>65</v>
      </c>
      <c r="H3" s="138" t="s">
        <v>84</v>
      </c>
      <c r="I3" s="138" t="s">
        <v>67</v>
      </c>
      <c r="J3" s="138" t="s">
        <v>165</v>
      </c>
      <c r="K3" s="138">
        <v>75</v>
      </c>
    </row>
    <row r="4" spans="1:11 16384:16384" x14ac:dyDescent="0.3">
      <c r="A4" s="138" t="s">
        <v>197</v>
      </c>
      <c r="B4" s="140">
        <v>44907</v>
      </c>
      <c r="C4" s="138">
        <v>1</v>
      </c>
      <c r="D4" s="139">
        <v>60</v>
      </c>
      <c r="E4" s="138">
        <v>60</v>
      </c>
      <c r="F4" s="138" t="s">
        <v>65</v>
      </c>
      <c r="G4" s="138" t="s">
        <v>65</v>
      </c>
      <c r="H4" s="138" t="s">
        <v>198</v>
      </c>
      <c r="I4" s="138" t="s">
        <v>67</v>
      </c>
      <c r="J4" s="138" t="s">
        <v>165</v>
      </c>
      <c r="K4" s="138">
        <v>60</v>
      </c>
    </row>
    <row r="5" spans="1:11 16384:16384" x14ac:dyDescent="0.3">
      <c r="A5" s="138" t="s">
        <v>197</v>
      </c>
      <c r="B5" s="140">
        <v>44908</v>
      </c>
      <c r="C5" s="138">
        <v>1.5</v>
      </c>
      <c r="D5" s="139">
        <v>60</v>
      </c>
      <c r="E5" s="138">
        <v>90</v>
      </c>
      <c r="F5" s="138" t="s">
        <v>65</v>
      </c>
      <c r="G5" s="138" t="s">
        <v>65</v>
      </c>
      <c r="H5" s="138" t="s">
        <v>198</v>
      </c>
      <c r="I5" s="138" t="s">
        <v>67</v>
      </c>
      <c r="J5" s="138" t="s">
        <v>165</v>
      </c>
      <c r="K5" s="138">
        <v>90</v>
      </c>
    </row>
    <row r="6" spans="1:11 16384:16384" x14ac:dyDescent="0.3">
      <c r="A6" s="138" t="s">
        <v>197</v>
      </c>
      <c r="B6" s="140">
        <v>44910</v>
      </c>
      <c r="C6" s="138">
        <v>1.5</v>
      </c>
      <c r="D6" s="138">
        <v>60</v>
      </c>
      <c r="E6" s="138">
        <v>90</v>
      </c>
      <c r="F6" s="138" t="s">
        <v>65</v>
      </c>
      <c r="G6" s="138" t="s">
        <v>65</v>
      </c>
      <c r="H6" s="138" t="s">
        <v>198</v>
      </c>
      <c r="I6" s="138" t="s">
        <v>67</v>
      </c>
      <c r="J6" s="138" t="s">
        <v>165</v>
      </c>
      <c r="K6" s="138">
        <v>90</v>
      </c>
    </row>
    <row r="7" spans="1:11 16384:16384" x14ac:dyDescent="0.3">
      <c r="A7" s="138" t="s">
        <v>199</v>
      </c>
      <c r="B7" s="140">
        <v>44905</v>
      </c>
      <c r="C7" s="138">
        <v>1</v>
      </c>
      <c r="D7" s="139">
        <v>60</v>
      </c>
      <c r="E7" s="138">
        <v>60</v>
      </c>
      <c r="F7" s="138" t="s">
        <v>65</v>
      </c>
      <c r="G7" s="138" t="s">
        <v>65</v>
      </c>
      <c r="H7" s="138" t="s">
        <v>200</v>
      </c>
      <c r="I7" s="138" t="s">
        <v>67</v>
      </c>
      <c r="J7" s="138" t="s">
        <v>165</v>
      </c>
      <c r="K7" s="138">
        <v>60</v>
      </c>
    </row>
    <row r="8" spans="1:11 16384:16384" x14ac:dyDescent="0.3">
      <c r="A8" s="138" t="s">
        <v>105</v>
      </c>
      <c r="B8" s="140">
        <v>44898</v>
      </c>
      <c r="C8" s="138">
        <v>1.5</v>
      </c>
      <c r="D8" s="138">
        <v>50</v>
      </c>
      <c r="E8" s="138">
        <v>75</v>
      </c>
      <c r="F8" s="138" t="s">
        <v>65</v>
      </c>
      <c r="G8" s="138" t="s">
        <v>65</v>
      </c>
      <c r="H8" s="138" t="s">
        <v>106</v>
      </c>
      <c r="I8" s="138" t="s">
        <v>67</v>
      </c>
      <c r="J8" s="138" t="s">
        <v>165</v>
      </c>
      <c r="K8" s="138">
        <v>75</v>
      </c>
    </row>
    <row r="9" spans="1:11 16384:16384" x14ac:dyDescent="0.3">
      <c r="A9" s="138" t="s">
        <v>105</v>
      </c>
      <c r="B9" s="140">
        <v>44900</v>
      </c>
      <c r="C9" s="138">
        <v>1.5</v>
      </c>
      <c r="D9" s="138">
        <v>50</v>
      </c>
      <c r="E9" s="138">
        <v>75</v>
      </c>
      <c r="F9" s="138" t="s">
        <v>65</v>
      </c>
      <c r="G9" s="138" t="s">
        <v>65</v>
      </c>
      <c r="H9" s="138" t="s">
        <v>106</v>
      </c>
      <c r="I9" s="138" t="s">
        <v>67</v>
      </c>
      <c r="J9" s="138" t="s">
        <v>165</v>
      </c>
      <c r="K9" s="138">
        <v>75</v>
      </c>
    </row>
    <row r="10" spans="1:11 16384:16384" x14ac:dyDescent="0.3">
      <c r="A10" s="138" t="s">
        <v>105</v>
      </c>
      <c r="B10" s="140">
        <v>44903</v>
      </c>
      <c r="C10" s="138">
        <v>1</v>
      </c>
      <c r="D10" s="138">
        <v>50</v>
      </c>
      <c r="E10" s="138">
        <v>50</v>
      </c>
      <c r="F10" s="138" t="s">
        <v>65</v>
      </c>
      <c r="G10" s="138" t="s">
        <v>65</v>
      </c>
      <c r="H10" s="138" t="s">
        <v>106</v>
      </c>
      <c r="I10" s="138" t="s">
        <v>67</v>
      </c>
      <c r="J10" s="138" t="s">
        <v>165</v>
      </c>
      <c r="K10" s="138">
        <v>50</v>
      </c>
    </row>
    <row r="11" spans="1:11 16384:16384" x14ac:dyDescent="0.3">
      <c r="A11" s="138" t="s">
        <v>105</v>
      </c>
      <c r="B11" s="140">
        <v>44906</v>
      </c>
      <c r="C11" s="138">
        <v>2</v>
      </c>
      <c r="D11" s="138">
        <v>50</v>
      </c>
      <c r="E11" s="138">
        <v>100</v>
      </c>
      <c r="F11" s="138" t="s">
        <v>65</v>
      </c>
      <c r="G11" s="138" t="s">
        <v>65</v>
      </c>
      <c r="H11" s="138" t="s">
        <v>106</v>
      </c>
      <c r="I11" s="138" t="s">
        <v>67</v>
      </c>
      <c r="J11" s="138" t="s">
        <v>165</v>
      </c>
      <c r="K11" s="138">
        <v>100</v>
      </c>
    </row>
    <row r="12" spans="1:11 16384:16384" x14ac:dyDescent="0.3">
      <c r="A12" s="138" t="s">
        <v>105</v>
      </c>
      <c r="B12" s="140">
        <v>44907</v>
      </c>
      <c r="C12" s="138">
        <v>1.25</v>
      </c>
      <c r="D12" s="138">
        <v>50</v>
      </c>
      <c r="E12" s="138">
        <v>62.5</v>
      </c>
      <c r="F12" s="138" t="s">
        <v>65</v>
      </c>
      <c r="G12" s="138" t="s">
        <v>65</v>
      </c>
      <c r="H12" s="138" t="s">
        <v>106</v>
      </c>
      <c r="I12" s="138" t="s">
        <v>67</v>
      </c>
      <c r="J12" s="138" t="s">
        <v>165</v>
      </c>
      <c r="K12" s="138">
        <v>62.5</v>
      </c>
      <c r="XFD12" s="136" t="s">
        <v>65</v>
      </c>
    </row>
    <row r="13" spans="1:11 16384:16384" x14ac:dyDescent="0.3">
      <c r="A13" s="138" t="s">
        <v>105</v>
      </c>
      <c r="B13" s="140">
        <v>44908</v>
      </c>
      <c r="C13" s="138">
        <v>1.5</v>
      </c>
      <c r="D13" s="138">
        <v>50</v>
      </c>
      <c r="E13" s="138">
        <v>75</v>
      </c>
      <c r="F13" s="138" t="s">
        <v>65</v>
      </c>
      <c r="G13" s="138" t="s">
        <v>65</v>
      </c>
      <c r="H13" s="138" t="s">
        <v>106</v>
      </c>
      <c r="I13" s="138" t="s">
        <v>67</v>
      </c>
      <c r="J13" s="138" t="s">
        <v>165</v>
      </c>
      <c r="K13" s="138">
        <v>75</v>
      </c>
    </row>
    <row r="14" spans="1:11 16384:16384" x14ac:dyDescent="0.3">
      <c r="A14" s="138" t="s">
        <v>105</v>
      </c>
      <c r="B14" s="140">
        <v>44909</v>
      </c>
      <c r="C14" s="138">
        <v>0.5</v>
      </c>
      <c r="D14" s="138">
        <v>50</v>
      </c>
      <c r="E14" s="138">
        <v>25</v>
      </c>
      <c r="F14" s="138" t="s">
        <v>65</v>
      </c>
      <c r="G14" s="138" t="s">
        <v>65</v>
      </c>
      <c r="H14" s="138" t="s">
        <v>106</v>
      </c>
      <c r="I14" s="138" t="s">
        <v>67</v>
      </c>
      <c r="J14" s="138" t="s">
        <v>165</v>
      </c>
      <c r="K14" s="138">
        <v>25</v>
      </c>
    </row>
    <row r="15" spans="1:11 16384:16384" x14ac:dyDescent="0.3">
      <c r="A15" s="138" t="s">
        <v>110</v>
      </c>
      <c r="B15" s="140">
        <v>44904</v>
      </c>
      <c r="C15" s="138">
        <v>2</v>
      </c>
      <c r="D15" s="139">
        <v>60</v>
      </c>
      <c r="E15" s="138">
        <v>120</v>
      </c>
      <c r="F15" s="138" t="s">
        <v>201</v>
      </c>
      <c r="G15" s="138" t="s">
        <v>65</v>
      </c>
      <c r="H15" s="138" t="s">
        <v>202</v>
      </c>
      <c r="I15" s="138" t="s">
        <v>67</v>
      </c>
      <c r="J15" s="138" t="s">
        <v>165</v>
      </c>
      <c r="K15" s="138">
        <v>0</v>
      </c>
    </row>
    <row r="16" spans="1:11 16384:16384" x14ac:dyDescent="0.3">
      <c r="A16" s="138" t="s">
        <v>110</v>
      </c>
      <c r="B16" s="140">
        <v>44906</v>
      </c>
      <c r="C16" s="138">
        <v>1.25</v>
      </c>
      <c r="D16" s="139">
        <v>60</v>
      </c>
      <c r="E16" s="138">
        <v>75</v>
      </c>
      <c r="F16" s="138" t="s">
        <v>65</v>
      </c>
      <c r="G16" s="138" t="s">
        <v>65</v>
      </c>
      <c r="H16" s="138" t="s">
        <v>203</v>
      </c>
      <c r="I16" s="138" t="s">
        <v>67</v>
      </c>
      <c r="J16" s="138" t="s">
        <v>165</v>
      </c>
      <c r="K16" s="138">
        <v>195</v>
      </c>
    </row>
    <row r="17" spans="1:11" x14ac:dyDescent="0.3">
      <c r="A17" s="138"/>
      <c r="B17" s="140"/>
      <c r="C17" s="138"/>
      <c r="D17" s="138"/>
      <c r="E17" s="138"/>
      <c r="F17" s="138"/>
      <c r="G17" s="138"/>
      <c r="H17" s="138"/>
      <c r="I17" s="138"/>
      <c r="J17" s="138"/>
      <c r="K17" s="138"/>
    </row>
    <row r="18" spans="1:11" x14ac:dyDescent="0.3">
      <c r="A18" s="138"/>
      <c r="B18" s="138"/>
      <c r="C18" s="138"/>
      <c r="D18" s="138"/>
      <c r="E18" s="138"/>
      <c r="F18" s="138"/>
      <c r="G18" s="138"/>
      <c r="H18" s="138"/>
      <c r="I18" s="138"/>
      <c r="J18" s="138"/>
      <c r="K18" s="138">
        <f>SUM(K2:K16)</f>
        <v>1132.5</v>
      </c>
    </row>
  </sheetData>
  <autoFilter ref="A1:K16" xr:uid="{9A642484-9CB1-4531-9C0F-5A0BEE9907C7}">
    <sortState xmlns:xlrd2="http://schemas.microsoft.com/office/spreadsheetml/2017/richdata2" ref="A2:K16">
      <sortCondition ref="A1:A16"/>
    </sortState>
  </autoFilter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C670E-C494-45F7-9C9C-19FB3B86410B}">
  <dimension ref="A1:T27"/>
  <sheetViews>
    <sheetView workbookViewId="0">
      <selection activeCell="R3" sqref="R3:R13"/>
    </sheetView>
  </sheetViews>
  <sheetFormatPr defaultColWidth="8.88671875" defaultRowHeight="14.4" x14ac:dyDescent="0.3"/>
  <cols>
    <col min="1" max="1" width="14.44140625" style="118" bestFit="1" customWidth="1"/>
    <col min="2" max="2" width="7.109375" style="118" bestFit="1" customWidth="1"/>
    <col min="3" max="3" width="8" style="118" bestFit="1" customWidth="1"/>
    <col min="4" max="4" width="12" style="118" bestFit="1" customWidth="1"/>
    <col min="5" max="5" width="6.88671875" style="118" bestFit="1" customWidth="1"/>
    <col min="6" max="6" width="8.5546875" style="118" bestFit="1" customWidth="1"/>
    <col min="7" max="7" width="19.109375" style="118" bestFit="1" customWidth="1"/>
    <col min="8" max="8" width="68.33203125" style="118" bestFit="1" customWidth="1"/>
    <col min="9" max="9" width="6.5546875" style="118" bestFit="1" customWidth="1"/>
    <col min="10" max="10" width="17.33203125" style="118" bestFit="1" customWidth="1"/>
    <col min="11" max="11" width="8.33203125" style="118" bestFit="1" customWidth="1"/>
    <col min="12" max="12" width="23.6640625" style="118" bestFit="1" customWidth="1"/>
    <col min="13" max="17" width="8.88671875" style="118"/>
    <col min="18" max="18" width="14.44140625" style="118" bestFit="1" customWidth="1"/>
    <col min="19" max="19" width="12.33203125" style="118" bestFit="1" customWidth="1"/>
    <col min="20" max="20" width="11.33203125" style="118" bestFit="1" customWidth="1"/>
    <col min="21" max="16384" width="8.88671875" style="118"/>
  </cols>
  <sheetData>
    <row r="1" spans="1:20" x14ac:dyDescent="0.3">
      <c r="A1" s="118" t="s">
        <v>53</v>
      </c>
      <c r="B1" s="118" t="s">
        <v>54</v>
      </c>
      <c r="C1" s="118" t="s">
        <v>55</v>
      </c>
      <c r="D1" s="118" t="s">
        <v>56</v>
      </c>
      <c r="E1" s="118" t="s">
        <v>57</v>
      </c>
      <c r="F1" s="118" t="s">
        <v>58</v>
      </c>
      <c r="G1" s="118" t="s">
        <v>59</v>
      </c>
      <c r="H1" s="118" t="s">
        <v>60</v>
      </c>
      <c r="I1" s="118" t="s">
        <v>61</v>
      </c>
      <c r="J1" s="119" t="s">
        <v>62</v>
      </c>
      <c r="K1" s="118" t="s">
        <v>63</v>
      </c>
    </row>
    <row r="2" spans="1:20" x14ac:dyDescent="0.3">
      <c r="A2" s="120" t="s">
        <v>64</v>
      </c>
      <c r="B2" s="120">
        <v>44868</v>
      </c>
      <c r="C2" s="121">
        <v>1</v>
      </c>
      <c r="D2" s="121">
        <v>50</v>
      </c>
      <c r="E2" s="121">
        <v>50</v>
      </c>
      <c r="F2" s="121" t="s">
        <v>65</v>
      </c>
      <c r="G2" s="121" t="s">
        <v>65</v>
      </c>
      <c r="H2" s="121" t="s">
        <v>162</v>
      </c>
      <c r="I2" s="121" t="s">
        <v>67</v>
      </c>
      <c r="J2" s="121" t="s">
        <v>65</v>
      </c>
      <c r="K2" s="121">
        <v>50</v>
      </c>
      <c r="R2" s="48" t="s">
        <v>134</v>
      </c>
      <c r="S2" t="s">
        <v>136</v>
      </c>
      <c r="T2" t="s">
        <v>137</v>
      </c>
    </row>
    <row r="3" spans="1:20" s="122" customFormat="1" x14ac:dyDescent="0.3">
      <c r="A3" s="122" t="s">
        <v>163</v>
      </c>
      <c r="B3" s="123">
        <v>44878</v>
      </c>
      <c r="C3" s="122">
        <v>1</v>
      </c>
      <c r="D3" s="122">
        <v>60</v>
      </c>
      <c r="E3" s="122">
        <v>60</v>
      </c>
      <c r="F3" s="122" t="s">
        <v>65</v>
      </c>
      <c r="G3" s="122" t="s">
        <v>65</v>
      </c>
      <c r="H3" s="122" t="s">
        <v>164</v>
      </c>
      <c r="I3" s="122" t="s">
        <v>67</v>
      </c>
      <c r="J3" s="122" t="s">
        <v>165</v>
      </c>
      <c r="K3" s="122">
        <v>60</v>
      </c>
      <c r="R3" s="49" t="s">
        <v>64</v>
      </c>
      <c r="S3">
        <v>1</v>
      </c>
      <c r="T3">
        <v>50</v>
      </c>
    </row>
    <row r="4" spans="1:20" s="122" customFormat="1" x14ac:dyDescent="0.3">
      <c r="A4" s="122" t="s">
        <v>163</v>
      </c>
      <c r="B4" s="123">
        <v>44880</v>
      </c>
      <c r="C4" s="122">
        <v>1.5</v>
      </c>
      <c r="D4" s="122">
        <v>60</v>
      </c>
      <c r="E4" s="122">
        <v>90</v>
      </c>
      <c r="F4" s="122" t="s">
        <v>65</v>
      </c>
      <c r="G4" s="122" t="s">
        <v>65</v>
      </c>
      <c r="H4" s="122" t="s">
        <v>164</v>
      </c>
      <c r="I4" s="122" t="s">
        <v>67</v>
      </c>
      <c r="J4" s="122" t="s">
        <v>165</v>
      </c>
      <c r="K4" s="122">
        <v>90</v>
      </c>
      <c r="R4" s="49" t="s">
        <v>163</v>
      </c>
      <c r="S4">
        <v>2.5</v>
      </c>
      <c r="T4">
        <v>150</v>
      </c>
    </row>
    <row r="5" spans="1:20" s="122" customFormat="1" x14ac:dyDescent="0.3">
      <c r="A5" s="122" t="s">
        <v>83</v>
      </c>
      <c r="B5" s="123">
        <v>44872</v>
      </c>
      <c r="C5" s="122">
        <v>1</v>
      </c>
      <c r="D5" s="122">
        <v>60</v>
      </c>
      <c r="E5" s="122">
        <v>60</v>
      </c>
      <c r="F5" s="122" t="s">
        <v>65</v>
      </c>
      <c r="G5" s="122" t="s">
        <v>65</v>
      </c>
      <c r="H5" s="122" t="s">
        <v>166</v>
      </c>
      <c r="I5" s="122" t="s">
        <v>67</v>
      </c>
      <c r="J5" s="122" t="s">
        <v>165</v>
      </c>
      <c r="K5" s="122">
        <v>60</v>
      </c>
      <c r="R5" s="49" t="s">
        <v>83</v>
      </c>
      <c r="S5">
        <v>2.5</v>
      </c>
      <c r="T5">
        <v>150</v>
      </c>
    </row>
    <row r="6" spans="1:20" s="124" customFormat="1" x14ac:dyDescent="0.3">
      <c r="A6" s="124" t="s">
        <v>83</v>
      </c>
      <c r="B6" s="125">
        <v>44892</v>
      </c>
      <c r="C6" s="124">
        <v>1.5</v>
      </c>
      <c r="D6" s="124">
        <v>60</v>
      </c>
      <c r="E6" s="124">
        <v>90</v>
      </c>
      <c r="F6" s="124" t="s">
        <v>65</v>
      </c>
      <c r="G6" s="124" t="s">
        <v>65</v>
      </c>
      <c r="H6" s="124" t="s">
        <v>167</v>
      </c>
      <c r="I6" s="124" t="s">
        <v>67</v>
      </c>
      <c r="J6" s="124" t="s">
        <v>165</v>
      </c>
      <c r="K6" s="124">
        <v>90</v>
      </c>
      <c r="R6" s="49" t="s">
        <v>168</v>
      </c>
      <c r="S6">
        <v>2.5</v>
      </c>
      <c r="T6">
        <v>150</v>
      </c>
    </row>
    <row r="7" spans="1:20" x14ac:dyDescent="0.3">
      <c r="A7" s="121" t="s">
        <v>168</v>
      </c>
      <c r="B7" s="120">
        <v>44878</v>
      </c>
      <c r="C7" s="121">
        <v>1</v>
      </c>
      <c r="D7" s="121">
        <v>60</v>
      </c>
      <c r="E7" s="121">
        <v>60</v>
      </c>
      <c r="F7" s="121" t="s">
        <v>65</v>
      </c>
      <c r="G7" s="121" t="s">
        <v>65</v>
      </c>
      <c r="H7" s="121" t="s">
        <v>169</v>
      </c>
      <c r="I7" s="121" t="s">
        <v>67</v>
      </c>
      <c r="J7" s="121" t="s">
        <v>165</v>
      </c>
      <c r="K7" s="121">
        <v>60</v>
      </c>
      <c r="R7" s="49" t="s">
        <v>88</v>
      </c>
      <c r="S7">
        <v>1.5</v>
      </c>
      <c r="T7">
        <v>75</v>
      </c>
    </row>
    <row r="8" spans="1:20" s="124" customFormat="1" x14ac:dyDescent="0.3">
      <c r="A8" s="124" t="s">
        <v>168</v>
      </c>
      <c r="B8" s="125">
        <v>44884</v>
      </c>
      <c r="C8" s="124">
        <v>1.5</v>
      </c>
      <c r="D8" s="124">
        <v>60</v>
      </c>
      <c r="E8" s="124">
        <v>90</v>
      </c>
      <c r="F8" s="124" t="s">
        <v>65</v>
      </c>
      <c r="G8" s="124" t="s">
        <v>65</v>
      </c>
      <c r="H8" s="124" t="s">
        <v>169</v>
      </c>
      <c r="I8" s="124" t="s">
        <v>67</v>
      </c>
      <c r="J8" s="124" t="s">
        <v>165</v>
      </c>
      <c r="K8" s="124">
        <v>90</v>
      </c>
      <c r="R8" s="49" t="s">
        <v>91</v>
      </c>
      <c r="S8">
        <v>1</v>
      </c>
      <c r="T8">
        <v>50</v>
      </c>
    </row>
    <row r="9" spans="1:20" x14ac:dyDescent="0.3">
      <c r="A9" s="121" t="s">
        <v>88</v>
      </c>
      <c r="B9" s="120">
        <v>44875</v>
      </c>
      <c r="C9" s="121">
        <v>1.5</v>
      </c>
      <c r="D9" s="121">
        <v>50</v>
      </c>
      <c r="E9" s="121">
        <v>75</v>
      </c>
      <c r="F9" s="121" t="s">
        <v>65</v>
      </c>
      <c r="G9" s="121" t="s">
        <v>65</v>
      </c>
      <c r="H9" s="121" t="s">
        <v>170</v>
      </c>
      <c r="I9" s="121" t="s">
        <v>67</v>
      </c>
      <c r="J9" s="121" t="s">
        <v>165</v>
      </c>
      <c r="K9" s="121">
        <v>75</v>
      </c>
      <c r="R9" s="49" t="s">
        <v>100</v>
      </c>
      <c r="S9">
        <v>0.5</v>
      </c>
      <c r="T9">
        <v>30</v>
      </c>
    </row>
    <row r="10" spans="1:20" s="124" customFormat="1" x14ac:dyDescent="0.3">
      <c r="A10" s="124" t="s">
        <v>91</v>
      </c>
      <c r="B10" s="125">
        <v>44886</v>
      </c>
      <c r="C10" s="124">
        <v>1</v>
      </c>
      <c r="D10" s="124">
        <v>50</v>
      </c>
      <c r="E10" s="124">
        <v>50</v>
      </c>
      <c r="F10" s="124" t="s">
        <v>65</v>
      </c>
      <c r="G10" s="124" t="s">
        <v>65</v>
      </c>
      <c r="H10" s="124" t="s">
        <v>171</v>
      </c>
      <c r="I10" s="124" t="s">
        <v>67</v>
      </c>
      <c r="J10" s="124" t="s">
        <v>165</v>
      </c>
      <c r="K10" s="124">
        <v>50</v>
      </c>
      <c r="R10" s="49" t="s">
        <v>102</v>
      </c>
      <c r="S10">
        <v>7.5</v>
      </c>
      <c r="T10">
        <v>375</v>
      </c>
    </row>
    <row r="11" spans="1:20" s="122" customFormat="1" x14ac:dyDescent="0.3">
      <c r="A11" s="123" t="s">
        <v>100</v>
      </c>
      <c r="B11" s="123">
        <v>44877</v>
      </c>
      <c r="C11" s="122">
        <v>0.5</v>
      </c>
      <c r="D11" s="122">
        <v>60</v>
      </c>
      <c r="E11" s="122">
        <v>30</v>
      </c>
      <c r="F11" s="122" t="s">
        <v>65</v>
      </c>
      <c r="G11" s="122" t="s">
        <v>65</v>
      </c>
      <c r="H11" s="122" t="s">
        <v>172</v>
      </c>
      <c r="I11" s="122" t="s">
        <v>67</v>
      </c>
      <c r="J11" s="122" t="s">
        <v>165</v>
      </c>
      <c r="K11" s="122">
        <v>30</v>
      </c>
      <c r="R11" s="49" t="s">
        <v>105</v>
      </c>
      <c r="S11">
        <v>9</v>
      </c>
      <c r="T11">
        <v>450</v>
      </c>
    </row>
    <row r="12" spans="1:20" x14ac:dyDescent="0.3">
      <c r="A12" s="121" t="s">
        <v>102</v>
      </c>
      <c r="B12" s="120">
        <v>44871</v>
      </c>
      <c r="C12" s="121">
        <v>2</v>
      </c>
      <c r="D12" s="121">
        <v>50</v>
      </c>
      <c r="E12" s="121">
        <v>100</v>
      </c>
      <c r="F12" s="121" t="s">
        <v>65</v>
      </c>
      <c r="G12" s="121" t="s">
        <v>65</v>
      </c>
      <c r="H12" s="121" t="s">
        <v>173</v>
      </c>
      <c r="I12" s="121" t="s">
        <v>67</v>
      </c>
      <c r="J12" s="121" t="s">
        <v>165</v>
      </c>
      <c r="K12" s="121">
        <v>100</v>
      </c>
      <c r="R12" s="49" t="s">
        <v>108</v>
      </c>
      <c r="S12">
        <v>2</v>
      </c>
      <c r="T12">
        <v>100</v>
      </c>
    </row>
    <row r="13" spans="1:20" x14ac:dyDescent="0.3">
      <c r="A13" s="121" t="s">
        <v>102</v>
      </c>
      <c r="B13" s="120">
        <v>44873</v>
      </c>
      <c r="C13" s="121">
        <v>1</v>
      </c>
      <c r="D13" s="121">
        <v>50</v>
      </c>
      <c r="E13" s="121">
        <v>50</v>
      </c>
      <c r="F13" s="121" t="s">
        <v>65</v>
      </c>
      <c r="G13" s="121" t="s">
        <v>65</v>
      </c>
      <c r="H13" s="121" t="s">
        <v>174</v>
      </c>
      <c r="I13" s="121" t="s">
        <v>67</v>
      </c>
      <c r="J13" s="121" t="s">
        <v>165</v>
      </c>
      <c r="K13" s="121">
        <v>50</v>
      </c>
      <c r="R13" s="49" t="s">
        <v>110</v>
      </c>
      <c r="S13">
        <v>1</v>
      </c>
      <c r="T13">
        <v>60</v>
      </c>
    </row>
    <row r="14" spans="1:20" s="124" customFormat="1" x14ac:dyDescent="0.3">
      <c r="A14" s="124" t="s">
        <v>102</v>
      </c>
      <c r="B14" s="125">
        <v>44884</v>
      </c>
      <c r="C14" s="124">
        <v>1.5</v>
      </c>
      <c r="D14" s="124">
        <v>50</v>
      </c>
      <c r="E14" s="124">
        <v>75</v>
      </c>
      <c r="F14" s="124" t="s">
        <v>65</v>
      </c>
      <c r="G14" s="124" t="s">
        <v>65</v>
      </c>
      <c r="H14" s="124" t="s">
        <v>175</v>
      </c>
      <c r="I14" s="124" t="s">
        <v>67</v>
      </c>
      <c r="J14" s="124" t="s">
        <v>165</v>
      </c>
      <c r="K14" s="124">
        <v>75</v>
      </c>
      <c r="R14" s="49" t="s">
        <v>135</v>
      </c>
      <c r="S14">
        <v>31</v>
      </c>
      <c r="T14">
        <v>1640</v>
      </c>
    </row>
    <row r="15" spans="1:20" s="124" customFormat="1" x14ac:dyDescent="0.3">
      <c r="A15" s="124" t="s">
        <v>102</v>
      </c>
      <c r="B15" s="125">
        <v>44891</v>
      </c>
      <c r="C15" s="124">
        <v>1.5</v>
      </c>
      <c r="D15" s="124">
        <v>50</v>
      </c>
      <c r="E15" s="124">
        <v>75</v>
      </c>
      <c r="F15" s="124" t="s">
        <v>65</v>
      </c>
      <c r="G15" s="124" t="s">
        <v>65</v>
      </c>
      <c r="H15" s="124" t="s">
        <v>176</v>
      </c>
      <c r="I15" s="124" t="s">
        <v>67</v>
      </c>
      <c r="J15" s="124" t="s">
        <v>165</v>
      </c>
      <c r="K15" s="124">
        <v>75</v>
      </c>
      <c r="L15" s="124" t="s">
        <v>177</v>
      </c>
      <c r="R15"/>
      <c r="S15"/>
      <c r="T15"/>
    </row>
    <row r="16" spans="1:20" s="124" customFormat="1" x14ac:dyDescent="0.3">
      <c r="A16" s="124" t="s">
        <v>102</v>
      </c>
      <c r="B16" s="125">
        <v>44892</v>
      </c>
      <c r="C16" s="124">
        <v>1.5</v>
      </c>
      <c r="D16" s="124">
        <v>50</v>
      </c>
      <c r="E16" s="124">
        <v>75</v>
      </c>
      <c r="F16" s="124" t="s">
        <v>65</v>
      </c>
      <c r="G16" s="124" t="s">
        <v>65</v>
      </c>
      <c r="H16" s="124" t="s">
        <v>178</v>
      </c>
      <c r="I16" s="124" t="s">
        <v>67</v>
      </c>
      <c r="J16" s="124" t="s">
        <v>165</v>
      </c>
      <c r="K16" s="124">
        <v>75</v>
      </c>
      <c r="R16"/>
      <c r="S16"/>
      <c r="T16"/>
    </row>
    <row r="17" spans="1:20" x14ac:dyDescent="0.3">
      <c r="A17" s="120" t="s">
        <v>105</v>
      </c>
      <c r="B17" s="120">
        <v>44868</v>
      </c>
      <c r="C17" s="121">
        <v>1.25</v>
      </c>
      <c r="D17" s="121">
        <v>50</v>
      </c>
      <c r="E17" s="121">
        <v>62.5</v>
      </c>
      <c r="F17" s="121" t="s">
        <v>65</v>
      </c>
      <c r="G17" s="121" t="s">
        <v>65</v>
      </c>
      <c r="H17" s="121" t="s">
        <v>179</v>
      </c>
      <c r="I17" s="121" t="s">
        <v>67</v>
      </c>
      <c r="J17" s="121" t="s">
        <v>65</v>
      </c>
      <c r="K17" s="121">
        <v>62.5</v>
      </c>
      <c r="R17"/>
      <c r="S17"/>
      <c r="T17"/>
    </row>
    <row r="18" spans="1:20" x14ac:dyDescent="0.3">
      <c r="A18" s="121" t="s">
        <v>105</v>
      </c>
      <c r="B18" s="120">
        <v>44873</v>
      </c>
      <c r="C18" s="121">
        <v>1</v>
      </c>
      <c r="D18" s="121">
        <v>50</v>
      </c>
      <c r="E18" s="121">
        <v>50</v>
      </c>
      <c r="F18" s="121" t="s">
        <v>65</v>
      </c>
      <c r="G18" s="121" t="s">
        <v>65</v>
      </c>
      <c r="H18" s="121" t="s">
        <v>180</v>
      </c>
      <c r="I18" s="121" t="s">
        <v>67</v>
      </c>
      <c r="J18" s="121" t="s">
        <v>165</v>
      </c>
      <c r="K18" s="121">
        <v>50</v>
      </c>
      <c r="R18"/>
      <c r="S18"/>
      <c r="T18"/>
    </row>
    <row r="19" spans="1:20" x14ac:dyDescent="0.3">
      <c r="A19" s="121" t="s">
        <v>105</v>
      </c>
      <c r="B19" s="120">
        <v>44875</v>
      </c>
      <c r="C19" s="121">
        <v>1.25</v>
      </c>
      <c r="D19" s="121">
        <v>50</v>
      </c>
      <c r="E19" s="121">
        <v>62.5</v>
      </c>
      <c r="F19" s="121" t="s">
        <v>65</v>
      </c>
      <c r="G19" s="121" t="s">
        <v>65</v>
      </c>
      <c r="H19" s="121" t="s">
        <v>181</v>
      </c>
      <c r="I19" s="121" t="s">
        <v>67</v>
      </c>
      <c r="J19" s="121" t="s">
        <v>165</v>
      </c>
      <c r="K19" s="121">
        <v>62.5</v>
      </c>
      <c r="R19"/>
      <c r="S19"/>
      <c r="T19"/>
    </row>
    <row r="20" spans="1:20" s="124" customFormat="1" x14ac:dyDescent="0.3">
      <c r="A20" s="124" t="s">
        <v>105</v>
      </c>
      <c r="B20" s="125">
        <v>44886</v>
      </c>
      <c r="C20" s="124">
        <v>1.5</v>
      </c>
      <c r="D20" s="124">
        <v>50</v>
      </c>
      <c r="E20" s="124">
        <v>75</v>
      </c>
      <c r="F20" s="124" t="s">
        <v>65</v>
      </c>
      <c r="G20" s="124" t="s">
        <v>65</v>
      </c>
      <c r="H20" s="124" t="s">
        <v>180</v>
      </c>
      <c r="I20" s="124" t="s">
        <v>67</v>
      </c>
      <c r="J20" s="124" t="s">
        <v>165</v>
      </c>
      <c r="K20" s="124">
        <v>75</v>
      </c>
    </row>
    <row r="21" spans="1:20" s="124" customFormat="1" x14ac:dyDescent="0.3">
      <c r="A21" s="124" t="s">
        <v>105</v>
      </c>
      <c r="B21" s="125">
        <v>44891</v>
      </c>
      <c r="C21" s="124">
        <v>1</v>
      </c>
      <c r="D21" s="124">
        <v>50</v>
      </c>
      <c r="E21" s="124">
        <v>50</v>
      </c>
      <c r="F21" s="124" t="s">
        <v>65</v>
      </c>
      <c r="G21" s="124" t="s">
        <v>65</v>
      </c>
      <c r="H21" s="124" t="s">
        <v>180</v>
      </c>
      <c r="I21" s="124" t="s">
        <v>67</v>
      </c>
      <c r="J21" s="124" t="s">
        <v>165</v>
      </c>
      <c r="K21" s="124">
        <v>50</v>
      </c>
      <c r="L21" s="124" t="s">
        <v>177</v>
      </c>
    </row>
    <row r="22" spans="1:20" s="124" customFormat="1" x14ac:dyDescent="0.3">
      <c r="A22" s="124" t="s">
        <v>105</v>
      </c>
      <c r="B22" s="125">
        <v>44892</v>
      </c>
      <c r="C22" s="124">
        <v>2</v>
      </c>
      <c r="D22" s="124">
        <v>50</v>
      </c>
      <c r="E22" s="124">
        <v>100</v>
      </c>
      <c r="F22" s="124" t="s">
        <v>65</v>
      </c>
      <c r="G22" s="124" t="s">
        <v>65</v>
      </c>
      <c r="H22" s="124" t="s">
        <v>180</v>
      </c>
      <c r="I22" s="124" t="s">
        <v>67</v>
      </c>
      <c r="J22" s="124" t="s">
        <v>165</v>
      </c>
      <c r="K22" s="124">
        <v>100</v>
      </c>
    </row>
    <row r="23" spans="1:20" s="124" customFormat="1" x14ac:dyDescent="0.3">
      <c r="A23" s="124" t="s">
        <v>105</v>
      </c>
      <c r="B23" s="125">
        <v>44893</v>
      </c>
      <c r="C23" s="124">
        <v>1</v>
      </c>
      <c r="D23" s="124">
        <v>50</v>
      </c>
      <c r="E23" s="124">
        <v>50</v>
      </c>
      <c r="F23" s="124" t="s">
        <v>65</v>
      </c>
      <c r="G23" s="124" t="s">
        <v>65</v>
      </c>
      <c r="H23" s="124" t="s">
        <v>180</v>
      </c>
      <c r="I23" s="124" t="s">
        <v>67</v>
      </c>
      <c r="J23" s="124" t="s">
        <v>165</v>
      </c>
      <c r="K23" s="124">
        <v>50</v>
      </c>
    </row>
    <row r="24" spans="1:20" x14ac:dyDescent="0.3">
      <c r="A24" s="121" t="s">
        <v>108</v>
      </c>
      <c r="B24" s="120">
        <v>44895</v>
      </c>
      <c r="C24" s="121">
        <v>2</v>
      </c>
      <c r="D24" s="121">
        <v>50</v>
      </c>
      <c r="E24" s="121">
        <v>100</v>
      </c>
      <c r="F24" s="121" t="s">
        <v>65</v>
      </c>
      <c r="G24" s="121" t="s">
        <v>65</v>
      </c>
      <c r="H24" s="121" t="s">
        <v>182</v>
      </c>
      <c r="I24" s="121" t="s">
        <v>67</v>
      </c>
      <c r="J24" s="121" t="s">
        <v>165</v>
      </c>
      <c r="K24" s="121">
        <v>100</v>
      </c>
    </row>
    <row r="25" spans="1:20" x14ac:dyDescent="0.3">
      <c r="A25" s="121" t="s">
        <v>110</v>
      </c>
      <c r="B25" s="120">
        <v>44886</v>
      </c>
      <c r="C25" s="121">
        <v>1</v>
      </c>
      <c r="D25" s="121">
        <v>60</v>
      </c>
      <c r="E25" s="121">
        <v>60</v>
      </c>
      <c r="F25" s="121" t="s">
        <v>65</v>
      </c>
      <c r="G25" s="121" t="s">
        <v>65</v>
      </c>
      <c r="H25" s="121" t="s">
        <v>183</v>
      </c>
      <c r="I25" s="121"/>
      <c r="J25" s="121" t="s">
        <v>165</v>
      </c>
      <c r="K25" s="121">
        <v>60</v>
      </c>
    </row>
    <row r="26" spans="1:20" x14ac:dyDescent="0.3">
      <c r="B26" s="126"/>
    </row>
    <row r="27" spans="1:20" x14ac:dyDescent="0.3">
      <c r="A27" s="118" t="s">
        <v>184</v>
      </c>
      <c r="K27" s="118">
        <f>SUM(K2:K25)</f>
        <v>1640</v>
      </c>
    </row>
  </sheetData>
  <autoFilter ref="A1:L25" xr:uid="{7372AF7F-FEA0-45B4-BBDB-057571914BC8}">
    <sortState xmlns:xlrd2="http://schemas.microsoft.com/office/spreadsheetml/2017/richdata2" ref="A2:L25">
      <sortCondition ref="A1:A25"/>
    </sortState>
  </autoFilter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0F0B01-C763-4E0F-88D9-17C2A57FF301}">
  <dimension ref="A1:I45"/>
  <sheetViews>
    <sheetView topLeftCell="A22" workbookViewId="0">
      <selection activeCell="R3" sqref="R3:R13"/>
    </sheetView>
  </sheetViews>
  <sheetFormatPr defaultColWidth="8.88671875" defaultRowHeight="14.4" x14ac:dyDescent="0.3"/>
  <cols>
    <col min="1" max="8" width="8.88671875" style="118"/>
    <col min="9" max="9" width="75.109375" style="118" bestFit="1" customWidth="1"/>
    <col min="10" max="16384" width="8.88671875" style="118"/>
  </cols>
  <sheetData>
    <row r="1" spans="1:9" x14ac:dyDescent="0.3">
      <c r="A1" s="119" t="s">
        <v>138</v>
      </c>
      <c r="B1" s="119" t="s">
        <v>139</v>
      </c>
      <c r="C1" s="119" t="s">
        <v>140</v>
      </c>
    </row>
    <row r="2" spans="1:9" x14ac:dyDescent="0.3">
      <c r="A2" s="126">
        <v>44825</v>
      </c>
      <c r="B2" s="118">
        <v>0.75</v>
      </c>
      <c r="C2" s="118">
        <f>B2*50</f>
        <v>37.5</v>
      </c>
      <c r="E2" s="118" t="s">
        <v>141</v>
      </c>
      <c r="I2" s="118" t="s">
        <v>142</v>
      </c>
    </row>
    <row r="3" spans="1:9" x14ac:dyDescent="0.3">
      <c r="A3" s="126">
        <v>44826</v>
      </c>
      <c r="B3" s="118">
        <v>1</v>
      </c>
      <c r="C3" s="118">
        <v>50</v>
      </c>
      <c r="E3" s="118">
        <f>C14+C15</f>
        <v>700</v>
      </c>
      <c r="I3" s="118" t="s">
        <v>143</v>
      </c>
    </row>
    <row r="4" spans="1:9" x14ac:dyDescent="0.3">
      <c r="A4" s="126">
        <v>44833</v>
      </c>
      <c r="B4" s="118">
        <v>2</v>
      </c>
      <c r="C4" s="118">
        <v>100</v>
      </c>
    </row>
    <row r="5" spans="1:9" x14ac:dyDescent="0.3">
      <c r="A5" s="126">
        <v>44836</v>
      </c>
      <c r="B5" s="118">
        <v>1.75</v>
      </c>
      <c r="C5" s="118">
        <v>87.5</v>
      </c>
    </row>
    <row r="6" spans="1:9" x14ac:dyDescent="0.3">
      <c r="A6" s="126">
        <v>44837</v>
      </c>
      <c r="B6" s="118">
        <v>0.75</v>
      </c>
      <c r="C6" s="118">
        <v>37.5</v>
      </c>
    </row>
    <row r="7" spans="1:9" x14ac:dyDescent="0.3">
      <c r="A7" s="126">
        <v>44838</v>
      </c>
      <c r="B7" s="118">
        <v>1.25</v>
      </c>
      <c r="C7" s="118">
        <v>62.5</v>
      </c>
    </row>
    <row r="8" spans="1:9" x14ac:dyDescent="0.3">
      <c r="A8" s="126">
        <v>44839</v>
      </c>
      <c r="B8" s="118">
        <v>1.5</v>
      </c>
      <c r="C8" s="118">
        <v>75</v>
      </c>
    </row>
    <row r="9" spans="1:9" x14ac:dyDescent="0.3">
      <c r="A9" s="126">
        <v>44846</v>
      </c>
      <c r="B9" s="118">
        <v>1.5</v>
      </c>
      <c r="C9" s="118">
        <v>75</v>
      </c>
    </row>
    <row r="10" spans="1:9" x14ac:dyDescent="0.3">
      <c r="A10" s="126">
        <v>44850</v>
      </c>
      <c r="B10" s="118">
        <v>1.5</v>
      </c>
      <c r="C10" s="118">
        <v>75</v>
      </c>
    </row>
    <row r="11" spans="1:9" x14ac:dyDescent="0.3">
      <c r="A11" s="126"/>
    </row>
    <row r="12" spans="1:9" x14ac:dyDescent="0.3">
      <c r="A12" s="127" t="s">
        <v>0</v>
      </c>
      <c r="B12" s="118">
        <f>SUM(B2:B10)</f>
        <v>12</v>
      </c>
      <c r="C12" s="118">
        <f>B12*50</f>
        <v>600</v>
      </c>
    </row>
    <row r="14" spans="1:9" x14ac:dyDescent="0.3">
      <c r="A14" s="118" t="s">
        <v>144</v>
      </c>
      <c r="B14" s="118">
        <v>12</v>
      </c>
      <c r="C14" s="118">
        <v>600</v>
      </c>
    </row>
    <row r="15" spans="1:9" x14ac:dyDescent="0.3">
      <c r="A15" s="118" t="s">
        <v>145</v>
      </c>
      <c r="C15" s="128">
        <v>100</v>
      </c>
    </row>
    <row r="16" spans="1:9" x14ac:dyDescent="0.3">
      <c r="A16" s="118" t="s">
        <v>146</v>
      </c>
      <c r="B16" s="118">
        <v>0</v>
      </c>
      <c r="C16" s="118">
        <v>0</v>
      </c>
    </row>
    <row r="17" spans="1:3" s="129" customFormat="1" x14ac:dyDescent="0.3"/>
    <row r="18" spans="1:3" x14ac:dyDescent="0.3">
      <c r="A18" s="119" t="s">
        <v>138</v>
      </c>
      <c r="B18" s="119" t="s">
        <v>139</v>
      </c>
      <c r="C18" s="119" t="s">
        <v>140</v>
      </c>
    </row>
    <row r="19" spans="1:3" x14ac:dyDescent="0.3">
      <c r="A19" s="126">
        <v>44852</v>
      </c>
      <c r="B19" s="118">
        <v>1</v>
      </c>
      <c r="C19" s="118">
        <v>50</v>
      </c>
    </row>
    <row r="20" spans="1:3" x14ac:dyDescent="0.3">
      <c r="A20" s="126">
        <v>44858</v>
      </c>
      <c r="B20" s="118">
        <v>1</v>
      </c>
      <c r="C20" s="118">
        <v>50</v>
      </c>
    </row>
    <row r="21" spans="1:3" x14ac:dyDescent="0.3">
      <c r="A21" s="126">
        <v>44859</v>
      </c>
      <c r="B21" s="118">
        <v>1</v>
      </c>
      <c r="C21" s="118">
        <v>50</v>
      </c>
    </row>
    <row r="22" spans="1:3" x14ac:dyDescent="0.3">
      <c r="A22" s="126">
        <v>44861</v>
      </c>
      <c r="B22" s="118">
        <v>2.5</v>
      </c>
      <c r="C22" s="118">
        <v>125</v>
      </c>
    </row>
    <row r="23" spans="1:3" ht="17.25" customHeight="1" x14ac:dyDescent="0.3">
      <c r="A23" s="126">
        <v>44862</v>
      </c>
      <c r="B23" s="118">
        <v>1</v>
      </c>
      <c r="C23" s="118">
        <v>50</v>
      </c>
    </row>
    <row r="24" spans="1:3" ht="17.25" customHeight="1" x14ac:dyDescent="0.3">
      <c r="A24" s="126">
        <v>44871</v>
      </c>
      <c r="B24" s="118">
        <v>1.5</v>
      </c>
      <c r="C24" s="118">
        <v>75</v>
      </c>
    </row>
    <row r="25" spans="1:3" ht="17.25" customHeight="1" x14ac:dyDescent="0.3">
      <c r="A25" s="126">
        <v>44872</v>
      </c>
      <c r="B25" s="118">
        <v>2</v>
      </c>
      <c r="C25" s="118">
        <v>100</v>
      </c>
    </row>
    <row r="26" spans="1:3" x14ac:dyDescent="0.3">
      <c r="A26" s="126">
        <v>44872</v>
      </c>
      <c r="B26" s="118">
        <v>1</v>
      </c>
      <c r="C26" s="118">
        <v>50</v>
      </c>
    </row>
    <row r="27" spans="1:3" x14ac:dyDescent="0.3">
      <c r="A27" s="126">
        <v>44872</v>
      </c>
      <c r="B27" s="118">
        <v>2</v>
      </c>
      <c r="C27" s="118">
        <v>100</v>
      </c>
    </row>
    <row r="28" spans="1:3" x14ac:dyDescent="0.3">
      <c r="A28" s="126">
        <v>44872</v>
      </c>
      <c r="B28" s="118">
        <v>1</v>
      </c>
      <c r="C28" s="118">
        <v>50</v>
      </c>
    </row>
    <row r="29" spans="1:3" x14ac:dyDescent="0.3">
      <c r="A29" s="126">
        <v>44873</v>
      </c>
      <c r="B29" s="118">
        <v>1.5</v>
      </c>
      <c r="C29" s="118">
        <v>75</v>
      </c>
    </row>
    <row r="30" spans="1:3" x14ac:dyDescent="0.3">
      <c r="A30" s="126">
        <v>44886</v>
      </c>
      <c r="B30" s="118">
        <v>1.5</v>
      </c>
      <c r="C30" s="118">
        <v>75</v>
      </c>
    </row>
    <row r="31" spans="1:3" x14ac:dyDescent="0.3">
      <c r="A31" s="126">
        <v>44891</v>
      </c>
      <c r="B31" s="118">
        <v>0.5</v>
      </c>
      <c r="C31" s="118">
        <v>25</v>
      </c>
    </row>
    <row r="32" spans="1:3" x14ac:dyDescent="0.3">
      <c r="A32" s="126">
        <v>44892</v>
      </c>
      <c r="B32" s="118">
        <v>1.5</v>
      </c>
      <c r="C32" s="118">
        <v>75</v>
      </c>
    </row>
    <row r="33" spans="1:5" x14ac:dyDescent="0.3">
      <c r="A33" s="126">
        <v>44893</v>
      </c>
      <c r="B33" s="118">
        <v>1</v>
      </c>
      <c r="C33" s="118">
        <v>50</v>
      </c>
    </row>
    <row r="34" spans="1:5" x14ac:dyDescent="0.3">
      <c r="A34" s="127" t="s">
        <v>0</v>
      </c>
      <c r="B34" s="118">
        <f>SUM(B19:B33)</f>
        <v>20</v>
      </c>
      <c r="C34" s="118">
        <f>B34*50</f>
        <v>1000</v>
      </c>
    </row>
    <row r="36" spans="1:5" x14ac:dyDescent="0.3">
      <c r="A36" s="118" t="s">
        <v>144</v>
      </c>
      <c r="B36" s="118">
        <v>14</v>
      </c>
      <c r="C36" s="118">
        <v>700</v>
      </c>
      <c r="E36" s="119"/>
    </row>
    <row r="37" spans="1:5" x14ac:dyDescent="0.3">
      <c r="A37" s="118" t="s">
        <v>145</v>
      </c>
      <c r="C37" s="128">
        <v>100</v>
      </c>
    </row>
    <row r="38" spans="1:5" x14ac:dyDescent="0.3">
      <c r="A38" s="118" t="s">
        <v>146</v>
      </c>
      <c r="C38" s="118">
        <v>300</v>
      </c>
    </row>
    <row r="39" spans="1:5" s="129" customFormat="1" x14ac:dyDescent="0.3"/>
    <row r="40" spans="1:5" x14ac:dyDescent="0.3">
      <c r="A40" s="119" t="s">
        <v>138</v>
      </c>
      <c r="B40" s="119" t="s">
        <v>139</v>
      </c>
      <c r="C40" s="119" t="s">
        <v>140</v>
      </c>
    </row>
    <row r="41" spans="1:5" x14ac:dyDescent="0.3">
      <c r="A41" s="118" t="s">
        <v>185</v>
      </c>
      <c r="C41" s="118">
        <v>300</v>
      </c>
    </row>
    <row r="42" spans="1:5" x14ac:dyDescent="0.3">
      <c r="A42" s="126">
        <v>44899</v>
      </c>
      <c r="B42" s="118">
        <v>1.5</v>
      </c>
      <c r="C42" s="118">
        <v>75</v>
      </c>
    </row>
    <row r="43" spans="1:5" x14ac:dyDescent="0.3">
      <c r="A43" s="126"/>
    </row>
    <row r="45" spans="1:5" x14ac:dyDescent="0.3">
      <c r="A45" s="127" t="s">
        <v>0</v>
      </c>
      <c r="C45" s="118">
        <f>SUM(C41:C42)</f>
        <v>375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6BB1D-97D4-40DB-A9A2-15B041D53A4D}">
  <sheetPr>
    <tabColor theme="1"/>
    <pageSetUpPr fitToPage="1"/>
  </sheetPr>
  <dimension ref="B8:X47"/>
  <sheetViews>
    <sheetView showGridLines="0" topLeftCell="E16" zoomScale="85" zoomScaleNormal="85" workbookViewId="0">
      <selection activeCell="B9" sqref="B9:X47"/>
    </sheetView>
  </sheetViews>
  <sheetFormatPr defaultRowHeight="14.4" outlineLevelCol="1" x14ac:dyDescent="0.3"/>
  <cols>
    <col min="3" max="3" width="48.44140625" customWidth="1"/>
    <col min="4" max="4" width="10" hidden="1" customWidth="1" outlineLevel="1"/>
    <col min="5" max="5" width="14.33203125" bestFit="1" customWidth="1" collapsed="1"/>
    <col min="6" max="6" width="13.6640625" bestFit="1" customWidth="1"/>
    <col min="7" max="7" width="14.6640625" bestFit="1" customWidth="1"/>
    <col min="8" max="9" width="14.6640625" customWidth="1"/>
    <col min="10" max="11" width="14.6640625" hidden="1" customWidth="1" outlineLevel="1"/>
    <col min="12" max="12" width="8.88671875" collapsed="1"/>
  </cols>
  <sheetData>
    <row r="8" spans="2:24" ht="15" thickBot="1" x14ac:dyDescent="0.35"/>
    <row r="9" spans="2:24" x14ac:dyDescent="0.3">
      <c r="B9" s="93"/>
      <c r="C9" s="94"/>
      <c r="D9" s="95"/>
      <c r="E9" s="95"/>
      <c r="F9" s="95"/>
      <c r="G9" s="95"/>
      <c r="H9" s="95"/>
      <c r="I9" s="95"/>
      <c r="J9" s="95"/>
      <c r="K9" s="95"/>
      <c r="L9" s="96"/>
      <c r="M9" s="93"/>
      <c r="N9" s="95"/>
      <c r="O9" s="95"/>
      <c r="P9" s="95"/>
      <c r="Q9" s="95"/>
      <c r="R9" s="95"/>
      <c r="S9" s="95"/>
      <c r="T9" s="95"/>
      <c r="U9" s="95"/>
      <c r="V9" s="95"/>
      <c r="W9" s="95"/>
      <c r="X9" s="96"/>
    </row>
    <row r="10" spans="2:24" x14ac:dyDescent="0.3">
      <c r="B10" s="97"/>
      <c r="C10" s="7"/>
      <c r="L10" s="98"/>
      <c r="M10" s="97"/>
      <c r="X10" s="98"/>
    </row>
    <row r="11" spans="2:24" x14ac:dyDescent="0.3">
      <c r="B11" s="97"/>
      <c r="C11" s="7"/>
      <c r="L11" s="98"/>
      <c r="M11" s="97"/>
      <c r="X11" s="98"/>
    </row>
    <row r="12" spans="2:24" x14ac:dyDescent="0.3">
      <c r="B12" s="97"/>
      <c r="C12" s="7"/>
      <c r="L12" s="98"/>
      <c r="M12" s="97"/>
      <c r="X12" s="98"/>
    </row>
    <row r="13" spans="2:24" x14ac:dyDescent="0.3">
      <c r="B13" s="97"/>
      <c r="C13" s="7"/>
      <c r="L13" s="98"/>
      <c r="M13" s="97"/>
      <c r="X13" s="98"/>
    </row>
    <row r="14" spans="2:24" x14ac:dyDescent="0.3">
      <c r="B14" s="97"/>
      <c r="C14" s="7"/>
      <c r="L14" s="98"/>
      <c r="M14" s="97"/>
      <c r="X14" s="98"/>
    </row>
    <row r="15" spans="2:24" x14ac:dyDescent="0.3">
      <c r="B15" s="97"/>
      <c r="C15" s="7"/>
      <c r="L15" s="98"/>
      <c r="M15" s="97"/>
      <c r="X15" s="98"/>
    </row>
    <row r="16" spans="2:24" ht="15" thickBot="1" x14ac:dyDescent="0.35">
      <c r="B16" s="97"/>
      <c r="C16" s="7"/>
      <c r="L16" s="98"/>
      <c r="M16" s="97"/>
      <c r="X16" s="98"/>
    </row>
    <row r="17" spans="2:24" ht="15.6" x14ac:dyDescent="0.3">
      <c r="B17" s="99"/>
      <c r="C17" s="327"/>
      <c r="D17" s="328">
        <v>2023</v>
      </c>
      <c r="E17" s="328">
        <f t="shared" ref="E17:K17" si="0">+D17+1</f>
        <v>2024</v>
      </c>
      <c r="F17" s="328">
        <f t="shared" si="0"/>
        <v>2025</v>
      </c>
      <c r="G17" s="328">
        <f t="shared" si="0"/>
        <v>2026</v>
      </c>
      <c r="H17" s="328">
        <f t="shared" si="0"/>
        <v>2027</v>
      </c>
      <c r="I17" s="328">
        <f t="shared" si="0"/>
        <v>2028</v>
      </c>
      <c r="J17" s="328">
        <f t="shared" si="0"/>
        <v>2029</v>
      </c>
      <c r="K17" s="329">
        <f t="shared" si="0"/>
        <v>2030</v>
      </c>
      <c r="L17" s="100"/>
      <c r="M17" s="99"/>
      <c r="N17" s="101"/>
      <c r="O17" s="101"/>
      <c r="P17" s="101"/>
      <c r="Q17" s="101"/>
      <c r="R17" s="101"/>
      <c r="S17" s="101"/>
      <c r="T17" s="101"/>
      <c r="U17" s="101"/>
      <c r="V17" s="101"/>
      <c r="W17" s="101"/>
      <c r="X17" s="100"/>
    </row>
    <row r="18" spans="2:24" ht="6.6" customHeight="1" x14ac:dyDescent="0.3">
      <c r="B18" s="97"/>
      <c r="C18" s="330"/>
      <c r="D18" s="331"/>
      <c r="E18" s="331"/>
      <c r="F18" s="331"/>
      <c r="G18" s="331"/>
      <c r="H18" s="331"/>
      <c r="I18" s="332"/>
      <c r="J18" s="331"/>
      <c r="K18" s="332"/>
      <c r="L18" s="98"/>
      <c r="M18" s="97"/>
      <c r="X18" s="98"/>
    </row>
    <row r="19" spans="2:24" x14ac:dyDescent="0.3">
      <c r="B19" s="97"/>
      <c r="C19" s="238" t="s">
        <v>49</v>
      </c>
      <c r="D19" s="102">
        <f>SUMIF('Monthly Detail'!$1:$1,'Annual Summary'!D$17, 'Monthly Detail'!7:7)</f>
        <v>38861.679999999993</v>
      </c>
      <c r="E19" s="102">
        <f>SUMIF('Monthly Detail'!$1:$1,'Annual Summary'!E$17, 'Monthly Detail'!7:7)</f>
        <v>124287.94028178028</v>
      </c>
      <c r="F19" s="102">
        <f>SUMIF('Monthly Detail'!$1:$1,'Annual Summary'!F$17, 'Monthly Detail'!7:7)</f>
        <v>152805.43396347057</v>
      </c>
      <c r="G19" s="102">
        <f>SUMIF('Monthly Detail'!$1:$1,'Annual Summary'!G$17, 'Monthly Detail'!7:7)</f>
        <v>205968.85612530509</v>
      </c>
      <c r="H19" s="102">
        <f>SUMIF('Monthly Detail'!$1:$1,'Annual Summary'!H$17, 'Monthly Detail'!7:7)</f>
        <v>260690.5288168721</v>
      </c>
      <c r="I19" s="333">
        <f>SUMIF('Monthly Detail'!$1:$1,'Annual Summary'!I$17, 'Monthly Detail'!7:7)</f>
        <v>318511.4503037454</v>
      </c>
      <c r="J19" s="102">
        <f>SUMIF('Monthly Detail'!$1:$1,'Annual Summary'!J$17, 'Monthly Detail'!7:7)</f>
        <v>384520.04238760751</v>
      </c>
      <c r="K19" s="333">
        <f>SUMIF('Monthly Detail'!$1:$1,'Annual Summary'!K$17, 'Monthly Detail'!7:7)</f>
        <v>457416.60484936752</v>
      </c>
      <c r="L19" s="98"/>
      <c r="M19" s="97"/>
      <c r="X19" s="98"/>
    </row>
    <row r="20" spans="2:24" x14ac:dyDescent="0.3">
      <c r="B20" s="97"/>
      <c r="C20" s="238" t="s">
        <v>160</v>
      </c>
      <c r="D20" s="102">
        <f>SUMIF('Monthly Detail'!$1:$1,'Annual Summary'!D$17, 'Monthly Detail'!8:8)</f>
        <v>0</v>
      </c>
      <c r="E20" s="102">
        <f>SUMIF('Monthly Detail'!$1:$1,'Annual Summary'!E$17, 'Monthly Detail'!8:8)</f>
        <v>0</v>
      </c>
      <c r="F20" s="102">
        <f>SUMIF('Monthly Detail'!$1:$1,'Annual Summary'!F$17, 'Monthly Detail'!8:8)</f>
        <v>0</v>
      </c>
      <c r="G20" s="102">
        <f>SUMIF('Monthly Detail'!$1:$1,'Annual Summary'!G$17, 'Monthly Detail'!8:8)</f>
        <v>0</v>
      </c>
      <c r="H20" s="102">
        <f>SUMIF('Monthly Detail'!$1:$1,'Annual Summary'!H$17, 'Monthly Detail'!8:8)</f>
        <v>0</v>
      </c>
      <c r="I20" s="333">
        <f>SUMIF('Monthly Detail'!$1:$1,'Annual Summary'!I$17, 'Monthly Detail'!8:8)</f>
        <v>0</v>
      </c>
      <c r="J20" s="102">
        <f>SUMIF('Monthly Detail'!$1:$1,'Annual Summary'!J$17, 'Monthly Detail'!8:8)</f>
        <v>0</v>
      </c>
      <c r="K20" s="333">
        <f>SUMIF('Monthly Detail'!$1:$1,'Annual Summary'!K$17, 'Monthly Detail'!8:8)</f>
        <v>0</v>
      </c>
      <c r="L20" s="98"/>
      <c r="M20" s="97"/>
      <c r="X20" s="98"/>
    </row>
    <row r="21" spans="2:24" ht="15" thickBot="1" x14ac:dyDescent="0.35">
      <c r="B21" s="97"/>
      <c r="C21" s="240" t="s">
        <v>3</v>
      </c>
      <c r="D21" s="103">
        <f t="shared" ref="D21:K21" si="1">SUM(D19:D20)</f>
        <v>38861.679999999993</v>
      </c>
      <c r="E21" s="103">
        <f t="shared" si="1"/>
        <v>124287.94028178028</v>
      </c>
      <c r="F21" s="103">
        <f t="shared" si="1"/>
        <v>152805.43396347057</v>
      </c>
      <c r="G21" s="103">
        <f t="shared" si="1"/>
        <v>205968.85612530509</v>
      </c>
      <c r="H21" s="103">
        <f t="shared" si="1"/>
        <v>260690.5288168721</v>
      </c>
      <c r="I21" s="334">
        <f t="shared" si="1"/>
        <v>318511.4503037454</v>
      </c>
      <c r="J21" s="103">
        <f t="shared" si="1"/>
        <v>384520.04238760751</v>
      </c>
      <c r="K21" s="334">
        <f t="shared" si="1"/>
        <v>457416.60484936752</v>
      </c>
      <c r="L21" s="98"/>
      <c r="M21" s="97"/>
      <c r="X21" s="98"/>
    </row>
    <row r="22" spans="2:24" x14ac:dyDescent="0.3">
      <c r="B22" s="97"/>
      <c r="C22" s="481" t="s">
        <v>294</v>
      </c>
      <c r="D22" s="484">
        <f>SUMIF('Monthly Detail'!$1:$1,'Annual Summary'!D$17, 'Monthly Detail'!11:11)</f>
        <v>1088</v>
      </c>
      <c r="E22" s="484">
        <f>SUMIF('Monthly Detail'!$1:$1,'Annual Summary'!E$17, 'Monthly Detail'!11:11)</f>
        <v>2571.1300005620419</v>
      </c>
      <c r="F22" s="484">
        <f>SUMIF('Monthly Detail'!$1:$1,'Annual Summary'!F$17, 'Monthly Detail'!11:11)</f>
        <v>3194.8611095317192</v>
      </c>
      <c r="G22" s="484">
        <f>SUMIF('Monthly Detail'!$1:$1,'Annual Summary'!G$17, 'Monthly Detail'!11:11)</f>
        <v>3980.5361374879885</v>
      </c>
      <c r="H22" s="484">
        <f>SUMIF('Monthly Detail'!$1:$1,'Annual Summary'!H$17, 'Monthly Detail'!11:11)</f>
        <v>4780.8814460492513</v>
      </c>
      <c r="I22" s="485">
        <f>SUMIF('Monthly Detail'!$1:$1,'Annual Summary'!I$17, 'Monthly Detail'!11:11)</f>
        <v>5597.5270663938381</v>
      </c>
      <c r="J22" s="484">
        <f>SUMIF('Monthly Detail'!$1:$1,'Annual Summary'!J$17, 'Monthly Detail'!11:11)</f>
        <v>6425.5829049867534</v>
      </c>
      <c r="K22" s="485">
        <f>SUMIF('Monthly Detail'!$1:$1,'Annual Summary'!K$17, 'Monthly Detail'!11:11)</f>
        <v>7284.6093359679862</v>
      </c>
      <c r="L22" s="98"/>
      <c r="M22" s="97"/>
      <c r="X22" s="98"/>
    </row>
    <row r="23" spans="2:24" x14ac:dyDescent="0.3">
      <c r="B23" s="97"/>
      <c r="C23" s="242" t="s">
        <v>257</v>
      </c>
      <c r="D23" s="482">
        <f>AVERAGEIF('Monthly Detail'!$1:$1,'Annual Summary'!D$17, 'Monthly Detail'!37:37)</f>
        <v>6576.7187412747762</v>
      </c>
      <c r="E23" s="482">
        <f>AVERAGEIF('Monthly Detail'!$1:$1,'Annual Summary'!E$17, 'Monthly Detail'!37:37)</f>
        <v>9599.2686657504109</v>
      </c>
      <c r="F23" s="482">
        <f>AVERAGEIF('Monthly Detail'!$1:$1,'Annual Summary'!F$17, 'Monthly Detail'!37:37)</f>
        <v>13002.526068627958</v>
      </c>
      <c r="G23" s="482">
        <f>AVERAGEIF('Monthly Detail'!$1:$1,'Annual Summary'!G$17, 'Monthly Detail'!37:37)</f>
        <v>17526.310103179887</v>
      </c>
      <c r="H23" s="482">
        <f>AVERAGEIF('Monthly Detail'!$1:$1,'Annual Summary'!H$17, 'Monthly Detail'!37:37)</f>
        <v>22182.688853827727</v>
      </c>
      <c r="I23" s="483">
        <f>AVERAGEIF('Monthly Detail'!$1:$1,'Annual Summary'!I$17, 'Monthly Detail'!37:37)</f>
        <v>27102.789006318955</v>
      </c>
      <c r="J23" s="482">
        <f>AVERAGEIF('Monthly Detail'!$1:$1,'Annual Summary'!J$17, 'Monthly Detail'!37:37)</f>
        <v>32719.594751126609</v>
      </c>
      <c r="K23" s="483">
        <f>AVERAGEIF('Monthly Detail'!$1:$1,'Annual Summary'!K$17, 'Monthly Detail'!37:37)</f>
        <v>38922.511945478414</v>
      </c>
      <c r="L23" s="98"/>
      <c r="M23" s="97"/>
      <c r="X23" s="98"/>
    </row>
    <row r="24" spans="2:24" x14ac:dyDescent="0.3">
      <c r="B24" s="97"/>
      <c r="C24" s="242" t="s">
        <v>295</v>
      </c>
      <c r="D24" s="486">
        <f>AVERAGEIF('Monthly Detail'!$1:$1,'Annual Summary'!D$17, 'Monthly Detail'!13:13)</f>
        <v>72.75</v>
      </c>
      <c r="E24" s="486">
        <f>AVERAGEIF('Monthly Detail'!$1:$1,'Annual Summary'!E$17, 'Monthly Detail'!13:13)</f>
        <v>85.74958339263469</v>
      </c>
      <c r="F24" s="486">
        <f>AVERAGEIF('Monthly Detail'!$1:$1,'Annual Summary'!F$17, 'Monthly Detail'!13:13)</f>
        <v>90.624399528413733</v>
      </c>
      <c r="G24" s="486">
        <f>AVERAGEIF('Monthly Detail'!$1:$1,'Annual Summary'!G$17, 'Monthly Detail'!13:13)</f>
        <v>112.91060390223794</v>
      </c>
      <c r="H24" s="486">
        <f>AVERAGEIF('Monthly Detail'!$1:$1,'Annual Summary'!H$17, 'Monthly Detail'!13:13)</f>
        <v>135.61294072287629</v>
      </c>
      <c r="I24" s="487">
        <f>AVERAGEIF('Monthly Detail'!$1:$1,'Annual Summary'!I$17, 'Monthly Detail'!13:13)</f>
        <v>158.77764692886367</v>
      </c>
      <c r="J24" s="486">
        <f>AVERAGEIF('Monthly Detail'!$1:$1,'Annual Summary'!J$17, 'Monthly Detail'!13:13)</f>
        <v>182.2660117045954</v>
      </c>
      <c r="K24" s="487">
        <f>AVERAGEIF('Monthly Detail'!$1:$1,'Annual Summary'!K$17, 'Monthly Detail'!13:13)</f>
        <v>206.63287831249036</v>
      </c>
      <c r="L24" s="98"/>
      <c r="M24" s="97"/>
      <c r="X24" s="98"/>
    </row>
    <row r="25" spans="2:24" ht="10.95" customHeight="1" x14ac:dyDescent="0.3">
      <c r="B25" s="97"/>
      <c r="C25" s="335" t="s">
        <v>204</v>
      </c>
      <c r="D25" s="131"/>
      <c r="E25" s="131">
        <f t="shared" ref="E25:K25" si="2">(E21/D21)-1</f>
        <v>2.1982132599975168</v>
      </c>
      <c r="F25" s="131">
        <f>(F21/E21)-1</f>
        <v>0.22944698912088057</v>
      </c>
      <c r="G25" s="131">
        <f t="shared" si="2"/>
        <v>0.34791578272369339</v>
      </c>
      <c r="H25" s="131">
        <f t="shared" si="2"/>
        <v>0.26567935425283928</v>
      </c>
      <c r="I25" s="336">
        <f t="shared" si="2"/>
        <v>0.22179908778922641</v>
      </c>
      <c r="J25" s="131">
        <f t="shared" si="2"/>
        <v>0.20724087633557176</v>
      </c>
      <c r="K25" s="336">
        <f t="shared" si="2"/>
        <v>0.18957805686570195</v>
      </c>
      <c r="L25" s="98"/>
      <c r="M25" s="97"/>
      <c r="X25" s="98"/>
    </row>
    <row r="26" spans="2:24" ht="4.8" customHeight="1" x14ac:dyDescent="0.3">
      <c r="B26" s="97"/>
      <c r="C26" s="237"/>
      <c r="I26" s="98"/>
      <c r="K26" s="98"/>
      <c r="L26" s="98"/>
      <c r="M26" s="97"/>
      <c r="X26" s="98"/>
    </row>
    <row r="27" spans="2:24" x14ac:dyDescent="0.3">
      <c r="B27" s="97"/>
      <c r="C27" s="237" t="s">
        <v>220</v>
      </c>
      <c r="D27" s="102">
        <f>SUMIF('Monthly Detail'!$1:$1,'Annual Summary'!D$17, 'Monthly Detail'!54:54)</f>
        <v>768.85</v>
      </c>
      <c r="E27" s="102">
        <f>SUMIF('Monthly Detail'!$1:$1,'Annual Summary'!E$17, 'Monthly Detail'!54:54)</f>
        <v>4223.6793210726819</v>
      </c>
      <c r="F27" s="102">
        <f>SUMIF('Monthly Detail'!$1:$1,'Annual Summary'!F$17, 'Monthly Detail'!54:54)</f>
        <v>4728.252491254314</v>
      </c>
      <c r="G27" s="102">
        <f>SUMIF('Monthly Detail'!$1:$1,'Annual Summary'!G$17, 'Monthly Detail'!54:54)</f>
        <v>6373.2861576643127</v>
      </c>
      <c r="H27" s="102">
        <f>SUMIF('Monthly Detail'!$1:$1,'Annual Summary'!H$17, 'Monthly Detail'!54:54)</f>
        <v>8066.5367085011267</v>
      </c>
      <c r="I27" s="333">
        <f>SUMIF('Monthly Detail'!$1:$1,'Annual Summary'!I$17, 'Monthly Detail'!54:54)</f>
        <v>9855.6871920649846</v>
      </c>
      <c r="J27" s="102">
        <f>SUMIF('Monthly Detail'!$1:$1,'Annual Summary'!J$17, 'Monthly Detail'!54:54)</f>
        <v>11898.188442637804</v>
      </c>
      <c r="K27" s="333">
        <f>SUMIF('Monthly Detail'!$1:$1,'Annual Summary'!K$17, 'Monthly Detail'!54:54)</f>
        <v>14153.82388781503</v>
      </c>
      <c r="L27" s="98"/>
      <c r="M27" s="97"/>
      <c r="X27" s="98"/>
    </row>
    <row r="28" spans="2:24" x14ac:dyDescent="0.3">
      <c r="B28" s="97"/>
      <c r="C28" s="237" t="s">
        <v>221</v>
      </c>
      <c r="D28" s="102">
        <f>SUMIF('Monthly Detail'!$1:$1,'Annual Summary'!D$17, 'Monthly Detail'!55:55)</f>
        <v>62.29</v>
      </c>
      <c r="E28" s="102">
        <f>SUMIF('Monthly Detail'!$1:$1,'Annual Summary'!E$17, 'Monthly Detail'!55:55)</f>
        <v>2175.0903356954386</v>
      </c>
      <c r="F28" s="102">
        <f>SUMIF('Monthly Detail'!$1:$1,'Annual Summary'!F$17, 'Monthly Detail'!55:55)</f>
        <v>3040.283427113683</v>
      </c>
      <c r="G28" s="102">
        <f>SUMIF('Monthly Detail'!$1:$1,'Annual Summary'!G$17, 'Monthly Detail'!55:55)</f>
        <v>4098.0460153598142</v>
      </c>
      <c r="H28" s="102">
        <f>SUMIF('Monthly Detail'!$1:$1,'Annual Summary'!H$17, 'Monthly Detail'!55:55)</f>
        <v>5186.8122344190288</v>
      </c>
      <c r="I28" s="333">
        <f>SUMIF('Monthly Detail'!$1:$1,'Annual Summary'!I$17, 'Monthly Detail'!55:55)</f>
        <v>6337.2424565471701</v>
      </c>
      <c r="J28" s="102">
        <f>SUMIF('Monthly Detail'!$1:$1,'Annual Summary'!J$17, 'Monthly Detail'!55:55)</f>
        <v>7650.5781367929958</v>
      </c>
      <c r="K28" s="333">
        <f>SUMIF('Monthly Detail'!$1:$1,'Annual Summary'!K$17, 'Monthly Detail'!55:55)</f>
        <v>9100.9598738654349</v>
      </c>
      <c r="L28" s="98"/>
      <c r="M28" s="97"/>
      <c r="X28" s="98"/>
    </row>
    <row r="29" spans="2:24" x14ac:dyDescent="0.3">
      <c r="B29" s="97"/>
      <c r="C29" s="237" t="s">
        <v>332</v>
      </c>
      <c r="D29" s="102">
        <f>SUMIF('Monthly Detail'!$1:$1,'Annual Summary'!D$17, 'Monthly Detail'!56:56)</f>
        <v>0</v>
      </c>
      <c r="E29" s="102">
        <f>SUMIF('Monthly Detail'!$1:$1,'Annual Summary'!E$17, 'Monthly Detail'!56:56)</f>
        <v>0</v>
      </c>
      <c r="F29" s="102">
        <f>SUMIF('Monthly Detail'!$1:$1,'Annual Summary'!F$17, 'Monthly Detail'!56:56)</f>
        <v>0</v>
      </c>
      <c r="G29" s="102">
        <f>SUMIF('Monthly Detail'!$1:$1,'Annual Summary'!G$17, 'Monthly Detail'!56:56)</f>
        <v>3110.1621242421766</v>
      </c>
      <c r="H29" s="102">
        <f>SUMIF('Monthly Detail'!$1:$1,'Annual Summary'!H$17, 'Monthly Detail'!56:56)</f>
        <v>9150.9505497514438</v>
      </c>
      <c r="I29" s="333">
        <f>SUMIF('Monthly Detail'!$1:$1,'Annual Summary'!I$17, 'Monthly Detail'!56:56)</f>
        <v>18083.748037545338</v>
      </c>
      <c r="J29" s="102">
        <f>SUMIF('Monthly Detail'!$1:$1,'Annual Summary'!J$17, 'Monthly Detail'!56:56)</f>
        <v>33338.435554206408</v>
      </c>
      <c r="K29" s="333">
        <f>SUMIF('Monthly Detail'!$1:$1,'Annual Summary'!K$17, 'Monthly Detail'!56:56)</f>
        <v>52088.970947972892</v>
      </c>
      <c r="L29" s="98"/>
      <c r="M29" s="97"/>
      <c r="X29" s="98"/>
    </row>
    <row r="30" spans="2:24" ht="15.6" x14ac:dyDescent="0.3">
      <c r="B30" s="105"/>
      <c r="C30" s="253" t="s">
        <v>239</v>
      </c>
      <c r="D30" s="89">
        <f>SUM(D27:D29)</f>
        <v>831.14</v>
      </c>
      <c r="E30" s="89">
        <f t="shared" ref="E30:K30" si="3">SUM(E27:E29)</f>
        <v>6398.7696567681205</v>
      </c>
      <c r="F30" s="89">
        <f t="shared" si="3"/>
        <v>7768.5359183679975</v>
      </c>
      <c r="G30" s="89">
        <f t="shared" si="3"/>
        <v>13581.494297266303</v>
      </c>
      <c r="H30" s="89">
        <f t="shared" si="3"/>
        <v>22404.299492671598</v>
      </c>
      <c r="I30" s="254">
        <f>SUM(I27:I29)</f>
        <v>34276.677686157491</v>
      </c>
      <c r="J30" s="89">
        <f t="shared" si="3"/>
        <v>52887.202133637205</v>
      </c>
      <c r="K30" s="254">
        <f t="shared" si="3"/>
        <v>75343.754709653353</v>
      </c>
      <c r="L30" s="106"/>
      <c r="M30" s="105"/>
      <c r="N30" s="107"/>
      <c r="O30" s="107"/>
      <c r="P30" s="107"/>
      <c r="Q30" s="107"/>
      <c r="R30" s="107"/>
      <c r="S30" s="107"/>
      <c r="T30" s="107"/>
      <c r="U30" s="107"/>
      <c r="V30" s="107"/>
      <c r="W30" s="107"/>
      <c r="X30" s="106"/>
    </row>
    <row r="31" spans="2:24" ht="3" customHeight="1" x14ac:dyDescent="0.3">
      <c r="B31" s="97"/>
      <c r="C31" s="237"/>
      <c r="I31" s="98"/>
      <c r="K31" s="98"/>
      <c r="L31" s="98"/>
      <c r="M31" s="97"/>
      <c r="X31" s="98"/>
    </row>
    <row r="32" spans="2:24" ht="15.6" x14ac:dyDescent="0.3">
      <c r="B32" s="105"/>
      <c r="C32" s="253" t="s">
        <v>149</v>
      </c>
      <c r="D32" s="89">
        <f t="shared" ref="D32:K32" si="4">D21-D30</f>
        <v>38030.539999999994</v>
      </c>
      <c r="E32" s="89">
        <f t="shared" si="4"/>
        <v>117889.17062501215</v>
      </c>
      <c r="F32" s="89">
        <f t="shared" si="4"/>
        <v>145036.89804510257</v>
      </c>
      <c r="G32" s="89">
        <f t="shared" si="4"/>
        <v>192387.36182803879</v>
      </c>
      <c r="H32" s="89">
        <f t="shared" si="4"/>
        <v>238286.22932420051</v>
      </c>
      <c r="I32" s="254">
        <f t="shared" si="4"/>
        <v>284234.77261758794</v>
      </c>
      <c r="J32" s="89">
        <f t="shared" si="4"/>
        <v>331632.84025397029</v>
      </c>
      <c r="K32" s="254">
        <f t="shared" si="4"/>
        <v>382072.8501397142</v>
      </c>
      <c r="L32" s="106"/>
      <c r="M32" s="105"/>
      <c r="N32" s="107"/>
      <c r="O32" s="107"/>
      <c r="P32" s="107"/>
      <c r="Q32" s="107"/>
      <c r="R32" s="107"/>
      <c r="S32" s="107"/>
      <c r="T32" s="107"/>
      <c r="U32" s="107"/>
      <c r="V32" s="107"/>
      <c r="W32" s="107"/>
      <c r="X32" s="106"/>
    </row>
    <row r="33" spans="2:24" x14ac:dyDescent="0.3">
      <c r="B33" s="97"/>
      <c r="C33" s="255" t="s">
        <v>150</v>
      </c>
      <c r="D33" s="91">
        <f t="shared" ref="D33:K33" si="5">+D32/D21</f>
        <v>0.97861286490959731</v>
      </c>
      <c r="E33" s="91">
        <f t="shared" si="5"/>
        <v>0.94851656852417776</v>
      </c>
      <c r="F33" s="91">
        <f t="shared" si="5"/>
        <v>0.94916060432624971</v>
      </c>
      <c r="G33" s="91">
        <f t="shared" si="5"/>
        <v>0.93406044703669311</v>
      </c>
      <c r="H33" s="91">
        <f t="shared" si="5"/>
        <v>0.91405786932746613</v>
      </c>
      <c r="I33" s="256">
        <f t="shared" si="5"/>
        <v>0.89238478662707466</v>
      </c>
      <c r="J33" s="91">
        <f t="shared" si="5"/>
        <v>0.86245917948712447</v>
      </c>
      <c r="K33" s="256">
        <f t="shared" si="5"/>
        <v>0.83528417221656204</v>
      </c>
      <c r="L33" s="98"/>
      <c r="M33" s="97"/>
      <c r="X33" s="98"/>
    </row>
    <row r="34" spans="2:24" ht="3.6" customHeight="1" x14ac:dyDescent="0.3">
      <c r="B34" s="97"/>
      <c r="C34" s="237"/>
      <c r="I34" s="98"/>
      <c r="K34" s="98"/>
      <c r="L34" s="98"/>
      <c r="M34" s="97"/>
      <c r="X34" s="98"/>
    </row>
    <row r="35" spans="2:24" x14ac:dyDescent="0.3">
      <c r="B35" s="97"/>
      <c r="C35" s="237" t="s">
        <v>342</v>
      </c>
      <c r="D35" s="77"/>
      <c r="E35" s="77">
        <f>SUMIF('Monthly Detail'!$1:$1,'Annual Summary'!E$17, 'Monthly Detail'!$65:$65)</f>
        <v>174.73000000000002</v>
      </c>
      <c r="F35" s="77">
        <f>SUMIF('Monthly Detail'!$1:$1,'Annual Summary'!F$17, 'Monthly Detail'!$65:$65)</f>
        <v>660.00000000000011</v>
      </c>
      <c r="G35" s="77">
        <f>SUMIF('Monthly Detail'!$1:$1,'Annual Summary'!G$17, 'Monthly Detail'!$65:$65)</f>
        <v>726.00000000000011</v>
      </c>
      <c r="H35" s="77">
        <f>SUMIF('Monthly Detail'!$1:$1,'Annual Summary'!H$17, 'Monthly Detail'!$65:$65)</f>
        <v>798.60000000000048</v>
      </c>
      <c r="I35" s="252">
        <f>SUMIF('Monthly Detail'!$1:$1,'Annual Summary'!I$17, 'Monthly Detail'!$65:$65)</f>
        <v>878.46000000000049</v>
      </c>
      <c r="J35" s="77">
        <f>SUMIF('Monthly Detail'!$1:$1,'Annual Summary'!J$17, 'Monthly Detail'!$65:$65)</f>
        <v>966.30600000000084</v>
      </c>
      <c r="K35" s="252">
        <f>SUMIF('Monthly Detail'!$1:$1,'Annual Summary'!K$17, 'Monthly Detail'!$65:$65)</f>
        <v>1062.9366000000007</v>
      </c>
      <c r="L35" s="98"/>
      <c r="M35" s="97"/>
      <c r="X35" s="98"/>
    </row>
    <row r="36" spans="2:24" x14ac:dyDescent="0.3">
      <c r="B36" s="97"/>
      <c r="C36" s="237" t="s">
        <v>187</v>
      </c>
      <c r="D36" s="77">
        <f>SUMIF('Monthly Detail'!$1:$1,'Annual Summary'!D$17, 'Monthly Detail'!$79:$79)</f>
        <v>2525.38</v>
      </c>
      <c r="E36" s="77">
        <f>SUMIF('Monthly Detail'!$1:$1,'Annual Summary'!E$17, 'Monthly Detail'!$79:$79)</f>
        <v>21582.96333333333</v>
      </c>
      <c r="F36" s="77">
        <f>SUMIF('Monthly Detail'!$1:$1,'Annual Summary'!F$17, 'Monthly Detail'!$79:$79)</f>
        <v>36731.758666666683</v>
      </c>
      <c r="G36" s="77">
        <f>SUMIF('Monthly Detail'!$1:$1,'Annual Summary'!G$17, 'Monthly Detail'!$79:$79)</f>
        <v>39085.785066666678</v>
      </c>
      <c r="H36" s="77">
        <f>SUMIF('Monthly Detail'!$1:$1,'Annual Summary'!H$17, 'Monthly Detail'!$79:$79)</f>
        <v>41675.214106666659</v>
      </c>
      <c r="I36" s="252">
        <f>SUMIF('Monthly Detail'!$1:$1,'Annual Summary'!I$17, 'Monthly Detail'!$79:$79)</f>
        <v>44523.586050666687</v>
      </c>
      <c r="J36" s="77">
        <f>SUMIF('Monthly Detail'!$1:$1,'Annual Summary'!J$17, 'Monthly Detail'!$79:$79)</f>
        <v>47656.795189066674</v>
      </c>
      <c r="K36" s="252">
        <f>SUMIF('Monthly Detail'!$1:$1,'Annual Summary'!K$17, 'Monthly Detail'!$79:$79)</f>
        <v>51103.325241306673</v>
      </c>
      <c r="L36" s="98"/>
      <c r="M36" s="97"/>
      <c r="X36" s="98"/>
    </row>
    <row r="37" spans="2:24" x14ac:dyDescent="0.3">
      <c r="B37" s="97"/>
      <c r="C37" s="337" t="s">
        <v>159</v>
      </c>
      <c r="D37" s="104">
        <f>SUM(D36:D36)</f>
        <v>2525.38</v>
      </c>
      <c r="E37" s="104">
        <f>SUM(E35:E36)</f>
        <v>21757.693333333329</v>
      </c>
      <c r="F37" s="104">
        <f t="shared" ref="F37:K37" si="6">SUM(F35:F36)</f>
        <v>37391.758666666683</v>
      </c>
      <c r="G37" s="104">
        <f t="shared" si="6"/>
        <v>39811.785066666678</v>
      </c>
      <c r="H37" s="104">
        <f t="shared" si="6"/>
        <v>42473.814106666658</v>
      </c>
      <c r="I37" s="338">
        <f t="shared" si="6"/>
        <v>45402.046050666686</v>
      </c>
      <c r="J37" s="104">
        <f t="shared" si="6"/>
        <v>48623.101189066678</v>
      </c>
      <c r="K37" s="338">
        <f t="shared" si="6"/>
        <v>52166.261841306674</v>
      </c>
      <c r="L37" s="98"/>
      <c r="M37" s="97"/>
      <c r="X37" s="98"/>
    </row>
    <row r="38" spans="2:24" ht="3" customHeight="1" x14ac:dyDescent="0.3">
      <c r="B38" s="97"/>
      <c r="C38" s="237"/>
      <c r="I38" s="98"/>
      <c r="K38" s="98"/>
      <c r="L38" s="98"/>
      <c r="M38" s="97"/>
      <c r="X38" s="98"/>
    </row>
    <row r="39" spans="2:24" ht="15.6" x14ac:dyDescent="0.3">
      <c r="B39" s="105"/>
      <c r="C39" s="253" t="s">
        <v>152</v>
      </c>
      <c r="D39" s="89">
        <f t="shared" ref="D39:K39" si="7">D32-D37</f>
        <v>35505.159999999996</v>
      </c>
      <c r="E39" s="89">
        <f t="shared" si="7"/>
        <v>96131.477291678821</v>
      </c>
      <c r="F39" s="89">
        <f t="shared" si="7"/>
        <v>107645.13937843588</v>
      </c>
      <c r="G39" s="89">
        <f t="shared" si="7"/>
        <v>152575.5767613721</v>
      </c>
      <c r="H39" s="89">
        <f t="shared" si="7"/>
        <v>195812.41521753385</v>
      </c>
      <c r="I39" s="254">
        <f t="shared" si="7"/>
        <v>238832.72656692125</v>
      </c>
      <c r="J39" s="89">
        <f t="shared" si="7"/>
        <v>283009.73906490364</v>
      </c>
      <c r="K39" s="254">
        <f t="shared" si="7"/>
        <v>329906.5882984075</v>
      </c>
      <c r="L39" s="106"/>
      <c r="M39" s="105"/>
      <c r="N39" s="107"/>
      <c r="O39" s="107"/>
      <c r="P39" s="107"/>
      <c r="Q39" s="107"/>
      <c r="R39" s="107"/>
      <c r="S39" s="107"/>
      <c r="T39" s="107"/>
      <c r="U39" s="107"/>
      <c r="V39" s="107"/>
      <c r="W39" s="107"/>
      <c r="X39" s="106"/>
    </row>
    <row r="40" spans="2:24" x14ac:dyDescent="0.3">
      <c r="B40" s="97"/>
      <c r="C40" s="255" t="s">
        <v>153</v>
      </c>
      <c r="D40" s="91">
        <f t="shared" ref="D40:K40" si="8">D39/D21</f>
        <v>0.91362905566614727</v>
      </c>
      <c r="E40" s="91">
        <f t="shared" si="8"/>
        <v>0.77345780349834159</v>
      </c>
      <c r="F40" s="91">
        <f t="shared" si="8"/>
        <v>0.70445884407598591</v>
      </c>
      <c r="G40" s="91">
        <f t="shared" si="8"/>
        <v>0.74077013210458298</v>
      </c>
      <c r="H40" s="91">
        <f t="shared" si="8"/>
        <v>0.75112976334896564</v>
      </c>
      <c r="I40" s="256">
        <f t="shared" si="8"/>
        <v>0.7498403160676349</v>
      </c>
      <c r="J40" s="91">
        <f t="shared" si="8"/>
        <v>0.73600777038202214</v>
      </c>
      <c r="K40" s="256">
        <f t="shared" si="8"/>
        <v>0.72123876746243065</v>
      </c>
      <c r="L40" s="98"/>
      <c r="M40" s="97"/>
      <c r="X40" s="98"/>
    </row>
    <row r="41" spans="2:24" ht="3" customHeight="1" x14ac:dyDescent="0.3">
      <c r="B41" s="97"/>
      <c r="C41" s="261"/>
      <c r="D41" s="83"/>
      <c r="E41" s="83"/>
      <c r="F41" s="83"/>
      <c r="G41" s="83"/>
      <c r="H41" s="83"/>
      <c r="I41" s="262"/>
      <c r="J41" s="83"/>
      <c r="K41" s="262"/>
      <c r="L41" s="98"/>
      <c r="M41" s="97"/>
      <c r="X41" s="98"/>
    </row>
    <row r="42" spans="2:24" x14ac:dyDescent="0.3">
      <c r="B42" s="97"/>
      <c r="C42" s="237" t="s">
        <v>154</v>
      </c>
      <c r="D42" s="77">
        <f>SUMIF('Monthly Detail'!$1:$1,'Annual Summary'!D$17, 'Monthly Detail'!84:84)</f>
        <v>0</v>
      </c>
      <c r="E42" s="77">
        <f>SUMIF('Monthly Detail'!$1:$1,'Annual Summary'!E$17, 'Monthly Detail'!84:84)</f>
        <v>0</v>
      </c>
      <c r="F42" s="77">
        <f>SUMIF('Monthly Detail'!$1:$1,'Annual Summary'!F$17, 'Monthly Detail'!84:84)</f>
        <v>0</v>
      </c>
      <c r="G42" s="77">
        <f>SUMIF('Monthly Detail'!$1:$1,'Annual Summary'!G$17, 'Monthly Detail'!84:84)</f>
        <v>0</v>
      </c>
      <c r="H42" s="77">
        <f>SUMIF('Monthly Detail'!$1:$1,'Annual Summary'!H$17, 'Monthly Detail'!84:84)</f>
        <v>0</v>
      </c>
      <c r="I42" s="252">
        <f>SUMIF('Monthly Detail'!$1:$1,'Annual Summary'!I$17, 'Monthly Detail'!84:84)</f>
        <v>0</v>
      </c>
      <c r="J42" s="77">
        <f>SUMIF('Monthly Detail'!$1:$1,'Annual Summary'!J$17, 'Monthly Detail'!84:84)</f>
        <v>0</v>
      </c>
      <c r="K42" s="252">
        <f>SUMIF('Monthly Detail'!$1:$1,'Annual Summary'!K$17, 'Monthly Detail'!84:84)</f>
        <v>0</v>
      </c>
      <c r="L42" s="98"/>
      <c r="M42" s="97"/>
      <c r="X42" s="98"/>
    </row>
    <row r="43" spans="2:24" ht="15.6" x14ac:dyDescent="0.3">
      <c r="B43" s="105"/>
      <c r="C43" s="253" t="s">
        <v>12</v>
      </c>
      <c r="D43" s="89">
        <f t="shared" ref="D43:K43" si="9">D39+D42</f>
        <v>35505.159999999996</v>
      </c>
      <c r="E43" s="89">
        <f t="shared" si="9"/>
        <v>96131.477291678821</v>
      </c>
      <c r="F43" s="89">
        <f t="shared" si="9"/>
        <v>107645.13937843588</v>
      </c>
      <c r="G43" s="89">
        <f t="shared" si="9"/>
        <v>152575.5767613721</v>
      </c>
      <c r="H43" s="89">
        <f t="shared" si="9"/>
        <v>195812.41521753385</v>
      </c>
      <c r="I43" s="254">
        <f t="shared" si="9"/>
        <v>238832.72656692125</v>
      </c>
      <c r="J43" s="89">
        <f t="shared" si="9"/>
        <v>283009.73906490364</v>
      </c>
      <c r="K43" s="254">
        <f t="shared" si="9"/>
        <v>329906.5882984075</v>
      </c>
      <c r="L43" s="106"/>
      <c r="M43" s="105"/>
      <c r="N43" s="107"/>
      <c r="O43" s="107"/>
      <c r="P43" s="107"/>
      <c r="Q43" s="107"/>
      <c r="R43" s="107"/>
      <c r="S43" s="107"/>
      <c r="T43" s="107"/>
      <c r="U43" s="107"/>
      <c r="V43" s="107"/>
      <c r="W43" s="107"/>
      <c r="X43" s="106"/>
    </row>
    <row r="44" spans="2:24" ht="15" thickBot="1" x14ac:dyDescent="0.35">
      <c r="B44" s="97"/>
      <c r="C44" s="339" t="s">
        <v>155</v>
      </c>
      <c r="D44" s="340">
        <f t="shared" ref="D44:K44" si="10">D43/D21</f>
        <v>0.91362905566614727</v>
      </c>
      <c r="E44" s="340">
        <f t="shared" si="10"/>
        <v>0.77345780349834159</v>
      </c>
      <c r="F44" s="340">
        <f t="shared" si="10"/>
        <v>0.70445884407598591</v>
      </c>
      <c r="G44" s="340">
        <f t="shared" si="10"/>
        <v>0.74077013210458298</v>
      </c>
      <c r="H44" s="340">
        <f t="shared" si="10"/>
        <v>0.75112976334896564</v>
      </c>
      <c r="I44" s="341">
        <f t="shared" si="10"/>
        <v>0.7498403160676349</v>
      </c>
      <c r="J44" s="340">
        <f t="shared" si="10"/>
        <v>0.73600777038202214</v>
      </c>
      <c r="K44" s="341">
        <f t="shared" si="10"/>
        <v>0.72123876746243065</v>
      </c>
      <c r="L44" s="98"/>
      <c r="M44" s="97"/>
      <c r="X44" s="98"/>
    </row>
    <row r="45" spans="2:24" x14ac:dyDescent="0.3">
      <c r="B45" s="97"/>
      <c r="C45" s="7"/>
      <c r="L45" s="98"/>
      <c r="M45" s="97"/>
      <c r="X45" s="98"/>
    </row>
    <row r="46" spans="2:24" x14ac:dyDescent="0.3">
      <c r="B46" s="97"/>
      <c r="C46" s="7"/>
      <c r="L46" s="98"/>
      <c r="M46" s="97"/>
      <c r="X46" s="98"/>
    </row>
    <row r="47" spans="2:24" ht="15" thickBot="1" x14ac:dyDescent="0.35">
      <c r="B47" s="108"/>
      <c r="C47" s="109"/>
      <c r="D47" s="110"/>
      <c r="E47" s="110"/>
      <c r="F47" s="110"/>
      <c r="G47" s="110"/>
      <c r="H47" s="110"/>
      <c r="I47" s="110"/>
      <c r="J47" s="110"/>
      <c r="K47" s="110"/>
      <c r="L47" s="111"/>
      <c r="M47" s="108"/>
      <c r="N47" s="110"/>
      <c r="O47" s="110"/>
      <c r="P47" s="110"/>
      <c r="Q47" s="110"/>
      <c r="R47" s="110"/>
      <c r="S47" s="110"/>
      <c r="T47" s="110"/>
      <c r="U47" s="110"/>
      <c r="V47" s="110"/>
      <c r="W47" s="110"/>
      <c r="X47" s="111"/>
    </row>
  </sheetData>
  <printOptions horizontalCentered="1" verticalCentered="1"/>
  <pageMargins left="0.7" right="0.7" top="0.75" bottom="0.75" header="0.3" footer="0.3"/>
  <pageSetup scale="49" orientation="landscape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C0495-EE2C-4571-93A0-2DD2C9D07CA8}">
  <sheetPr>
    <tabColor theme="1"/>
    <pageSetUpPr fitToPage="1"/>
  </sheetPr>
  <dimension ref="B10:T31"/>
  <sheetViews>
    <sheetView showGridLines="0" topLeftCell="A26" workbookViewId="0">
      <selection activeCell="M23" sqref="M23"/>
    </sheetView>
  </sheetViews>
  <sheetFormatPr defaultRowHeight="14.4" x14ac:dyDescent="0.3"/>
  <cols>
    <col min="2" max="2" width="34" bestFit="1" customWidth="1"/>
    <col min="3" max="9" width="11.5546875" hidden="1" customWidth="1"/>
    <col min="10" max="10" width="11.5546875" bestFit="1" customWidth="1"/>
    <col min="11" max="11" width="11.6640625" bestFit="1" customWidth="1"/>
    <col min="12" max="14" width="11.5546875" bestFit="1" customWidth="1"/>
    <col min="15" max="15" width="2.6640625" customWidth="1"/>
    <col min="16" max="16" width="9.88671875" bestFit="1" customWidth="1"/>
  </cols>
  <sheetData>
    <row r="10" spans="2:16" ht="15.6" x14ac:dyDescent="0.3">
      <c r="B10" s="69"/>
      <c r="C10" s="70" t="str">
        <f>TEXT('Monthly Detail'!D4,"mmmm")</f>
        <v>January</v>
      </c>
      <c r="D10" s="70" t="str">
        <f>TEXT('Monthly Detail'!E4,"mmmm")</f>
        <v>February</v>
      </c>
      <c r="E10" s="70" t="str">
        <f>TEXT('Monthly Detail'!F4,"mmmm")</f>
        <v>March</v>
      </c>
      <c r="F10" s="70" t="str">
        <f>TEXT('Monthly Detail'!G4,"mmmm")</f>
        <v>April</v>
      </c>
      <c r="G10" s="70" t="str">
        <f>TEXT('Monthly Detail'!H4,"mmmm")</f>
        <v>May</v>
      </c>
      <c r="H10" s="70" t="str">
        <f>TEXT('Monthly Detail'!I4,"mmmm")</f>
        <v>June</v>
      </c>
      <c r="I10" s="70" t="str">
        <f>TEXT('Monthly Detail'!J4,"mmmm")</f>
        <v>July</v>
      </c>
      <c r="J10" s="70" t="str">
        <f>TEXT('Monthly Detail'!K4,"mmmm")</f>
        <v>August</v>
      </c>
      <c r="K10" s="70" t="str">
        <f>TEXT('Monthly Detail'!L4,"mmmm")</f>
        <v>September</v>
      </c>
      <c r="L10" s="70" t="str">
        <f>TEXT('Monthly Detail'!M4,"mmmm")</f>
        <v>October</v>
      </c>
      <c r="M10" s="205" t="str">
        <f>TEXT('Monthly Detail'!N4,"mmmm")</f>
        <v>November</v>
      </c>
      <c r="N10" s="70" t="str">
        <f>TEXT('Monthly Detail'!O4,"mmmm")</f>
        <v>December</v>
      </c>
      <c r="O10" s="71"/>
      <c r="P10" s="72" t="s">
        <v>0</v>
      </c>
    </row>
    <row r="11" spans="2:16" ht="6.6" customHeight="1" x14ac:dyDescent="0.3">
      <c r="B11" s="7"/>
      <c r="C11" s="92">
        <v>44957</v>
      </c>
      <c r="D11" s="92">
        <v>44985</v>
      </c>
      <c r="E11" s="92">
        <v>45016</v>
      </c>
      <c r="F11" s="92">
        <v>45046</v>
      </c>
      <c r="G11" s="92">
        <v>45077</v>
      </c>
      <c r="H11" s="92">
        <v>45107</v>
      </c>
      <c r="I11" s="92">
        <v>45138</v>
      </c>
      <c r="J11" s="92">
        <v>45169</v>
      </c>
      <c r="K11" s="92">
        <v>45199</v>
      </c>
      <c r="L11" s="92">
        <v>45230</v>
      </c>
      <c r="M11" s="206">
        <v>45260</v>
      </c>
      <c r="N11" s="92">
        <v>45291</v>
      </c>
      <c r="O11" s="92">
        <v>45322</v>
      </c>
    </row>
    <row r="12" spans="2:16" x14ac:dyDescent="0.3">
      <c r="B12" s="73" t="s">
        <v>49</v>
      </c>
      <c r="C12" s="74">
        <f>SUMIF('Monthly Detail'!$4:$4, '2023 Overview'!C$11, 'Monthly Detail'!7:7)</f>
        <v>0</v>
      </c>
      <c r="D12" s="74">
        <f>SUMIF('Monthly Detail'!$4:$4, '2023 Overview'!D$11, 'Monthly Detail'!7:7)</f>
        <v>0</v>
      </c>
      <c r="E12" s="74">
        <f>SUMIF('Monthly Detail'!$4:$4, '2023 Overview'!E$11, 'Monthly Detail'!7:7)</f>
        <v>0</v>
      </c>
      <c r="F12" s="74">
        <f>SUMIF('Monthly Detail'!$4:$4, '2023 Overview'!F$11, 'Monthly Detail'!7:7)</f>
        <v>0</v>
      </c>
      <c r="G12" s="74">
        <f>SUMIF('Monthly Detail'!$4:$4, '2023 Overview'!G$11, 'Monthly Detail'!7:7)</f>
        <v>0</v>
      </c>
      <c r="H12" s="74">
        <f>SUMIF('Monthly Detail'!$4:$4, '2023 Overview'!H$11, 'Monthly Detail'!7:7)</f>
        <v>0</v>
      </c>
      <c r="I12" s="74">
        <f>SUMIF('Monthly Detail'!$4:$4, '2023 Overview'!I$11, 'Monthly Detail'!7:7)</f>
        <v>0</v>
      </c>
      <c r="J12" s="74">
        <f>SUMIF('Monthly Detail'!$4:$4, '2023 Overview'!J$11, 'Monthly Detail'!7:7)</f>
        <v>2014.46</v>
      </c>
      <c r="K12" s="74">
        <f>SUMIF('Monthly Detail'!$4:$4, '2023 Overview'!K$11, 'Monthly Detail'!7:7)</f>
        <v>8867.16</v>
      </c>
      <c r="L12" s="74">
        <f>SUMIF('Monthly Detail'!$4:$4, '2023 Overview'!L$11, 'Monthly Detail'!7:7)</f>
        <v>8353.65</v>
      </c>
      <c r="M12" s="207">
        <f>SUMIF('Monthly Detail'!$4:$4, '2023 Overview'!M$11, 'Monthly Detail'!7:7)</f>
        <v>9035.31</v>
      </c>
      <c r="N12" s="74">
        <f>SUMIF('Monthly Detail'!$4:$4, '2023 Overview'!N$11, 'Monthly Detail'!7:7)</f>
        <v>10591.1</v>
      </c>
      <c r="O12" s="74"/>
      <c r="P12" s="74">
        <f>SUM(C12:O12)</f>
        <v>38861.679999999993</v>
      </c>
    </row>
    <row r="13" spans="2:16" x14ac:dyDescent="0.3">
      <c r="B13" s="73" t="s">
        <v>158</v>
      </c>
      <c r="C13" s="74">
        <f>SUMIF('Monthly Detail'!$4:$4, '2023 Overview'!C$11, 'Monthly Detail'!8:8)</f>
        <v>0</v>
      </c>
      <c r="D13" s="74">
        <f>SUMIF('Monthly Detail'!$4:$4, '2023 Overview'!D$11, 'Monthly Detail'!8:8)</f>
        <v>0</v>
      </c>
      <c r="E13" s="74">
        <f>SUMIF('Monthly Detail'!$4:$4, '2023 Overview'!E$11, 'Monthly Detail'!8:8)</f>
        <v>0</v>
      </c>
      <c r="F13" s="74">
        <f>SUMIF('Monthly Detail'!$4:$4, '2023 Overview'!F$11, 'Monthly Detail'!8:8)</f>
        <v>0</v>
      </c>
      <c r="G13" s="74">
        <f>SUMIF('Monthly Detail'!$4:$4, '2023 Overview'!G$11, 'Monthly Detail'!8:8)</f>
        <v>0</v>
      </c>
      <c r="H13" s="74">
        <f>SUMIF('Monthly Detail'!$4:$4, '2023 Overview'!H$11, 'Monthly Detail'!8:8)</f>
        <v>0</v>
      </c>
      <c r="I13" s="74">
        <f>SUMIF('Monthly Detail'!$4:$4, '2023 Overview'!I$11, 'Monthly Detail'!8:8)</f>
        <v>0</v>
      </c>
      <c r="J13" s="74">
        <f>SUMIF('Monthly Detail'!$4:$4, '2023 Overview'!J$11, 'Monthly Detail'!8:8)</f>
        <v>0</v>
      </c>
      <c r="K13" s="74">
        <f>SUMIF('Monthly Detail'!$4:$4, '2023 Overview'!K$11, 'Monthly Detail'!8:8)</f>
        <v>0</v>
      </c>
      <c r="L13" s="74">
        <f>SUMIF('Monthly Detail'!$4:$4, '2023 Overview'!L$11, 'Monthly Detail'!8:8)</f>
        <v>0</v>
      </c>
      <c r="M13" s="207">
        <f>SUMIF('Monthly Detail'!$4:$4, '2023 Overview'!M$11, 'Monthly Detail'!8:8)</f>
        <v>0</v>
      </c>
      <c r="N13" s="74">
        <f>SUMIF('Monthly Detail'!$4:$4, '2023 Overview'!N$11, 'Monthly Detail'!8:8)</f>
        <v>0</v>
      </c>
      <c r="O13" s="74"/>
      <c r="P13" s="74"/>
    </row>
    <row r="14" spans="2:16" x14ac:dyDescent="0.3">
      <c r="B14" s="75" t="s">
        <v>3</v>
      </c>
      <c r="C14" s="75">
        <f>SUM(C12:C13)</f>
        <v>0</v>
      </c>
      <c r="D14" s="75">
        <f t="shared" ref="D14:N14" si="0">SUM(D12:D13)</f>
        <v>0</v>
      </c>
      <c r="E14" s="75">
        <f t="shared" si="0"/>
        <v>0</v>
      </c>
      <c r="F14" s="75">
        <f t="shared" si="0"/>
        <v>0</v>
      </c>
      <c r="G14" s="75">
        <f t="shared" si="0"/>
        <v>0</v>
      </c>
      <c r="H14" s="75">
        <f t="shared" si="0"/>
        <v>0</v>
      </c>
      <c r="I14" s="75">
        <f t="shared" si="0"/>
        <v>0</v>
      </c>
      <c r="J14" s="75">
        <f t="shared" si="0"/>
        <v>2014.46</v>
      </c>
      <c r="K14" s="75">
        <f t="shared" si="0"/>
        <v>8867.16</v>
      </c>
      <c r="L14" s="75">
        <f t="shared" si="0"/>
        <v>8353.65</v>
      </c>
      <c r="M14" s="208">
        <f t="shared" si="0"/>
        <v>9035.31</v>
      </c>
      <c r="N14" s="75">
        <f t="shared" si="0"/>
        <v>10591.1</v>
      </c>
      <c r="O14" s="76"/>
      <c r="P14" s="75">
        <f>SUM(P12:P12)</f>
        <v>38861.679999999993</v>
      </c>
    </row>
    <row r="15" spans="2:16" ht="3" customHeight="1" x14ac:dyDescent="0.3">
      <c r="B15" s="7"/>
      <c r="C15" s="77"/>
      <c r="D15" s="77"/>
      <c r="E15" s="77"/>
      <c r="F15" s="77"/>
      <c r="G15" s="77"/>
      <c r="H15" s="77"/>
      <c r="I15" s="77"/>
      <c r="J15" s="77"/>
      <c r="K15" s="77"/>
      <c r="L15" s="77"/>
      <c r="M15" s="209"/>
      <c r="N15" s="77"/>
      <c r="P15" s="77"/>
    </row>
    <row r="16" spans="2:16" ht="15.6" x14ac:dyDescent="0.3">
      <c r="B16" s="88" t="s">
        <v>149</v>
      </c>
      <c r="C16" s="89">
        <f>C14</f>
        <v>0</v>
      </c>
      <c r="D16" s="89">
        <f t="shared" ref="D16:N16" si="1">D14</f>
        <v>0</v>
      </c>
      <c r="E16" s="89">
        <f t="shared" si="1"/>
        <v>0</v>
      </c>
      <c r="F16" s="89">
        <f t="shared" si="1"/>
        <v>0</v>
      </c>
      <c r="G16" s="89">
        <f t="shared" si="1"/>
        <v>0</v>
      </c>
      <c r="H16" s="89">
        <f t="shared" si="1"/>
        <v>0</v>
      </c>
      <c r="I16" s="89">
        <f t="shared" si="1"/>
        <v>0</v>
      </c>
      <c r="J16" s="89">
        <f t="shared" si="1"/>
        <v>2014.46</v>
      </c>
      <c r="K16" s="89">
        <f t="shared" si="1"/>
        <v>8867.16</v>
      </c>
      <c r="L16" s="89">
        <f t="shared" si="1"/>
        <v>8353.65</v>
      </c>
      <c r="M16" s="210">
        <f t="shared" si="1"/>
        <v>9035.31</v>
      </c>
      <c r="N16" s="89">
        <f t="shared" si="1"/>
        <v>10591.1</v>
      </c>
      <c r="O16" s="78"/>
      <c r="P16" s="89">
        <f>P14</f>
        <v>38861.679999999993</v>
      </c>
    </row>
    <row r="17" spans="2:20" x14ac:dyDescent="0.3">
      <c r="B17" s="90" t="s">
        <v>150</v>
      </c>
      <c r="C17" s="91" t="e">
        <f t="shared" ref="C17:N17" si="2">C16/C14</f>
        <v>#DIV/0!</v>
      </c>
      <c r="D17" s="91" t="e">
        <f t="shared" si="2"/>
        <v>#DIV/0!</v>
      </c>
      <c r="E17" s="91" t="e">
        <f t="shared" si="2"/>
        <v>#DIV/0!</v>
      </c>
      <c r="F17" s="91" t="e">
        <f t="shared" si="2"/>
        <v>#DIV/0!</v>
      </c>
      <c r="G17" s="91" t="e">
        <f t="shared" si="2"/>
        <v>#DIV/0!</v>
      </c>
      <c r="H17" s="91" t="e">
        <f t="shared" si="2"/>
        <v>#DIV/0!</v>
      </c>
      <c r="I17" s="91" t="e">
        <f t="shared" si="2"/>
        <v>#DIV/0!</v>
      </c>
      <c r="J17" s="91">
        <f t="shared" si="2"/>
        <v>1</v>
      </c>
      <c r="K17" s="91">
        <f t="shared" si="2"/>
        <v>1</v>
      </c>
      <c r="L17" s="91">
        <f t="shared" si="2"/>
        <v>1</v>
      </c>
      <c r="M17" s="211">
        <f t="shared" si="2"/>
        <v>1</v>
      </c>
      <c r="N17" s="91">
        <f t="shared" si="2"/>
        <v>1</v>
      </c>
      <c r="O17" s="7"/>
      <c r="P17" s="91">
        <f>P16/P14</f>
        <v>1</v>
      </c>
    </row>
    <row r="18" spans="2:20" ht="3" customHeight="1" x14ac:dyDescent="0.3">
      <c r="B18" s="7"/>
      <c r="M18" s="212"/>
    </row>
    <row r="19" spans="2:20" x14ac:dyDescent="0.3">
      <c r="B19" s="7" t="s">
        <v>187</v>
      </c>
      <c r="C19" s="74">
        <f>SUMIF('Monthly Detail'!$4:$4, '2023 Overview'!C$11, 'Monthly Detail'!$79:$79)</f>
        <v>0</v>
      </c>
      <c r="D19" s="74">
        <f>SUMIF('Monthly Detail'!$4:$4, '2023 Overview'!D$11, 'Monthly Detail'!$79:$79)</f>
        <v>0</v>
      </c>
      <c r="E19" s="74">
        <f>SUMIF('Monthly Detail'!$4:$4, '2023 Overview'!E$11, 'Monthly Detail'!$79:$79)</f>
        <v>0</v>
      </c>
      <c r="F19" s="74">
        <f>SUMIF('Monthly Detail'!$4:$4, '2023 Overview'!F$11, 'Monthly Detail'!$79:$79)</f>
        <v>0</v>
      </c>
      <c r="G19" s="74">
        <f>SUMIF('Monthly Detail'!$4:$4, '2023 Overview'!G$11, 'Monthly Detail'!$79:$79)</f>
        <v>0</v>
      </c>
      <c r="H19" s="74">
        <f>SUMIF('Monthly Detail'!$4:$4, '2023 Overview'!H$11, 'Monthly Detail'!$79:$79)</f>
        <v>0</v>
      </c>
      <c r="I19" s="74">
        <f>SUMIF('Monthly Detail'!$4:$4, '2023 Overview'!I$11, 'Monthly Detail'!$79:$79)</f>
        <v>0</v>
      </c>
      <c r="J19" s="74">
        <f>SUMIF('Monthly Detail'!$4:$4, '2023 Overview'!J$11, 'Monthly Detail'!$79:$79)</f>
        <v>40.270000000000003</v>
      </c>
      <c r="K19" s="74">
        <f>SUMIF('Monthly Detail'!$4:$4, '2023 Overview'!K$11, 'Monthly Detail'!$79:$79)</f>
        <v>334.59999999999997</v>
      </c>
      <c r="L19" s="74">
        <f>SUMIF('Monthly Detail'!$4:$4, '2023 Overview'!L$11, 'Monthly Detail'!$79:$79)</f>
        <v>515.56999999999994</v>
      </c>
      <c r="M19" s="207">
        <f>SUMIF('Monthly Detail'!$4:$4, '2023 Overview'!M$11, 'Monthly Detail'!$79:$79)</f>
        <v>947.04</v>
      </c>
      <c r="N19" s="74">
        <f>SUMIF('Monthly Detail'!$4:$4, '2023 Overview'!N$11, 'Monthly Detail'!$79:$79)</f>
        <v>687.90000000000009</v>
      </c>
      <c r="P19" s="74">
        <f>SUM(C19:O19)</f>
        <v>2525.38</v>
      </c>
      <c r="T19" s="1"/>
    </row>
    <row r="20" spans="2:20" x14ac:dyDescent="0.3">
      <c r="B20" s="79" t="s">
        <v>151</v>
      </c>
      <c r="C20" s="80">
        <f t="shared" ref="C20:N20" si="3">SUM(C19:C19)</f>
        <v>0</v>
      </c>
      <c r="D20" s="80">
        <f t="shared" si="3"/>
        <v>0</v>
      </c>
      <c r="E20" s="80">
        <f t="shared" si="3"/>
        <v>0</v>
      </c>
      <c r="F20" s="80">
        <f t="shared" si="3"/>
        <v>0</v>
      </c>
      <c r="G20" s="80">
        <f t="shared" si="3"/>
        <v>0</v>
      </c>
      <c r="H20" s="80">
        <f t="shared" si="3"/>
        <v>0</v>
      </c>
      <c r="I20" s="80">
        <f t="shared" si="3"/>
        <v>0</v>
      </c>
      <c r="J20" s="80">
        <f t="shared" si="3"/>
        <v>40.270000000000003</v>
      </c>
      <c r="K20" s="80">
        <f t="shared" si="3"/>
        <v>334.59999999999997</v>
      </c>
      <c r="L20" s="80">
        <f t="shared" si="3"/>
        <v>515.56999999999994</v>
      </c>
      <c r="M20" s="213">
        <f t="shared" si="3"/>
        <v>947.04</v>
      </c>
      <c r="N20" s="80">
        <f t="shared" si="3"/>
        <v>687.90000000000009</v>
      </c>
      <c r="O20" s="81"/>
      <c r="P20" s="80">
        <f>SUM(P19:P19)</f>
        <v>2525.38</v>
      </c>
    </row>
    <row r="21" spans="2:20" ht="4.2" customHeight="1" x14ac:dyDescent="0.3">
      <c r="B21" s="7"/>
      <c r="M21" s="212"/>
    </row>
    <row r="22" spans="2:20" ht="15.6" x14ac:dyDescent="0.3">
      <c r="B22" s="88" t="s">
        <v>152</v>
      </c>
      <c r="C22" s="89">
        <f t="shared" ref="C22:N22" si="4">C16-C20</f>
        <v>0</v>
      </c>
      <c r="D22" s="89">
        <f t="shared" si="4"/>
        <v>0</v>
      </c>
      <c r="E22" s="89">
        <f t="shared" si="4"/>
        <v>0</v>
      </c>
      <c r="F22" s="89">
        <f t="shared" si="4"/>
        <v>0</v>
      </c>
      <c r="G22" s="89">
        <f t="shared" si="4"/>
        <v>0</v>
      </c>
      <c r="H22" s="89">
        <f t="shared" si="4"/>
        <v>0</v>
      </c>
      <c r="I22" s="89">
        <f t="shared" si="4"/>
        <v>0</v>
      </c>
      <c r="J22" s="89">
        <f t="shared" si="4"/>
        <v>1974.19</v>
      </c>
      <c r="K22" s="89">
        <f t="shared" si="4"/>
        <v>8532.56</v>
      </c>
      <c r="L22" s="89">
        <f t="shared" si="4"/>
        <v>7838.08</v>
      </c>
      <c r="M22" s="210">
        <f t="shared" si="4"/>
        <v>8088.2699999999995</v>
      </c>
      <c r="N22" s="89">
        <f t="shared" si="4"/>
        <v>9903.2000000000007</v>
      </c>
      <c r="O22" s="78"/>
      <c r="P22" s="89">
        <f>P16-P20</f>
        <v>36336.299999999996</v>
      </c>
    </row>
    <row r="23" spans="2:20" x14ac:dyDescent="0.3">
      <c r="B23" s="90" t="s">
        <v>153</v>
      </c>
      <c r="C23" s="91" t="e">
        <f t="shared" ref="C23:N23" si="5">C22/C14</f>
        <v>#DIV/0!</v>
      </c>
      <c r="D23" s="91" t="e">
        <f t="shared" si="5"/>
        <v>#DIV/0!</v>
      </c>
      <c r="E23" s="91" t="e">
        <f t="shared" si="5"/>
        <v>#DIV/0!</v>
      </c>
      <c r="F23" s="91" t="e">
        <f t="shared" si="5"/>
        <v>#DIV/0!</v>
      </c>
      <c r="G23" s="91" t="e">
        <f t="shared" si="5"/>
        <v>#DIV/0!</v>
      </c>
      <c r="H23" s="91" t="e">
        <f t="shared" si="5"/>
        <v>#DIV/0!</v>
      </c>
      <c r="I23" s="91" t="e">
        <f t="shared" si="5"/>
        <v>#DIV/0!</v>
      </c>
      <c r="J23" s="91">
        <f t="shared" si="5"/>
        <v>0.98000953109021771</v>
      </c>
      <c r="K23" s="91">
        <f t="shared" si="5"/>
        <v>0.96226525742176749</v>
      </c>
      <c r="L23" s="91">
        <f t="shared" si="5"/>
        <v>0.9382820683174421</v>
      </c>
      <c r="M23" s="211">
        <f t="shared" si="5"/>
        <v>0.89518455924589191</v>
      </c>
      <c r="N23" s="91">
        <f t="shared" si="5"/>
        <v>0.93504923945576945</v>
      </c>
      <c r="O23" s="7"/>
      <c r="P23" s="91">
        <f>P22/P14</f>
        <v>0.93501619075654996</v>
      </c>
    </row>
    <row r="24" spans="2:20" ht="4.95" customHeight="1" x14ac:dyDescent="0.3">
      <c r="B24" s="82"/>
      <c r="C24" s="83"/>
      <c r="D24" s="83"/>
      <c r="E24" s="83"/>
      <c r="F24" s="83"/>
      <c r="G24" s="83"/>
      <c r="H24" s="83"/>
      <c r="I24" s="83"/>
      <c r="J24" s="83"/>
      <c r="K24" s="83"/>
      <c r="L24" s="83"/>
      <c r="M24" s="214"/>
      <c r="N24" s="83"/>
      <c r="P24" s="83"/>
    </row>
    <row r="25" spans="2:20" x14ac:dyDescent="0.3">
      <c r="B25" s="7" t="s">
        <v>154</v>
      </c>
      <c r="C25" s="133">
        <f>SUMIF('Monthly Detail'!$4:$4, '2023 Overview'!C$11, 'Monthly Detail'!84:84)</f>
        <v>0</v>
      </c>
      <c r="D25" s="130">
        <f>SUMIF('Monthly Detail'!$4:$4, '2023 Overview'!D$11, 'Monthly Detail'!84:84)</f>
        <v>0</v>
      </c>
      <c r="E25" s="133">
        <f>SUMIF('Monthly Detail'!$4:$4, '2023 Overview'!E$11, 'Monthly Detail'!84:84)</f>
        <v>0</v>
      </c>
      <c r="F25" s="130">
        <f>SUMIF('Monthly Detail'!$4:$4, '2023 Overview'!F$11, 'Monthly Detail'!84:84)</f>
        <v>0</v>
      </c>
      <c r="G25" s="130">
        <f>SUMIF('Monthly Detail'!$4:$4, '2023 Overview'!G$11, 'Monthly Detail'!84:84)</f>
        <v>0</v>
      </c>
      <c r="H25" s="133">
        <f>SUMIF('Monthly Detail'!$4:$4, '2023 Overview'!H$11, 'Monthly Detail'!84:84)</f>
        <v>0</v>
      </c>
      <c r="I25" s="133">
        <f>SUMIF('Monthly Detail'!$4:$4, '2023 Overview'!I$11, 'Monthly Detail'!84:84)</f>
        <v>0</v>
      </c>
      <c r="J25" s="133">
        <f>SUMIF('Monthly Detail'!$4:$4, '2023 Overview'!J$11, 'Monthly Detail'!84:84)</f>
        <v>0</v>
      </c>
      <c r="K25" s="133">
        <f>SUMIF('Monthly Detail'!$4:$4, '2023 Overview'!K$11, 'Monthly Detail'!84:84)</f>
        <v>0</v>
      </c>
      <c r="L25" s="133">
        <f>SUMIF('Monthly Detail'!$4:$4, '2023 Overview'!L$11, 'Monthly Detail'!84:84)</f>
        <v>0</v>
      </c>
      <c r="M25" s="215">
        <f>SUMIF('Monthly Detail'!$4:$4, '2023 Overview'!M$11, 'Monthly Detail'!84:84)</f>
        <v>0</v>
      </c>
      <c r="N25" s="130">
        <f>SUMIF('Monthly Detail'!$4:$4, '2023 Overview'!N$11, 'Monthly Detail'!84:84)</f>
        <v>0</v>
      </c>
      <c r="O25" s="130"/>
      <c r="P25" s="114">
        <f>SUM(C25:O25)</f>
        <v>0</v>
      </c>
    </row>
    <row r="26" spans="2:20" ht="15.6" x14ac:dyDescent="0.3">
      <c r="B26" s="88" t="s">
        <v>12</v>
      </c>
      <c r="C26" s="89">
        <f t="shared" ref="C26:N26" si="6">C22+SUM(C25:C25)</f>
        <v>0</v>
      </c>
      <c r="D26" s="89">
        <f t="shared" si="6"/>
        <v>0</v>
      </c>
      <c r="E26" s="89">
        <f t="shared" si="6"/>
        <v>0</v>
      </c>
      <c r="F26" s="89">
        <f t="shared" si="6"/>
        <v>0</v>
      </c>
      <c r="G26" s="89">
        <f t="shared" si="6"/>
        <v>0</v>
      </c>
      <c r="H26" s="89">
        <f t="shared" si="6"/>
        <v>0</v>
      </c>
      <c r="I26" s="89">
        <f t="shared" si="6"/>
        <v>0</v>
      </c>
      <c r="J26" s="89">
        <f t="shared" si="6"/>
        <v>1974.19</v>
      </c>
      <c r="K26" s="89">
        <f t="shared" si="6"/>
        <v>8532.56</v>
      </c>
      <c r="L26" s="89">
        <f t="shared" si="6"/>
        <v>7838.08</v>
      </c>
      <c r="M26" s="210">
        <f t="shared" si="6"/>
        <v>8088.2699999999995</v>
      </c>
      <c r="N26" s="89">
        <f t="shared" si="6"/>
        <v>9903.2000000000007</v>
      </c>
      <c r="O26" s="78"/>
      <c r="P26" s="89">
        <f>P22+SUM(P25:P25)</f>
        <v>36336.299999999996</v>
      </c>
    </row>
    <row r="27" spans="2:20" x14ac:dyDescent="0.3">
      <c r="B27" s="90" t="s">
        <v>155</v>
      </c>
      <c r="C27" s="91" t="e">
        <f t="shared" ref="C27:N27" si="7">C26/C14</f>
        <v>#DIV/0!</v>
      </c>
      <c r="D27" s="91" t="e">
        <f t="shared" si="7"/>
        <v>#DIV/0!</v>
      </c>
      <c r="E27" s="91" t="e">
        <f t="shared" si="7"/>
        <v>#DIV/0!</v>
      </c>
      <c r="F27" s="91" t="e">
        <f t="shared" si="7"/>
        <v>#DIV/0!</v>
      </c>
      <c r="G27" s="91" t="e">
        <f t="shared" si="7"/>
        <v>#DIV/0!</v>
      </c>
      <c r="H27" s="91" t="e">
        <f t="shared" si="7"/>
        <v>#DIV/0!</v>
      </c>
      <c r="I27" s="91" t="e">
        <f t="shared" si="7"/>
        <v>#DIV/0!</v>
      </c>
      <c r="J27" s="91">
        <f t="shared" si="7"/>
        <v>0.98000953109021771</v>
      </c>
      <c r="K27" s="91">
        <f t="shared" si="7"/>
        <v>0.96226525742176749</v>
      </c>
      <c r="L27" s="91">
        <f t="shared" si="7"/>
        <v>0.9382820683174421</v>
      </c>
      <c r="M27" s="211">
        <f t="shared" si="7"/>
        <v>0.89518455924589191</v>
      </c>
      <c r="N27" s="91">
        <f t="shared" si="7"/>
        <v>0.93504923945576945</v>
      </c>
      <c r="O27" s="7"/>
      <c r="P27" s="91">
        <f>P26/P14</f>
        <v>0.93501619075654996</v>
      </c>
    </row>
    <row r="28" spans="2:20" ht="4.95" customHeight="1" thickBot="1" x14ac:dyDescent="0.35">
      <c r="B28" s="7"/>
      <c r="M28" s="212"/>
    </row>
    <row r="29" spans="2:20" x14ac:dyDescent="0.3">
      <c r="B29" s="84" t="s">
        <v>156</v>
      </c>
      <c r="C29" s="85">
        <f>SUMIF('Monthly Detail'!$4:$4, '2023 Overview'!C$11, 'Monthly Detail'!143:143)</f>
        <v>0</v>
      </c>
      <c r="D29" s="163">
        <f>SUMIF('Monthly Detail'!$4:$4, '2023 Overview'!D$11, 'Monthly Detail'!143:143)</f>
        <v>0</v>
      </c>
      <c r="E29" s="85">
        <f>SUMIF('Monthly Detail'!$4:$4, '2023 Overview'!E$11, 'Monthly Detail'!143:143)</f>
        <v>0</v>
      </c>
      <c r="F29" s="163">
        <f>SUMIF('Monthly Detail'!$4:$4, '2023 Overview'!F$11, 'Monthly Detail'!143:143)</f>
        <v>0</v>
      </c>
      <c r="G29" s="85">
        <f>SUMIF('Monthly Detail'!$4:$4, '2023 Overview'!G$11, 'Monthly Detail'!143:143)</f>
        <v>0</v>
      </c>
      <c r="H29" s="85">
        <f>SUMIF('Monthly Detail'!$4:$4, '2023 Overview'!H$11, 'Monthly Detail'!143:143)</f>
        <v>0</v>
      </c>
      <c r="I29" s="163">
        <f>SUMIF('Monthly Detail'!$4:$4, '2023 Overview'!I$11, 'Monthly Detail'!143:143)</f>
        <v>7.0000000000000007E-2</v>
      </c>
      <c r="J29" s="163">
        <f>SUMIF('Monthly Detail'!$4:$4, '2023 Overview'!J$11, 'Monthly Detail'!143:143)</f>
        <v>1450.4599999999998</v>
      </c>
      <c r="K29" s="163">
        <f>SUMIF('Monthly Detail'!$4:$4, '2023 Overview'!K$11, 'Monthly Detail'!143:143)</f>
        <v>291.02999999999952</v>
      </c>
      <c r="L29" s="163">
        <f>SUMIF('Monthly Detail'!$4:$4, '2023 Overview'!L$11, 'Monthly Detail'!143:143)</f>
        <v>531.88999999999919</v>
      </c>
      <c r="M29" s="216">
        <f>SUMIF('Monthly Detail'!$4:$4, '2023 Overview'!M$11, 'Monthly Detail'!143:143)</f>
        <v>420.32999999999697</v>
      </c>
      <c r="N29" s="163">
        <f>SUMIF('Monthly Detail'!$4:$4, '2023 Overview'!N$11, 'Monthly Detail'!143:143)</f>
        <v>2798.9700000000003</v>
      </c>
    </row>
    <row r="30" spans="2:20" ht="15" thickBot="1" x14ac:dyDescent="0.35">
      <c r="B30" s="86" t="s">
        <v>157</v>
      </c>
      <c r="C30" s="87">
        <f>SUMIF('Monthly Detail'!$4:$4, '2023 Overview'!C$11, 'Monthly Detail'!140:140)</f>
        <v>0</v>
      </c>
      <c r="D30" s="164">
        <f>SUMIF('Monthly Detail'!$4:$4, '2023 Overview'!D$11, 'Monthly Detail'!140:140)</f>
        <v>0</v>
      </c>
      <c r="E30" s="87">
        <f>SUMIF('Monthly Detail'!$4:$4, '2023 Overview'!E$11, 'Monthly Detail'!140:140)</f>
        <v>0</v>
      </c>
      <c r="F30" s="164">
        <f>SUMIF('Monthly Detail'!$4:$4, '2023 Overview'!F$11, 'Monthly Detail'!140:140)</f>
        <v>0</v>
      </c>
      <c r="G30" s="87">
        <f>SUMIF('Monthly Detail'!$4:$4, '2023 Overview'!G$11, 'Monthly Detail'!140:140)</f>
        <v>0</v>
      </c>
      <c r="H30" s="87">
        <f>SUMIF('Monthly Detail'!$4:$4, '2023 Overview'!H$11, 'Monthly Detail'!140:140)</f>
        <v>0</v>
      </c>
      <c r="I30" s="164">
        <f>SUMIF('Monthly Detail'!$4:$4, '2023 Overview'!I$11, 'Monthly Detail'!140:140)</f>
        <v>7.0000000000000007E-2</v>
      </c>
      <c r="J30" s="164">
        <f>SUMIF('Monthly Detail'!$4:$4, '2023 Overview'!J$11, 'Monthly Detail'!140:140)</f>
        <v>1450.3899999999999</v>
      </c>
      <c r="K30" s="164">
        <f>SUMIF('Monthly Detail'!$4:$4, '2023 Overview'!K$11, 'Monthly Detail'!140:140)</f>
        <v>-1159.4300000000003</v>
      </c>
      <c r="L30" s="164">
        <f>SUMIF('Monthly Detail'!$4:$4, '2023 Overview'!L$11, 'Monthly Detail'!140:140)</f>
        <v>240.85999999999967</v>
      </c>
      <c r="M30" s="217">
        <f>SUMIF('Monthly Detail'!$4:$4, '2023 Overview'!M$11, 'Monthly Detail'!140:140)</f>
        <v>-111.56000000000222</v>
      </c>
      <c r="N30" s="164">
        <f>SUMIF('Monthly Detail'!$4:$4, '2023 Overview'!N$11, 'Monthly Detail'!140:140)</f>
        <v>2378.6400000000031</v>
      </c>
    </row>
    <row r="31" spans="2:20" x14ac:dyDescent="0.3">
      <c r="E31" s="9"/>
    </row>
  </sheetData>
  <pageMargins left="0.25" right="0.25" top="0.75" bottom="0.75" header="0.3" footer="0.3"/>
  <pageSetup scale="69" orientation="landscape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D6358-B51B-4869-8D00-AAF172558B2C}">
  <sheetPr>
    <tabColor theme="1"/>
    <pageSetUpPr fitToPage="1"/>
  </sheetPr>
  <dimension ref="B14:T72"/>
  <sheetViews>
    <sheetView showGridLines="0" topLeftCell="A51" zoomScale="70" zoomScaleNormal="70" workbookViewId="0">
      <selection activeCell="B2" sqref="B2:P72"/>
    </sheetView>
  </sheetViews>
  <sheetFormatPr defaultRowHeight="14.4" x14ac:dyDescent="0.3"/>
  <cols>
    <col min="2" max="2" width="48.33203125" bestFit="1" customWidth="1"/>
    <col min="3" max="3" width="16.6640625" bestFit="1" customWidth="1"/>
    <col min="4" max="9" width="16.88671875" bestFit="1" customWidth="1"/>
    <col min="10" max="12" width="16.6640625" bestFit="1" customWidth="1"/>
    <col min="13" max="14" width="16.88671875" bestFit="1" customWidth="1"/>
    <col min="15" max="15" width="0.33203125" customWidth="1"/>
    <col min="16" max="16" width="17.33203125" bestFit="1" customWidth="1"/>
  </cols>
  <sheetData>
    <row r="14" spans="2:16" ht="15" thickBot="1" x14ac:dyDescent="0.35"/>
    <row r="15" spans="2:16" x14ac:dyDescent="0.3">
      <c r="B15" s="93"/>
      <c r="C15" s="95"/>
      <c r="D15" s="95"/>
      <c r="E15" s="634" t="s">
        <v>229</v>
      </c>
      <c r="F15" s="634"/>
      <c r="G15" s="634"/>
      <c r="H15" s="634"/>
      <c r="I15" s="634"/>
      <c r="J15" s="634"/>
      <c r="K15" s="634"/>
      <c r="L15" s="95"/>
      <c r="M15" s="95"/>
      <c r="N15" s="95"/>
      <c r="O15" s="95"/>
      <c r="P15" s="96"/>
    </row>
    <row r="16" spans="2:16" x14ac:dyDescent="0.3">
      <c r="B16" s="97"/>
      <c r="E16" s="635"/>
      <c r="F16" s="635"/>
      <c r="G16" s="635"/>
      <c r="H16" s="635"/>
      <c r="I16" s="635"/>
      <c r="J16" s="635"/>
      <c r="K16" s="635"/>
      <c r="P16" s="98"/>
    </row>
    <row r="17" spans="2:16" x14ac:dyDescent="0.3">
      <c r="B17" s="97"/>
      <c r="P17" s="98"/>
    </row>
    <row r="18" spans="2:16" ht="15.6" x14ac:dyDescent="0.3">
      <c r="B18" s="235"/>
      <c r="C18" s="70" t="s">
        <v>260</v>
      </c>
      <c r="D18" s="70" t="s">
        <v>261</v>
      </c>
      <c r="E18" s="70" t="s">
        <v>262</v>
      </c>
      <c r="F18" s="70" t="s">
        <v>263</v>
      </c>
      <c r="G18" s="70" t="s">
        <v>264</v>
      </c>
      <c r="H18" s="70" t="s">
        <v>265</v>
      </c>
      <c r="I18" s="70" t="s">
        <v>266</v>
      </c>
      <c r="J18" s="70" t="s">
        <v>267</v>
      </c>
      <c r="K18" s="70" t="s">
        <v>268</v>
      </c>
      <c r="L18" s="151" t="s">
        <v>269</v>
      </c>
      <c r="M18" s="70" t="s">
        <v>270</v>
      </c>
      <c r="N18" s="534" t="s">
        <v>271</v>
      </c>
      <c r="O18" s="71"/>
      <c r="P18" s="521" t="s">
        <v>0</v>
      </c>
    </row>
    <row r="19" spans="2:16" x14ac:dyDescent="0.3">
      <c r="B19" s="237"/>
      <c r="C19" s="92">
        <v>45322</v>
      </c>
      <c r="D19" s="92">
        <v>45351</v>
      </c>
      <c r="E19" s="92">
        <v>45382</v>
      </c>
      <c r="F19" s="92">
        <v>45412</v>
      </c>
      <c r="G19" s="92">
        <v>45443</v>
      </c>
      <c r="H19" s="92">
        <v>45473</v>
      </c>
      <c r="I19" s="92">
        <v>45504</v>
      </c>
      <c r="J19" s="92">
        <v>45535</v>
      </c>
      <c r="K19" s="92">
        <v>45565</v>
      </c>
      <c r="L19" s="152">
        <v>45596</v>
      </c>
      <c r="M19" s="92">
        <v>45626</v>
      </c>
      <c r="N19" s="458">
        <v>45657</v>
      </c>
      <c r="O19" s="92">
        <v>45322</v>
      </c>
      <c r="P19" s="522"/>
    </row>
    <row r="20" spans="2:16" x14ac:dyDescent="0.3">
      <c r="B20" s="238" t="s">
        <v>49</v>
      </c>
      <c r="C20" s="74">
        <f>SUMIF('Monthly Detail'!$4:$4, '2024 Overview'!C$19, 'Monthly Detail'!9:9)</f>
        <v>5462.33</v>
      </c>
      <c r="D20" s="74">
        <f>SUMIF('Monthly Detail'!$4:$4, '2024 Overview'!D$19, 'Monthly Detail'!9:9)</f>
        <v>7159.01</v>
      </c>
      <c r="E20" s="74">
        <f>SUMIF('Monthly Detail'!$4:$4, '2024 Overview'!E$19, 'Monthly Detail'!9:9)</f>
        <v>10245.86</v>
      </c>
      <c r="F20" s="74">
        <f>SUMIF('Monthly Detail'!$4:$4, '2024 Overview'!F$19, 'Monthly Detail'!9:9)</f>
        <v>11516.18</v>
      </c>
      <c r="G20" s="74">
        <f>SUMIF('Monthly Detail'!$4:$4, '2024 Overview'!G$19, 'Monthly Detail'!9:9)</f>
        <v>10859.23</v>
      </c>
      <c r="H20" s="74">
        <f>SUMIF('Monthly Detail'!$4:$4, '2024 Overview'!H$19, 'Monthly Detail'!9:9)</f>
        <v>12228.82</v>
      </c>
      <c r="I20" s="74">
        <f>SUMIF('Monthly Detail'!$4:$4, '2024 Overview'!I$19, 'Monthly Detail'!9:9)</f>
        <v>12216.94</v>
      </c>
      <c r="J20" s="74">
        <f>SUMIF('Monthly Detail'!$4:$4, '2024 Overview'!J$19, 'Monthly Detail'!9:9)</f>
        <v>12073.09</v>
      </c>
      <c r="K20" s="74">
        <f>SUMIF('Monthly Detail'!$4:$4, '2024 Overview'!K$19, 'Monthly Detail'!9:9)</f>
        <v>9051.9699999999993</v>
      </c>
      <c r="L20" s="153">
        <f>SUMIF('Monthly Detail'!$4:$4, '2024 Overview'!L$19, 'Monthly Detail'!9:9)</f>
        <v>11082.04</v>
      </c>
      <c r="M20" s="74">
        <f>SUMIF('Monthly Detail'!$4:$4, '2024 Overview'!M$19, 'Monthly Detail'!9:9)</f>
        <v>10409.198876581397</v>
      </c>
      <c r="N20" s="535">
        <f>SUMIF('Monthly Detail'!$4:$4, '2024 Overview'!N$19, 'Monthly Detail'!9:9)</f>
        <v>11983.271405198868</v>
      </c>
      <c r="O20" s="74"/>
      <c r="P20" s="523">
        <f>SUM(C20:O20)</f>
        <v>124287.94028178028</v>
      </c>
    </row>
    <row r="21" spans="2:16" x14ac:dyDescent="0.3">
      <c r="B21" s="238" t="s">
        <v>158</v>
      </c>
      <c r="C21" s="74">
        <f>SUMIF('Monthly Detail'!$4:$4, '2024 Overview'!C$19, 'Monthly Detail'!8:8)</f>
        <v>0</v>
      </c>
      <c r="D21" s="74">
        <f>SUMIF('Monthly Detail'!$4:$4, '2024 Overview'!D$19, 'Monthly Detail'!8:8)</f>
        <v>0</v>
      </c>
      <c r="E21" s="74">
        <f>SUMIF('Monthly Detail'!$4:$4, '2024 Overview'!E$19, 'Monthly Detail'!8:8)</f>
        <v>0</v>
      </c>
      <c r="F21" s="74">
        <f>SUMIF('Monthly Detail'!$4:$4, '2024 Overview'!F$19, 'Monthly Detail'!8:8)</f>
        <v>0</v>
      </c>
      <c r="G21" s="74">
        <f>SUMIF('Monthly Detail'!$4:$4, '2024 Overview'!G$19, 'Monthly Detail'!8:8)</f>
        <v>0</v>
      </c>
      <c r="H21" s="74">
        <f>SUMIF('Monthly Detail'!$4:$4, '2024 Overview'!H$19, 'Monthly Detail'!8:8)</f>
        <v>0</v>
      </c>
      <c r="I21" s="74">
        <f>SUMIF('Monthly Detail'!$4:$4, '2024 Overview'!I$19, 'Monthly Detail'!8:8)</f>
        <v>0</v>
      </c>
      <c r="J21" s="74">
        <f>SUMIF('Monthly Detail'!$4:$4, '2024 Overview'!J$19, 'Monthly Detail'!8:8)</f>
        <v>0</v>
      </c>
      <c r="K21" s="74">
        <f>SUMIF('Monthly Detail'!$4:$4, '2024 Overview'!K$19, 'Monthly Detail'!8:8)</f>
        <v>0</v>
      </c>
      <c r="L21" s="153">
        <f>SUMIF('Monthly Detail'!$4:$4, '2024 Overview'!L$19, 'Monthly Detail'!8:8)</f>
        <v>0</v>
      </c>
      <c r="M21" s="74">
        <f>SUMIF('Monthly Detail'!$4:$4, '2024 Overview'!M$19, 'Monthly Detail'!8:8)</f>
        <v>0</v>
      </c>
      <c r="N21" s="535">
        <f>SUMIF('Monthly Detail'!$4:$4, '2024 Overview'!N$19, 'Monthly Detail'!8:8)</f>
        <v>0</v>
      </c>
      <c r="O21" s="74"/>
      <c r="P21" s="523">
        <f>SUM(C21:O21)</f>
        <v>0</v>
      </c>
    </row>
    <row r="22" spans="2:16" x14ac:dyDescent="0.3">
      <c r="B22" s="240" t="s">
        <v>3</v>
      </c>
      <c r="C22" s="75">
        <f>SUM(C20:C21)</f>
        <v>5462.33</v>
      </c>
      <c r="D22" s="75">
        <f t="shared" ref="D22:N22" si="0">SUM(D20:D21)</f>
        <v>7159.01</v>
      </c>
      <c r="E22" s="75">
        <f t="shared" si="0"/>
        <v>10245.86</v>
      </c>
      <c r="F22" s="75">
        <f t="shared" si="0"/>
        <v>11516.18</v>
      </c>
      <c r="G22" s="75">
        <f t="shared" si="0"/>
        <v>10859.23</v>
      </c>
      <c r="H22" s="75">
        <f t="shared" si="0"/>
        <v>12228.82</v>
      </c>
      <c r="I22" s="75">
        <f t="shared" si="0"/>
        <v>12216.94</v>
      </c>
      <c r="J22" s="75">
        <f t="shared" si="0"/>
        <v>12073.09</v>
      </c>
      <c r="K22" s="75">
        <f t="shared" si="0"/>
        <v>9051.9699999999993</v>
      </c>
      <c r="L22" s="154">
        <f t="shared" si="0"/>
        <v>11082.04</v>
      </c>
      <c r="M22" s="75">
        <f t="shared" si="0"/>
        <v>10409.198876581397</v>
      </c>
      <c r="N22" s="364">
        <f t="shared" si="0"/>
        <v>11983.271405198868</v>
      </c>
      <c r="O22" s="76"/>
      <c r="P22" s="524">
        <f>SUM(P20:P20)</f>
        <v>124287.94028178028</v>
      </c>
    </row>
    <row r="23" spans="2:16" x14ac:dyDescent="0.3">
      <c r="B23" s="242" t="s">
        <v>294</v>
      </c>
      <c r="C23" s="243">
        <f>+'Monthly Detail'!AB11</f>
        <v>167</v>
      </c>
      <c r="D23" s="243">
        <f>+'Monthly Detail'!AC11</f>
        <v>193</v>
      </c>
      <c r="E23" s="243">
        <f>+'Monthly Detail'!AD11</f>
        <v>215</v>
      </c>
      <c r="F23" s="243">
        <f>+'Monthly Detail'!AE11</f>
        <v>196</v>
      </c>
      <c r="G23" s="243">
        <f>+'Monthly Detail'!AF11</f>
        <v>215</v>
      </c>
      <c r="H23" s="243">
        <f>+'Monthly Detail'!AG11</f>
        <v>231</v>
      </c>
      <c r="I23" s="243">
        <f>+'Monthly Detail'!AH11</f>
        <v>220</v>
      </c>
      <c r="J23" s="243">
        <f>+'Monthly Detail'!AI11</f>
        <v>270</v>
      </c>
      <c r="K23" s="243">
        <f>+'Monthly Detail'!AJ11</f>
        <v>183</v>
      </c>
      <c r="L23" s="244">
        <f>+'Monthly Detail'!AK11</f>
        <v>213</v>
      </c>
      <c r="M23" s="243">
        <f>+'Monthly Detail'!AL11</f>
        <v>228.47884785850385</v>
      </c>
      <c r="N23" s="489">
        <f>+'Monthly Detail'!AM11</f>
        <v>239.65115270353829</v>
      </c>
      <c r="O23" s="76"/>
      <c r="P23" s="525">
        <f>+SUM(C23:N23)</f>
        <v>2571.1300005620419</v>
      </c>
    </row>
    <row r="24" spans="2:16" x14ac:dyDescent="0.3">
      <c r="B24" s="246" t="s">
        <v>257</v>
      </c>
      <c r="C24" s="247">
        <f>+'Monthly Detail'!AB37</f>
        <v>4731.3059251954119</v>
      </c>
      <c r="D24" s="248">
        <f>+'Monthly Detail'!AC37</f>
        <v>5463.3500796391181</v>
      </c>
      <c r="E24" s="248">
        <f>+'Monthly Detail'!AD37</f>
        <v>8905.7356242568385</v>
      </c>
      <c r="F24" s="248">
        <f>+'Monthly Detail'!AE37</f>
        <v>10218.068266183795</v>
      </c>
      <c r="G24" s="248">
        <f>+'Monthly Detail'!AF37</f>
        <v>10996.368456601624</v>
      </c>
      <c r="H24" s="248">
        <f>+'Monthly Detail'!AG37</f>
        <v>11424.978898666666</v>
      </c>
      <c r="I24" s="248">
        <f>+'Monthly Detail'!AH37</f>
        <v>10843.709176205668</v>
      </c>
      <c r="J24" s="248">
        <f>+'Monthly Detail'!AI37</f>
        <v>11778.181068162145</v>
      </c>
      <c r="K24" s="248">
        <f>+'Monthly Detail'!AJ37</f>
        <v>9753.5338828799977</v>
      </c>
      <c r="L24" s="249">
        <f>+'Monthly Detail'!AK37</f>
        <v>10385.246551570508</v>
      </c>
      <c r="M24" s="248">
        <f>+'Monthly Detail'!AL37</f>
        <v>9084.3472626035327</v>
      </c>
      <c r="N24" s="536">
        <f>+'Monthly Detail'!AM37</f>
        <v>11606.398797039628</v>
      </c>
      <c r="O24" s="76"/>
      <c r="P24" s="526">
        <f>+AVERAGE(C24:N24)</f>
        <v>9599.2686657504109</v>
      </c>
    </row>
    <row r="25" spans="2:16" x14ac:dyDescent="0.3">
      <c r="B25" s="242" t="s">
        <v>295</v>
      </c>
      <c r="C25" s="243">
        <f>+'Monthly Detail'!AB13</f>
        <v>71</v>
      </c>
      <c r="D25" s="243">
        <f>+'Monthly Detail'!AC13</f>
        <v>71</v>
      </c>
      <c r="E25" s="243">
        <f>+'Monthly Detail'!AD13</f>
        <v>85</v>
      </c>
      <c r="F25" s="243">
        <f>+'Monthly Detail'!AE13</f>
        <v>90</v>
      </c>
      <c r="G25" s="243">
        <f>+'Monthly Detail'!AF13</f>
        <v>91</v>
      </c>
      <c r="H25" s="243">
        <f>+'Monthly Detail'!AG13</f>
        <v>91</v>
      </c>
      <c r="I25" s="243">
        <f>+'Monthly Detail'!AH13</f>
        <v>86</v>
      </c>
      <c r="J25" s="243">
        <f>+'Monthly Detail'!AI13</f>
        <v>96</v>
      </c>
      <c r="K25" s="243">
        <f>+'Monthly Detail'!AJ13</f>
        <v>92</v>
      </c>
      <c r="L25" s="244">
        <f>+'Monthly Detail'!AK13</f>
        <v>79</v>
      </c>
      <c r="M25" s="243">
        <f>+'Monthly Detail'!AL13</f>
        <v>90.994295036692961</v>
      </c>
      <c r="N25" s="489">
        <f>+'Monthly Detail'!AM13</f>
        <v>86.000705674923225</v>
      </c>
      <c r="P25" s="527"/>
    </row>
    <row r="26" spans="2:16" hidden="1" x14ac:dyDescent="0.3">
      <c r="B26" s="237"/>
      <c r="C26" s="77"/>
      <c r="D26" s="77"/>
      <c r="E26" s="77"/>
      <c r="F26" s="77"/>
      <c r="G26" s="77"/>
      <c r="H26" s="77"/>
      <c r="I26" s="77"/>
      <c r="J26" s="77"/>
      <c r="K26" s="77"/>
      <c r="L26" s="155"/>
      <c r="M26" s="77"/>
      <c r="N26" s="537"/>
      <c r="O26" s="7"/>
      <c r="P26" s="527"/>
    </row>
    <row r="27" spans="2:16" x14ac:dyDescent="0.3">
      <c r="B27" s="237"/>
      <c r="C27" s="77"/>
      <c r="D27" s="77"/>
      <c r="E27" s="77"/>
      <c r="F27" s="77"/>
      <c r="G27" s="77"/>
      <c r="H27" s="77"/>
      <c r="I27" s="77"/>
      <c r="J27" s="77"/>
      <c r="K27" s="77"/>
      <c r="L27" s="155"/>
      <c r="M27" s="77"/>
      <c r="N27" s="537"/>
      <c r="O27" s="7"/>
      <c r="P27" s="527"/>
    </row>
    <row r="28" spans="2:16" x14ac:dyDescent="0.3">
      <c r="B28" s="237" t="s">
        <v>221</v>
      </c>
      <c r="C28" s="74">
        <f>SUMIF('Monthly Detail'!$4:$4, '2024 Overview'!C$19, 'Monthly Detail'!54:54)</f>
        <v>80.44</v>
      </c>
      <c r="D28" s="77">
        <f>SUMIF('Monthly Detail'!$4:$4, '2024 Overview'!D$19, 'Monthly Detail'!54:54)</f>
        <v>458.23</v>
      </c>
      <c r="E28" s="77">
        <f>SUMIF('Monthly Detail'!$4:$4, '2024 Overview'!E$19, 'Monthly Detail'!54:54)</f>
        <v>396.32</v>
      </c>
      <c r="F28" s="77">
        <f>SUMIF('Monthly Detail'!$4:$4, '2024 Overview'!F$19, 'Monthly Detail'!54:54)</f>
        <v>392.37</v>
      </c>
      <c r="G28" s="77">
        <f>SUMIF('Monthly Detail'!$4:$4, '2024 Overview'!G$19, 'Monthly Detail'!54:54)</f>
        <v>362.59</v>
      </c>
      <c r="H28" s="77">
        <f>SUMIF('Monthly Detail'!$4:$4, '2024 Overview'!H$19, 'Monthly Detail'!54:54)</f>
        <v>458.15</v>
      </c>
      <c r="I28" s="77">
        <f>SUMIF('Monthly Detail'!$4:$4, '2024 Overview'!I$19, 'Monthly Detail'!54:54)</f>
        <v>390.97</v>
      </c>
      <c r="J28" s="77">
        <f>SUMIF('Monthly Detail'!$4:$4, '2024 Overview'!J$19, 'Monthly Detail'!54:54)</f>
        <v>386.64</v>
      </c>
      <c r="K28" s="77">
        <f>SUMIF('Monthly Detail'!$4:$4, '2024 Overview'!K$19, 'Monthly Detail'!54:54)</f>
        <v>306.56</v>
      </c>
      <c r="L28" s="155">
        <f>SUMIF('Monthly Detail'!$4:$4, '2024 Overview'!L$19, 'Monthly Detail'!54:54)</f>
        <v>298.52</v>
      </c>
      <c r="M28" s="77">
        <f>SUMIF('Monthly Detail'!$4:$4, '2024 Overview'!M$19, 'Monthly Detail'!54:54)</f>
        <v>322.09142858050069</v>
      </c>
      <c r="N28" s="537">
        <f>SUMIF('Monthly Detail'!$4:$4, '2024 Overview'!N$19, 'Monthly Detail'!54:54)</f>
        <v>370.79789249218169</v>
      </c>
      <c r="O28" s="7"/>
      <c r="P28" s="527">
        <f>+SUM(C28:N28)</f>
        <v>4223.6793210726819</v>
      </c>
    </row>
    <row r="29" spans="2:16" x14ac:dyDescent="0.3">
      <c r="B29" s="237" t="s">
        <v>220</v>
      </c>
      <c r="C29" s="74">
        <f>SUMIF('Monthly Detail'!$4:$4, '2024 Overview'!C$19, 'Monthly Detail'!55:55)</f>
        <v>134.32</v>
      </c>
      <c r="D29" s="77">
        <f>SUMIF('Monthly Detail'!$4:$4, '2024 Overview'!D$19, 'Monthly Detail'!55:55)</f>
        <v>96.36</v>
      </c>
      <c r="E29" s="77">
        <f>SUMIF('Monthly Detail'!$4:$4, '2024 Overview'!E$19, 'Monthly Detail'!55:55)</f>
        <v>239.2</v>
      </c>
      <c r="F29" s="77">
        <f>SUMIF('Monthly Detail'!$4:$4, '2024 Overview'!F$19, 'Monthly Detail'!55:55)</f>
        <v>143.91999999999999</v>
      </c>
      <c r="G29" s="77">
        <f>SUMIF('Monthly Detail'!$4:$4, '2024 Overview'!G$19, 'Monthly Detail'!55:55)</f>
        <v>31.44</v>
      </c>
      <c r="H29" s="77">
        <f>SUMIF('Monthly Detail'!$4:$4, '2024 Overview'!H$19, 'Monthly Detail'!55:55)</f>
        <v>79.58</v>
      </c>
      <c r="I29" s="77">
        <f>SUMIF('Monthly Detail'!$4:$4, '2024 Overview'!I$19, 'Monthly Detail'!55:55)</f>
        <v>360.51</v>
      </c>
      <c r="J29" s="77">
        <f>SUMIF('Monthly Detail'!$4:$4, '2024 Overview'!J$19, 'Monthly Detail'!55:55)</f>
        <v>162.63</v>
      </c>
      <c r="K29" s="77">
        <f>SUMIF('Monthly Detail'!$4:$4, '2024 Overview'!K$19, 'Monthly Detail'!55:55)</f>
        <v>136.44</v>
      </c>
      <c r="L29" s="155">
        <f>SUMIF('Monthly Detail'!$4:$4, '2024 Overview'!L$19, 'Monthly Detail'!55:55)</f>
        <v>345.16</v>
      </c>
      <c r="M29" s="77">
        <f>SUMIF('Monthly Detail'!$4:$4, '2024 Overview'!M$19, 'Monthly Detail'!55:55)</f>
        <v>207.10595175277763</v>
      </c>
      <c r="N29" s="537">
        <f>SUMIF('Monthly Detail'!$4:$4, '2024 Overview'!N$19, 'Monthly Detail'!55:55)</f>
        <v>238.42438394266082</v>
      </c>
      <c r="O29" s="7"/>
      <c r="P29" s="527">
        <f>+SUM(C29:N29)</f>
        <v>2175.0903356954386</v>
      </c>
    </row>
    <row r="30" spans="2:16" ht="15.6" x14ac:dyDescent="0.3">
      <c r="B30" s="253" t="s">
        <v>239</v>
      </c>
      <c r="C30" s="89">
        <f t="shared" ref="C30:M30" si="1">SUM(C28:C29)</f>
        <v>214.76</v>
      </c>
      <c r="D30" s="89">
        <f t="shared" si="1"/>
        <v>554.59</v>
      </c>
      <c r="E30" s="89">
        <f t="shared" si="1"/>
        <v>635.52</v>
      </c>
      <c r="F30" s="89">
        <f t="shared" si="1"/>
        <v>536.29</v>
      </c>
      <c r="G30" s="89">
        <f t="shared" si="1"/>
        <v>394.03</v>
      </c>
      <c r="H30" s="89">
        <f t="shared" si="1"/>
        <v>537.73</v>
      </c>
      <c r="I30" s="89">
        <f t="shared" si="1"/>
        <v>751.48</v>
      </c>
      <c r="J30" s="89">
        <f t="shared" si="1"/>
        <v>549.27</v>
      </c>
      <c r="K30" s="89">
        <f t="shared" si="1"/>
        <v>443</v>
      </c>
      <c r="L30" s="156">
        <f t="shared" si="1"/>
        <v>643.68000000000006</v>
      </c>
      <c r="M30" s="89">
        <f t="shared" si="1"/>
        <v>529.19738033327826</v>
      </c>
      <c r="N30" s="372">
        <f>SUM(N28:N29)</f>
        <v>609.22227643484257</v>
      </c>
      <c r="P30" s="528">
        <f>SUM(P28:P29)</f>
        <v>6398.7696567681205</v>
      </c>
    </row>
    <row r="31" spans="2:16" ht="5.4" customHeight="1" x14ac:dyDescent="0.3">
      <c r="B31" s="237"/>
      <c r="C31" s="77"/>
      <c r="D31" s="77"/>
      <c r="E31" s="77"/>
      <c r="F31" s="77"/>
      <c r="G31" s="77"/>
      <c r="H31" s="77"/>
      <c r="I31" s="77"/>
      <c r="J31" s="77"/>
      <c r="K31" s="77"/>
      <c r="L31" s="155"/>
      <c r="M31" s="77"/>
      <c r="N31" s="537"/>
      <c r="O31" s="7"/>
      <c r="P31" s="527"/>
    </row>
    <row r="32" spans="2:16" ht="15.6" x14ac:dyDescent="0.3">
      <c r="B32" s="253" t="s">
        <v>149</v>
      </c>
      <c r="C32" s="89">
        <f t="shared" ref="C32:M32" si="2">+C22-C30</f>
        <v>5247.57</v>
      </c>
      <c r="D32" s="89">
        <f t="shared" si="2"/>
        <v>6604.42</v>
      </c>
      <c r="E32" s="89">
        <f t="shared" si="2"/>
        <v>9610.34</v>
      </c>
      <c r="F32" s="89">
        <f t="shared" si="2"/>
        <v>10979.89</v>
      </c>
      <c r="G32" s="89">
        <f t="shared" si="2"/>
        <v>10465.199999999999</v>
      </c>
      <c r="H32" s="89">
        <f t="shared" si="2"/>
        <v>11691.09</v>
      </c>
      <c r="I32" s="89">
        <f t="shared" si="2"/>
        <v>11465.460000000001</v>
      </c>
      <c r="J32" s="89">
        <f t="shared" si="2"/>
        <v>11523.82</v>
      </c>
      <c r="K32" s="89">
        <f t="shared" si="2"/>
        <v>8608.9699999999993</v>
      </c>
      <c r="L32" s="156">
        <f t="shared" si="2"/>
        <v>10438.36</v>
      </c>
      <c r="M32" s="89">
        <f t="shared" si="2"/>
        <v>9880.0014962481182</v>
      </c>
      <c r="N32" s="372">
        <f>+N22-N30</f>
        <v>11374.049128764025</v>
      </c>
      <c r="P32" s="528">
        <f>+SUM(C32:N32)</f>
        <v>117889.17062501216</v>
      </c>
    </row>
    <row r="33" spans="2:20" x14ac:dyDescent="0.3">
      <c r="B33" s="255" t="s">
        <v>150</v>
      </c>
      <c r="C33" s="91">
        <f t="shared" ref="C33:N33" si="3">IFERROR(C32/C22, 0)</f>
        <v>0.96068344461063315</v>
      </c>
      <c r="D33" s="91">
        <f t="shared" si="3"/>
        <v>0.9225325848127045</v>
      </c>
      <c r="E33" s="91">
        <f t="shared" si="3"/>
        <v>0.93797299592225536</v>
      </c>
      <c r="F33" s="91">
        <f t="shared" si="3"/>
        <v>0.9534316066612365</v>
      </c>
      <c r="G33" s="91">
        <f t="shared" si="3"/>
        <v>0.9637147385219762</v>
      </c>
      <c r="H33" s="91">
        <f t="shared" si="3"/>
        <v>0.95602764616700553</v>
      </c>
      <c r="I33" s="91">
        <f t="shared" si="3"/>
        <v>0.93848868865689772</v>
      </c>
      <c r="J33" s="91">
        <f t="shared" si="3"/>
        <v>0.95450460486917599</v>
      </c>
      <c r="K33" s="91">
        <f t="shared" si="3"/>
        <v>0.95106037691242895</v>
      </c>
      <c r="L33" s="157">
        <f t="shared" si="3"/>
        <v>0.9419168311971442</v>
      </c>
      <c r="M33" s="91">
        <f t="shared" si="3"/>
        <v>0.94916060432624971</v>
      </c>
      <c r="N33" s="373">
        <f t="shared" si="3"/>
        <v>0.94916060432624971</v>
      </c>
      <c r="P33" s="529">
        <f>P32/P22</f>
        <v>0.94851656852417787</v>
      </c>
      <c r="T33" s="1"/>
    </row>
    <row r="34" spans="2:20" x14ac:dyDescent="0.3">
      <c r="B34" s="237" t="s">
        <v>342</v>
      </c>
      <c r="C34" s="74">
        <f>SUMIF('Monthly Detail'!$4:$4, '2024 Overview'!C$19, 'Monthly Detail'!$65:$65)</f>
        <v>0</v>
      </c>
      <c r="D34" s="74">
        <f>SUMIF('Monthly Detail'!$4:$4, '2024 Overview'!D$19, 'Monthly Detail'!$65:$65)</f>
        <v>0</v>
      </c>
      <c r="E34" s="74">
        <f>SUMIF('Monthly Detail'!$4:$4, '2024 Overview'!E$19, 'Monthly Detail'!$65:$65)</f>
        <v>0</v>
      </c>
      <c r="F34" s="74">
        <f>SUMIF('Monthly Detail'!$4:$4, '2024 Overview'!F$19, 'Monthly Detail'!$65:$65)</f>
        <v>0</v>
      </c>
      <c r="G34" s="74">
        <f>SUMIF('Monthly Detail'!$4:$4, '2024 Overview'!G$19, 'Monthly Detail'!$65:$65)</f>
        <v>0</v>
      </c>
      <c r="H34" s="74">
        <f>SUMIF('Monthly Detail'!$4:$4, '2024 Overview'!H$19, 'Monthly Detail'!$65:$65)</f>
        <v>0</v>
      </c>
      <c r="I34" s="74">
        <f>SUMIF('Monthly Detail'!$4:$4, '2024 Overview'!I$19, 'Monthly Detail'!$65:$65)</f>
        <v>0</v>
      </c>
      <c r="J34" s="74">
        <f>SUMIF('Monthly Detail'!$4:$4, '2024 Overview'!J$19, 'Monthly Detail'!$65:$65)</f>
        <v>0</v>
      </c>
      <c r="K34" s="74">
        <f>SUMIF('Monthly Detail'!$4:$4, '2024 Overview'!K$19, 'Monthly Detail'!$65:$65)</f>
        <v>63</v>
      </c>
      <c r="L34" s="153">
        <f>SUMIF('Monthly Detail'!$4:$4, '2024 Overview'!L$19, 'Monthly Detail'!$65:$65)</f>
        <v>11.73</v>
      </c>
      <c r="M34" s="74">
        <f>SUMIF('Monthly Detail'!$4:$4, '2024 Overview'!M$19, 'Monthly Detail'!$65:$65)</f>
        <v>50</v>
      </c>
      <c r="N34" s="535">
        <f>SUMIF('Monthly Detail'!$4:$4, '2024 Overview'!N$19, 'Monthly Detail'!$65:$65)</f>
        <v>50</v>
      </c>
      <c r="P34" s="523">
        <f>SUM(C34:O34)</f>
        <v>174.73000000000002</v>
      </c>
    </row>
    <row r="35" spans="2:20" x14ac:dyDescent="0.3">
      <c r="B35" s="237" t="s">
        <v>187</v>
      </c>
      <c r="C35" s="74">
        <f>SUMIF('Monthly Detail'!$4:$4, '2024 Overview'!C$19, 'Monthly Detail'!$79:$79)</f>
        <v>85.62</v>
      </c>
      <c r="D35" s="74">
        <f>SUMIF('Monthly Detail'!$4:$4, '2024 Overview'!D$19, 'Monthly Detail'!$79:$79)</f>
        <v>1011.1800000000001</v>
      </c>
      <c r="E35" s="74">
        <f>SUMIF('Monthly Detail'!$4:$4, '2024 Overview'!E$19, 'Monthly Detail'!$79:$79)</f>
        <v>888.45</v>
      </c>
      <c r="F35" s="74">
        <f>SUMIF('Monthly Detail'!$4:$4, '2024 Overview'!F$19, 'Monthly Detail'!$79:$79)</f>
        <v>1246.83</v>
      </c>
      <c r="G35" s="74">
        <f>SUMIF('Monthly Detail'!$4:$4, '2024 Overview'!G$19, 'Monthly Detail'!$79:$79)</f>
        <v>816.03</v>
      </c>
      <c r="H35" s="74">
        <f>SUMIF('Monthly Detail'!$4:$4, '2024 Overview'!H$19, 'Monthly Detail'!$79:$79)</f>
        <v>1171.1599999999999</v>
      </c>
      <c r="I35" s="74">
        <f>SUMIF('Monthly Detail'!$4:$4, '2024 Overview'!I$19, 'Monthly Detail'!$79:$79)</f>
        <v>2775.1</v>
      </c>
      <c r="J35" s="74">
        <f>SUMIF('Monthly Detail'!$4:$4, '2024 Overview'!J$19, 'Monthly Detail'!$79:$79)</f>
        <v>2621.57</v>
      </c>
      <c r="K35" s="74">
        <f>SUMIF('Monthly Detail'!$4:$4, '2024 Overview'!K$19, 'Monthly Detail'!$79:$79)</f>
        <v>2756.95</v>
      </c>
      <c r="L35" s="153">
        <f>SUMIF('Monthly Detail'!$4:$4, '2024 Overview'!L$19, 'Monthly Detail'!$79:$79)</f>
        <v>2632.55</v>
      </c>
      <c r="M35" s="74">
        <f>SUMIF('Monthly Detail'!$4:$4, '2024 Overview'!M$19, 'Monthly Detail'!$79:$79)</f>
        <v>2738.7616666666668</v>
      </c>
      <c r="N35" s="535">
        <f>SUMIF('Monthly Detail'!$4:$4, '2024 Overview'!N$19, 'Monthly Detail'!$79:$79)</f>
        <v>2838.7616666666668</v>
      </c>
      <c r="P35" s="523">
        <f>SUM(C35:O35)</f>
        <v>21582.96333333333</v>
      </c>
    </row>
    <row r="36" spans="2:20" ht="15.6" x14ac:dyDescent="0.3">
      <c r="B36" s="258" t="s">
        <v>151</v>
      </c>
      <c r="C36" s="80">
        <f>SUM(C34:C35)</f>
        <v>85.62</v>
      </c>
      <c r="D36" s="80">
        <f t="shared" ref="D36:N36" si="4">SUM(D34:D35)</f>
        <v>1011.1800000000001</v>
      </c>
      <c r="E36" s="80">
        <f t="shared" si="4"/>
        <v>888.45</v>
      </c>
      <c r="F36" s="80">
        <f t="shared" si="4"/>
        <v>1246.83</v>
      </c>
      <c r="G36" s="80">
        <f t="shared" si="4"/>
        <v>816.03</v>
      </c>
      <c r="H36" s="80">
        <f t="shared" si="4"/>
        <v>1171.1599999999999</v>
      </c>
      <c r="I36" s="80">
        <f t="shared" si="4"/>
        <v>2775.1</v>
      </c>
      <c r="J36" s="80">
        <f t="shared" si="4"/>
        <v>2621.57</v>
      </c>
      <c r="K36" s="80">
        <f t="shared" si="4"/>
        <v>2819.95</v>
      </c>
      <c r="L36" s="158">
        <f t="shared" si="4"/>
        <v>2644.28</v>
      </c>
      <c r="M36" s="80">
        <f t="shared" si="4"/>
        <v>2788.7616666666668</v>
      </c>
      <c r="N36" s="376">
        <f t="shared" si="4"/>
        <v>2888.7616666666668</v>
      </c>
      <c r="O36" s="259"/>
      <c r="P36" s="530">
        <f>SUM(P34:P35)</f>
        <v>21757.693333333329</v>
      </c>
    </row>
    <row r="37" spans="2:20" ht="4.95" customHeight="1" x14ac:dyDescent="0.3">
      <c r="B37" s="237"/>
      <c r="L37" s="117"/>
      <c r="N37" s="286"/>
      <c r="O37" s="7"/>
      <c r="P37" s="522"/>
    </row>
    <row r="38" spans="2:20" ht="15.6" x14ac:dyDescent="0.3">
      <c r="B38" s="253" t="s">
        <v>152</v>
      </c>
      <c r="C38" s="89">
        <f t="shared" ref="C38:N38" si="5">C32-C36</f>
        <v>5161.95</v>
      </c>
      <c r="D38" s="89">
        <f t="shared" si="5"/>
        <v>5593.24</v>
      </c>
      <c r="E38" s="89">
        <f t="shared" si="5"/>
        <v>8721.89</v>
      </c>
      <c r="F38" s="89">
        <f t="shared" si="5"/>
        <v>9733.06</v>
      </c>
      <c r="G38" s="89">
        <f t="shared" si="5"/>
        <v>9649.1699999999983</v>
      </c>
      <c r="H38" s="89">
        <f t="shared" si="5"/>
        <v>10519.93</v>
      </c>
      <c r="I38" s="89">
        <f t="shared" si="5"/>
        <v>8690.36</v>
      </c>
      <c r="J38" s="89">
        <f t="shared" si="5"/>
        <v>8902.25</v>
      </c>
      <c r="K38" s="89">
        <f t="shared" si="5"/>
        <v>5789.0199999999995</v>
      </c>
      <c r="L38" s="156">
        <f t="shared" si="5"/>
        <v>7794.08</v>
      </c>
      <c r="M38" s="89">
        <f t="shared" si="5"/>
        <v>7091.239829581451</v>
      </c>
      <c r="N38" s="372">
        <f t="shared" si="5"/>
        <v>8485.287462097358</v>
      </c>
      <c r="P38" s="528">
        <f>P32-P36</f>
        <v>96131.477291678835</v>
      </c>
    </row>
    <row r="39" spans="2:20" x14ac:dyDescent="0.3">
      <c r="B39" s="255" t="s">
        <v>153</v>
      </c>
      <c r="C39" s="91">
        <f t="shared" ref="C39:N39" si="6">IFERROR(C38/C22, 0)</f>
        <v>0.94500881491964051</v>
      </c>
      <c r="D39" s="91">
        <f t="shared" si="6"/>
        <v>0.78128679803492374</v>
      </c>
      <c r="E39" s="91">
        <f t="shared" si="6"/>
        <v>0.85125992352032909</v>
      </c>
      <c r="F39" s="91">
        <f t="shared" si="6"/>
        <v>0.84516393456858085</v>
      </c>
      <c r="G39" s="91">
        <f t="shared" si="6"/>
        <v>0.88856852649773499</v>
      </c>
      <c r="H39" s="91">
        <f t="shared" si="6"/>
        <v>0.86025716299692045</v>
      </c>
      <c r="I39" s="91">
        <f t="shared" si="6"/>
        <v>0.71133688141220308</v>
      </c>
      <c r="J39" s="91">
        <f t="shared" si="6"/>
        <v>0.73736301145771299</v>
      </c>
      <c r="K39" s="91">
        <f t="shared" si="6"/>
        <v>0.63953150529663705</v>
      </c>
      <c r="L39" s="157">
        <f t="shared" si="6"/>
        <v>0.70330733330686401</v>
      </c>
      <c r="M39" s="91">
        <f t="shared" si="6"/>
        <v>0.6812474152583744</v>
      </c>
      <c r="N39" s="373">
        <f t="shared" si="6"/>
        <v>0.70809440720970973</v>
      </c>
      <c r="O39" s="133"/>
      <c r="P39" s="529">
        <f>P38/P22</f>
        <v>0.7734578034983417</v>
      </c>
    </row>
    <row r="40" spans="2:20" ht="5.4" customHeight="1" x14ac:dyDescent="0.3">
      <c r="B40" s="261"/>
      <c r="C40" s="83"/>
      <c r="D40" s="83"/>
      <c r="E40" s="83"/>
      <c r="F40" s="83"/>
      <c r="G40" s="83"/>
      <c r="H40" s="83"/>
      <c r="I40" s="83"/>
      <c r="J40" s="83"/>
      <c r="K40" s="83"/>
      <c r="L40" s="159"/>
      <c r="M40" s="83"/>
      <c r="N40" s="538"/>
      <c r="O40" s="259"/>
      <c r="P40" s="531"/>
    </row>
    <row r="41" spans="2:20" x14ac:dyDescent="0.3">
      <c r="B41" s="237" t="s">
        <v>154</v>
      </c>
      <c r="C41" s="133">
        <f>SUMIF('Monthly Detail'!$4:$4, '2024 Overview'!C$19, 'Monthly Detail'!114:114)</f>
        <v>0</v>
      </c>
      <c r="D41" s="133">
        <f>SUMIF('Monthly Detail'!$4:$4, '2024 Overview'!D$19, 'Monthly Detail'!114:114)</f>
        <v>0</v>
      </c>
      <c r="E41" s="133">
        <f>SUMIF('Monthly Detail'!$4:$4, '2024 Overview'!E$19, 'Monthly Detail'!114:114)</f>
        <v>0</v>
      </c>
      <c r="F41" s="133">
        <f>SUMIF('Monthly Detail'!$4:$4, '2024 Overview'!F$19, 'Monthly Detail'!114:114)</f>
        <v>0</v>
      </c>
      <c r="G41" s="133">
        <f>SUMIF('Monthly Detail'!$4:$4, '2024 Overview'!G$19, 'Monthly Detail'!114:114)</f>
        <v>0</v>
      </c>
      <c r="H41" s="133">
        <f>SUMIF('Monthly Detail'!$4:$4, '2024 Overview'!H$19, 'Monthly Detail'!114:114)</f>
        <v>0</v>
      </c>
      <c r="I41" s="133">
        <f>SUMIF('Monthly Detail'!$4:$4, '2024 Overview'!I$19, 'Monthly Detail'!114:114)</f>
        <v>0</v>
      </c>
      <c r="J41" s="133">
        <f>SUMIF('Monthly Detail'!$4:$4, '2024 Overview'!J$19, 'Monthly Detail'!114:114)</f>
        <v>0</v>
      </c>
      <c r="K41" s="133">
        <f>SUMIF('Monthly Detail'!$4:$4, '2024 Overview'!K$19, 'Monthly Detail'!114:114)</f>
        <v>0</v>
      </c>
      <c r="L41" s="160">
        <f>SUMIF('Monthly Detail'!$4:$4, '2024 Overview'!L$19, 'Monthly Detail'!114:114)</f>
        <v>0</v>
      </c>
      <c r="M41" s="133">
        <f>SUMIF('Monthly Detail'!$4:$4, '2024 Overview'!M$19, 'Monthly Detail'!114:114)</f>
        <v>0</v>
      </c>
      <c r="N41" s="539">
        <f>SUMIF('Monthly Detail'!$4:$4, '2024 Overview'!N$19, 'Monthly Detail'!114:114)</f>
        <v>0</v>
      </c>
      <c r="O41" s="7"/>
      <c r="P41" s="532">
        <f>SUM(C41:O41)</f>
        <v>0</v>
      </c>
    </row>
    <row r="42" spans="2:20" ht="15.6" x14ac:dyDescent="0.3">
      <c r="B42" s="253" t="s">
        <v>12</v>
      </c>
      <c r="C42" s="89">
        <f t="shared" ref="C42:N42" si="7">C38+SUM(C41:C41)</f>
        <v>5161.95</v>
      </c>
      <c r="D42" s="89">
        <f t="shared" si="7"/>
        <v>5593.24</v>
      </c>
      <c r="E42" s="89">
        <f t="shared" si="7"/>
        <v>8721.89</v>
      </c>
      <c r="F42" s="89">
        <f t="shared" si="7"/>
        <v>9733.06</v>
      </c>
      <c r="G42" s="89">
        <f t="shared" si="7"/>
        <v>9649.1699999999983</v>
      </c>
      <c r="H42" s="89">
        <f t="shared" si="7"/>
        <v>10519.93</v>
      </c>
      <c r="I42" s="89">
        <f t="shared" si="7"/>
        <v>8690.36</v>
      </c>
      <c r="J42" s="89">
        <f t="shared" si="7"/>
        <v>8902.25</v>
      </c>
      <c r="K42" s="89">
        <f t="shared" si="7"/>
        <v>5789.0199999999995</v>
      </c>
      <c r="L42" s="156">
        <f t="shared" si="7"/>
        <v>7794.08</v>
      </c>
      <c r="M42" s="89">
        <f t="shared" si="7"/>
        <v>7091.239829581451</v>
      </c>
      <c r="N42" s="372">
        <f t="shared" si="7"/>
        <v>8485.287462097358</v>
      </c>
      <c r="P42" s="528">
        <f>P38+SUM(P41:P41)</f>
        <v>96131.477291678835</v>
      </c>
    </row>
    <row r="43" spans="2:20" x14ac:dyDescent="0.3">
      <c r="B43" s="255" t="s">
        <v>155</v>
      </c>
      <c r="C43" s="91">
        <f t="shared" ref="C43:N43" si="8">IFERROR(C42/C22, 0)</f>
        <v>0.94500881491964051</v>
      </c>
      <c r="D43" s="91">
        <f t="shared" si="8"/>
        <v>0.78128679803492374</v>
      </c>
      <c r="E43" s="91">
        <f t="shared" si="8"/>
        <v>0.85125992352032909</v>
      </c>
      <c r="F43" s="91">
        <f t="shared" si="8"/>
        <v>0.84516393456858085</v>
      </c>
      <c r="G43" s="91">
        <f t="shared" si="8"/>
        <v>0.88856852649773499</v>
      </c>
      <c r="H43" s="91">
        <f t="shared" si="8"/>
        <v>0.86025716299692045</v>
      </c>
      <c r="I43" s="91">
        <f t="shared" si="8"/>
        <v>0.71133688141220308</v>
      </c>
      <c r="J43" s="91">
        <f t="shared" si="8"/>
        <v>0.73736301145771299</v>
      </c>
      <c r="K43" s="91">
        <f t="shared" si="8"/>
        <v>0.63953150529663705</v>
      </c>
      <c r="L43" s="157">
        <f t="shared" si="8"/>
        <v>0.70330733330686401</v>
      </c>
      <c r="M43" s="91">
        <f t="shared" si="8"/>
        <v>0.6812474152583744</v>
      </c>
      <c r="N43" s="373">
        <f t="shared" si="8"/>
        <v>0.70809440720970973</v>
      </c>
      <c r="P43" s="533">
        <f>P42/P22</f>
        <v>0.7734578034983417</v>
      </c>
    </row>
    <row r="44" spans="2:20" ht="6" customHeight="1" thickBot="1" x14ac:dyDescent="0.35">
      <c r="B44" s="237"/>
      <c r="E44" s="110"/>
      <c r="P44" s="98"/>
    </row>
    <row r="45" spans="2:20" ht="15" thickBot="1" x14ac:dyDescent="0.35">
      <c r="B45" s="264" t="s">
        <v>330</v>
      </c>
      <c r="C45" s="266">
        <f>+'Monthly Detail'!AB97</f>
        <v>664.54700000000003</v>
      </c>
      <c r="D45" s="265">
        <f>+'Monthly Detail'!AC97</f>
        <v>749.54100000000005</v>
      </c>
      <c r="E45" s="265">
        <f>+'Monthly Detail'!AD97</f>
        <v>357.87050000000005</v>
      </c>
      <c r="F45" s="265">
        <f>+'Monthly Detail'!AE97</f>
        <v>503.65250000000003</v>
      </c>
      <c r="G45" s="267">
        <f>+'Monthly Detail'!AF97</f>
        <v>789.2170000000001</v>
      </c>
      <c r="H45" s="267">
        <f>+'Monthly Detail'!AG97</f>
        <v>1423.799</v>
      </c>
      <c r="I45" s="267">
        <f>+'Monthly Detail'!AH97</f>
        <v>648.71950000000004</v>
      </c>
      <c r="J45" s="267">
        <f>+'Monthly Detail'!AI97</f>
        <v>1138.2605000000001</v>
      </c>
      <c r="K45" s="267">
        <f>+'Monthly Detail'!AJ97</f>
        <v>167.56349999999998</v>
      </c>
      <c r="L45" s="267">
        <f>+'Monthly Detail'!AK97</f>
        <v>507.47450000000003</v>
      </c>
      <c r="M45" s="265">
        <f>+'Monthly Detail'!AL97</f>
        <v>888.53038922794315</v>
      </c>
      <c r="N45" s="267">
        <f>+'Monthly Detail'!AM97</f>
        <v>2182.2172395912257</v>
      </c>
      <c r="P45" s="98"/>
    </row>
    <row r="46" spans="2:20" ht="15" thickBot="1" x14ac:dyDescent="0.35">
      <c r="B46" s="493" t="s">
        <v>331</v>
      </c>
      <c r="C46" s="494">
        <f>+'Monthly Detail'!AB95</f>
        <v>5.14</v>
      </c>
      <c r="D46" s="495">
        <f>+'Monthly Detail'!AC95</f>
        <v>5.14</v>
      </c>
      <c r="E46" s="495">
        <f>+'Monthly Detail'!AD95</f>
        <v>5</v>
      </c>
      <c r="F46" s="495">
        <f>+'Monthly Detail'!AE95</f>
        <v>5</v>
      </c>
      <c r="G46" s="496">
        <f>+'Monthly Detail'!AF95</f>
        <v>243.09</v>
      </c>
      <c r="H46" s="496">
        <f>+'Monthly Detail'!AG95</f>
        <v>5</v>
      </c>
      <c r="I46" s="496">
        <f>+'Monthly Detail'!AH95</f>
        <v>5</v>
      </c>
      <c r="J46" s="496">
        <f>+'Monthly Detail'!AI95</f>
        <v>5</v>
      </c>
      <c r="K46" s="496">
        <f>+'Monthly Detail'!AJ95</f>
        <v>5</v>
      </c>
      <c r="L46" s="496">
        <f>+'Monthly Detail'!AK95</f>
        <v>5</v>
      </c>
      <c r="M46" s="495">
        <f>+'Monthly Detail'!AL95</f>
        <v>483.43944035350779</v>
      </c>
      <c r="N46" s="496">
        <f>+'Monthly Detail'!AM95</f>
        <v>1489.2756883173631</v>
      </c>
      <c r="P46" s="98"/>
    </row>
    <row r="47" spans="2:20" ht="15" thickBot="1" x14ac:dyDescent="0.35">
      <c r="B47" s="268" t="s">
        <v>296</v>
      </c>
      <c r="C47" s="490">
        <f>+'Monthly Detail'!AB143</f>
        <v>1022.3799999999992</v>
      </c>
      <c r="D47" s="491">
        <f>+'Monthly Detail'!AC143</f>
        <v>1153.1399999999958</v>
      </c>
      <c r="E47" s="491">
        <f>+'Monthly Detail'!AD143</f>
        <v>550.56999999999607</v>
      </c>
      <c r="F47" s="491">
        <f>+'Monthly Detail'!AE143</f>
        <v>774.850000000004</v>
      </c>
      <c r="G47" s="492">
        <f>+'Monthly Detail'!AF143</f>
        <v>1214.1799999999912</v>
      </c>
      <c r="H47" s="492">
        <f>+'Monthly Detail'!AG143</f>
        <v>2190.4599999999973</v>
      </c>
      <c r="I47" s="492">
        <f>+'Monthly Detail'!AH143</f>
        <v>998.02999999999338</v>
      </c>
      <c r="J47" s="492">
        <f>+'Monthly Detail'!AI143</f>
        <v>1751.1699999999892</v>
      </c>
      <c r="K47" s="492">
        <f>+'Monthly Detail'!AJ143</f>
        <v>257.78999999999633</v>
      </c>
      <c r="L47" s="492">
        <f>+'Monthly Detail'!AK143</f>
        <v>780.7299999999932</v>
      </c>
      <c r="M47" s="491">
        <f>+'Monthly Detail'!AL143</f>
        <v>1371.9698295814442</v>
      </c>
      <c r="N47" s="492">
        <f>+'Monthly Detail'!AM143</f>
        <v>3357.2572916788022</v>
      </c>
      <c r="P47" s="98"/>
    </row>
    <row r="48" spans="2:20" ht="15" thickBot="1" x14ac:dyDescent="0.35">
      <c r="B48" s="86" t="s">
        <v>232</v>
      </c>
      <c r="C48" s="87">
        <f>SUMIF('Monthly Detail'!$4:$4, '2024 Overview'!C$19, 'Monthly Detail'!140:140)</f>
        <v>-1776.5900000000011</v>
      </c>
      <c r="D48" s="164">
        <f>SUMIF('Monthly Detail'!$4:$4, '2024 Overview'!D$19, 'Monthly Detail'!140:140)</f>
        <v>130.75999999999658</v>
      </c>
      <c r="E48" s="164">
        <f>SUMIF('Monthly Detail'!$4:$4, '2024 Overview'!E$19, 'Monthly Detail'!140:140)</f>
        <v>-602.56999999999971</v>
      </c>
      <c r="F48" s="164">
        <f>SUMIF('Monthly Detail'!$4:$4, '2024 Overview'!F$19, 'Monthly Detail'!140:140)</f>
        <v>224.28000000000793</v>
      </c>
      <c r="G48" s="164">
        <f>SUMIF('Monthly Detail'!$4:$4, '2024 Overview'!G$19, 'Monthly Detail'!140:140)</f>
        <v>439.32999999998719</v>
      </c>
      <c r="H48" s="164">
        <f>SUMIF('Monthly Detail'!$4:$4, '2024 Overview'!H$19, 'Monthly Detail'!140:140)</f>
        <v>976.28000000000611</v>
      </c>
      <c r="I48" s="164">
        <f>SUMIF('Monthly Detail'!$4:$4, '2024 Overview'!I$19, 'Monthly Detail'!140:140)</f>
        <v>-1192.4300000000039</v>
      </c>
      <c r="J48" s="164">
        <f>SUMIF('Monthly Detail'!$4:$4, '2024 Overview'!J$19, 'Monthly Detail'!140:140)</f>
        <v>753.13999999999578</v>
      </c>
      <c r="K48" s="164">
        <f>SUMIF('Monthly Detail'!$4:$4, '2024 Overview'!K$19, 'Monthly Detail'!140:140)</f>
        <v>-1493.3799999999928</v>
      </c>
      <c r="L48" s="164">
        <f>SUMIF('Monthly Detail'!$4:$4, '2024 Overview'!L$19, 'Monthly Detail'!140:140)</f>
        <v>522.93999999999687</v>
      </c>
      <c r="M48" s="87">
        <f>SUMIF('Monthly Detail'!$4:$4, '2024 Overview'!M$19, 'Monthly Detail'!140:140)</f>
        <v>591.23982958145098</v>
      </c>
      <c r="N48" s="87">
        <f>SUMIF('Monthly Detail'!$4:$4, '2024 Overview'!N$19, 'Monthly Detail'!140:140)</f>
        <v>1985.287462097358</v>
      </c>
      <c r="P48" s="98"/>
    </row>
    <row r="49" spans="2:16" ht="15" thickBot="1" x14ac:dyDescent="0.35">
      <c r="B49" s="272" t="s">
        <v>233</v>
      </c>
      <c r="C49" s="273">
        <f>-'Monthly Detail'!AB79</f>
        <v>-85.62</v>
      </c>
      <c r="D49" s="274">
        <f>-'Monthly Detail'!AC79</f>
        <v>-1011.1800000000001</v>
      </c>
      <c r="E49" s="274">
        <f>-'Monthly Detail'!AD79</f>
        <v>-888.45</v>
      </c>
      <c r="F49" s="274">
        <f>-'Monthly Detail'!AE79</f>
        <v>-1246.83</v>
      </c>
      <c r="G49" s="274">
        <f>-'Monthly Detail'!AF79</f>
        <v>-816.03</v>
      </c>
      <c r="H49" s="274">
        <f>-'Monthly Detail'!AG79</f>
        <v>-1171.1599999999999</v>
      </c>
      <c r="I49" s="274">
        <f>-'Monthly Detail'!AH79</f>
        <v>-2775.1</v>
      </c>
      <c r="J49" s="274">
        <f>-'Monthly Detail'!AI79</f>
        <v>-2621.57</v>
      </c>
      <c r="K49" s="274">
        <f>-'Monthly Detail'!AJ79</f>
        <v>-2756.95</v>
      </c>
      <c r="L49" s="274">
        <f>-'Monthly Detail'!AK79</f>
        <v>-2632.55</v>
      </c>
      <c r="M49" s="274">
        <f>-'Monthly Detail'!AL79</f>
        <v>-2738.7616666666668</v>
      </c>
      <c r="N49" s="274">
        <f>-'Monthly Detail'!AM79</f>
        <v>-2838.7616666666668</v>
      </c>
      <c r="P49" s="98"/>
    </row>
    <row r="50" spans="2:16" ht="15" thickBot="1" x14ac:dyDescent="0.35">
      <c r="B50" s="272" t="s">
        <v>234</v>
      </c>
      <c r="C50" s="273">
        <f>+'Monthly Detail'!AB125</f>
        <v>-3938.5400000000009</v>
      </c>
      <c r="D50" s="274">
        <f>+'Monthly Detail'!AC125</f>
        <v>-8462.4800000000032</v>
      </c>
      <c r="E50" s="274">
        <f>+'Monthly Detail'!AD125</f>
        <v>-9324.4599999999991</v>
      </c>
      <c r="F50" s="274">
        <f>+'Monthly Detail'!AE125</f>
        <v>-9893.7799999999916</v>
      </c>
      <c r="G50" s="274">
        <f>+'Monthly Detail'!AF125</f>
        <v>-9422.3400000000111</v>
      </c>
      <c r="H50" s="274">
        <f>+'Monthly Detail'!AG125</f>
        <v>-9543.6499999999942</v>
      </c>
      <c r="I50" s="274">
        <f>+'Monthly Detail'!AH125</f>
        <v>-10258.270000000004</v>
      </c>
      <c r="J50" s="274">
        <f>+'Monthly Detail'!AI125</f>
        <v>-7886.1300000000047</v>
      </c>
      <c r="K50" s="274">
        <f>+'Monthly Detail'!AJ125</f>
        <v>-6814.8199999999924</v>
      </c>
      <c r="L50" s="274">
        <f>+'Monthly Detail'!AK125</f>
        <v>-7269.5500000000029</v>
      </c>
      <c r="M50" s="274">
        <f>+'Monthly Detail'!AL125</f>
        <v>-6500</v>
      </c>
      <c r="N50" s="274">
        <f>+'Monthly Detail'!AM125</f>
        <v>-6500</v>
      </c>
      <c r="P50" s="98"/>
    </row>
    <row r="51" spans="2:16" ht="15" thickBot="1" x14ac:dyDescent="0.35">
      <c r="B51" s="272" t="s">
        <v>235</v>
      </c>
      <c r="C51" s="87">
        <f>+C45-SUM('Monthly Detail'!AC79:AN79)-SUM('Monthly Detail'!AC57:AN57)</f>
        <v>-30587.276413560314</v>
      </c>
      <c r="D51" s="87">
        <f>+D45-SUM('Monthly Detail'!AD79:AO79)-SUM('Monthly Detail'!AD57:AO57)</f>
        <v>-32490.052580268188</v>
      </c>
      <c r="E51" s="87">
        <f>+E45-SUM('Monthly Detail'!AE79:AP79)-SUM('Monthly Detail'!AE57:AP57)</f>
        <v>-35009.848913974776</v>
      </c>
      <c r="F51" s="87">
        <f>+F45-SUM('Monthly Detail'!AF79:AQ79)-SUM('Monthly Detail'!AF57:AQ57)</f>
        <v>-36613.755447849937</v>
      </c>
      <c r="G51" s="275">
        <f>+G45-SUM('Monthly Detail'!AG79:AR79)-SUM('Monthly Detail'!AG57:AR57)</f>
        <v>-38700.39791427266</v>
      </c>
      <c r="H51" s="164">
        <f>+H45-SUM('Monthly Detail'!AH79:AS79)-SUM('Monthly Detail'!AH57:AS57)</f>
        <v>-40083.244345506391</v>
      </c>
      <c r="I51" s="164">
        <f>+I45-SUM('Monthly Detail'!AI79:AT79)-SUM('Monthly Detail'!AI57:AT57)</f>
        <v>-41032.922782516041</v>
      </c>
      <c r="J51" s="164">
        <f>+J45-SUM('Monthly Detail'!AJ79:AU79)-SUM('Monthly Detail'!AJ57:AU57)</f>
        <v>-41181.895812636016</v>
      </c>
      <c r="K51" s="164">
        <f>+K45-SUM('Monthly Detail'!AK79:AV79)-SUM('Monthly Detail'!AK57:AV57)</f>
        <v>-42764.398436699994</v>
      </c>
      <c r="L51" s="164">
        <f>+L45-SUM('Monthly Detail'!AL79:AW79)-SUM('Monthly Detail'!AL57:AW57)</f>
        <v>-42899.815436723657</v>
      </c>
      <c r="M51" s="87">
        <f>+M45-SUM('Monthly Detail'!AM79:AX79)-SUM('Monthly Detail'!AM57:AX57)</f>
        <v>-43073.624482371255</v>
      </c>
      <c r="N51" s="87">
        <f>+N45-SUM('Monthly Detail'!AN79:AY79)-SUM('Monthly Detail'!AN57:AY57)</f>
        <v>-42318.077345443453</v>
      </c>
      <c r="P51" s="98"/>
    </row>
    <row r="52" spans="2:16" ht="15" thickBot="1" x14ac:dyDescent="0.35">
      <c r="B52" s="272" t="s">
        <v>236</v>
      </c>
      <c r="C52" s="275">
        <f>+C47-SUM('Monthly Detail'!AC79:AN79)-SUM('Monthly Detail'!AC57:AN57)</f>
        <v>-30229.443413560315</v>
      </c>
      <c r="D52" s="275">
        <f>+D47-SUM('Monthly Detail'!AD79:AO79)-SUM('Monthly Detail'!AD57:AO57)</f>
        <v>-32086.453580268193</v>
      </c>
      <c r="E52" s="275">
        <f>+E47-SUM('Monthly Detail'!AE79:AP79)-SUM('Monthly Detail'!AE57:AP57)</f>
        <v>-34817.149413974781</v>
      </c>
      <c r="F52" s="275">
        <f>+F47-SUM('Monthly Detail'!AF79:AQ79)-SUM('Monthly Detail'!AF57:AQ57)</f>
        <v>-36342.557947849942</v>
      </c>
      <c r="G52" s="275">
        <f>+G47-SUM('Monthly Detail'!AG79:AR79)-SUM('Monthly Detail'!AG57:AR57)</f>
        <v>-38275.434914272671</v>
      </c>
      <c r="H52" s="275">
        <f>+H47-SUM('Monthly Detail'!AH79:AS79)-SUM('Monthly Detail'!AH57:AS57)</f>
        <v>-39316.583345506391</v>
      </c>
      <c r="I52" s="275">
        <f>+I47-SUM('Monthly Detail'!AI79:AT79)-SUM('Monthly Detail'!AI57:AT57)</f>
        <v>-40683.612282516049</v>
      </c>
      <c r="J52" s="275">
        <f>+J47-SUM('Monthly Detail'!AJ79:AU79)-SUM('Monthly Detail'!AJ57:AU57)</f>
        <v>-40568.986312636021</v>
      </c>
      <c r="K52" s="275">
        <f>+K47-SUM('Monthly Detail'!AK79:AV79)-SUM('Monthly Detail'!AK57:AV57)</f>
        <v>-42674.171936699997</v>
      </c>
      <c r="L52" s="275">
        <f>+L47-SUM('Monthly Detail'!AL79:AW79)-SUM('Monthly Detail'!AL57:AW57)</f>
        <v>-42626.559936723657</v>
      </c>
      <c r="M52" s="275">
        <f>+M47-SUM('Monthly Detail'!AM79:AX79)-SUM('Monthly Detail'!AM57:AX57)</f>
        <v>-42590.185042017751</v>
      </c>
      <c r="N52" s="275">
        <f>+N47-SUM('Monthly Detail'!AN79:AY79)-SUM('Monthly Detail'!AN57:AY57)</f>
        <v>-41143.037293355876</v>
      </c>
      <c r="P52" s="98"/>
    </row>
    <row r="53" spans="2:16" ht="15" thickBot="1" x14ac:dyDescent="0.35">
      <c r="B53" s="272" t="s">
        <v>237</v>
      </c>
      <c r="C53" s="276">
        <f>+C45/-C49</f>
        <v>7.7615860780191541</v>
      </c>
      <c r="D53" s="277">
        <f t="shared" ref="D53:M53" si="9">+D45/-D49</f>
        <v>0.74125378270930997</v>
      </c>
      <c r="E53" s="277">
        <f t="shared" si="9"/>
        <v>0.4028031965783106</v>
      </c>
      <c r="F53" s="277">
        <f t="shared" si="9"/>
        <v>0.40394640809091864</v>
      </c>
      <c r="G53" s="277">
        <f t="shared" si="9"/>
        <v>0.96714213938213067</v>
      </c>
      <c r="H53" s="277">
        <f t="shared" si="9"/>
        <v>1.2157168960688549</v>
      </c>
      <c r="I53" s="277">
        <f>+I45/-I49</f>
        <v>0.23376436885157295</v>
      </c>
      <c r="J53" s="277">
        <f t="shared" si="9"/>
        <v>0.4341903897282926</v>
      </c>
      <c r="K53" s="277">
        <f t="shared" si="9"/>
        <v>6.0778577776165688E-2</v>
      </c>
      <c r="L53" s="277">
        <f t="shared" si="9"/>
        <v>0.19276917817325406</v>
      </c>
      <c r="M53" s="277">
        <f t="shared" si="9"/>
        <v>0.32442778794599131</v>
      </c>
      <c r="N53" s="277">
        <f>+N45/-N49</f>
        <v>0.76872153982325353</v>
      </c>
      <c r="P53" s="98"/>
    </row>
    <row r="54" spans="2:16" x14ac:dyDescent="0.3">
      <c r="B54" s="272" t="s">
        <v>238</v>
      </c>
      <c r="C54" s="276">
        <f t="shared" ref="C54:N54" si="10">+IFERROR(C47/-C50, 0)</f>
        <v>0.25958350048495099</v>
      </c>
      <c r="D54" s="277">
        <f t="shared" si="10"/>
        <v>0.1362650192378588</v>
      </c>
      <c r="E54" s="277">
        <f t="shared" si="10"/>
        <v>5.9045778522294708E-2</v>
      </c>
      <c r="F54" s="277">
        <f t="shared" si="10"/>
        <v>7.8316881919752071E-2</v>
      </c>
      <c r="G54" s="277">
        <f t="shared" si="10"/>
        <v>0.12886183262331755</v>
      </c>
      <c r="H54" s="277">
        <f t="shared" si="10"/>
        <v>0.22952015214304786</v>
      </c>
      <c r="I54" s="277">
        <f t="shared" si="10"/>
        <v>9.7290283839282163E-2</v>
      </c>
      <c r="J54" s="277">
        <f t="shared" si="10"/>
        <v>0.22205695315699692</v>
      </c>
      <c r="K54" s="277">
        <f t="shared" si="10"/>
        <v>3.7827851652721074E-2</v>
      </c>
      <c r="L54" s="277">
        <f t="shared" si="10"/>
        <v>0.10739729419289955</v>
      </c>
      <c r="M54" s="277">
        <f t="shared" si="10"/>
        <v>0.21107228147406834</v>
      </c>
      <c r="N54" s="277">
        <f t="shared" si="10"/>
        <v>0.51650112179673879</v>
      </c>
      <c r="P54" s="98"/>
    </row>
    <row r="55" spans="2:16" x14ac:dyDescent="0.3">
      <c r="B55" s="97"/>
      <c r="E55" s="9"/>
      <c r="P55" s="98"/>
    </row>
    <row r="56" spans="2:16" x14ac:dyDescent="0.3">
      <c r="B56" s="97"/>
      <c r="P56" s="98"/>
    </row>
    <row r="57" spans="2:16" x14ac:dyDescent="0.3">
      <c r="B57" s="97"/>
      <c r="P57" s="98"/>
    </row>
    <row r="58" spans="2:16" x14ac:dyDescent="0.3">
      <c r="B58" s="97"/>
      <c r="P58" s="98"/>
    </row>
    <row r="59" spans="2:16" x14ac:dyDescent="0.3">
      <c r="B59" s="97"/>
      <c r="P59" s="98"/>
    </row>
    <row r="60" spans="2:16" x14ac:dyDescent="0.3">
      <c r="B60" s="97"/>
      <c r="P60" s="98"/>
    </row>
    <row r="61" spans="2:16" x14ac:dyDescent="0.3">
      <c r="B61" s="97"/>
      <c r="P61" s="98"/>
    </row>
    <row r="62" spans="2:16" x14ac:dyDescent="0.3">
      <c r="B62" s="97"/>
      <c r="P62" s="98"/>
    </row>
    <row r="63" spans="2:16" x14ac:dyDescent="0.3">
      <c r="B63" s="97"/>
      <c r="P63" s="98"/>
    </row>
    <row r="64" spans="2:16" x14ac:dyDescent="0.3">
      <c r="B64" s="97"/>
      <c r="P64" s="98"/>
    </row>
    <row r="65" spans="2:16" x14ac:dyDescent="0.3">
      <c r="B65" s="97"/>
      <c r="P65" s="98"/>
    </row>
    <row r="66" spans="2:16" x14ac:dyDescent="0.3">
      <c r="B66" s="97"/>
      <c r="P66" s="98"/>
    </row>
    <row r="67" spans="2:16" x14ac:dyDescent="0.3">
      <c r="B67" s="97"/>
      <c r="P67" s="98"/>
    </row>
    <row r="68" spans="2:16" x14ac:dyDescent="0.3">
      <c r="B68" s="97"/>
      <c r="P68" s="98"/>
    </row>
    <row r="69" spans="2:16" x14ac:dyDescent="0.3">
      <c r="B69" s="97"/>
      <c r="P69" s="98"/>
    </row>
    <row r="70" spans="2:16" ht="15" thickBot="1" x14ac:dyDescent="0.35">
      <c r="B70" s="97"/>
      <c r="O70" s="110"/>
      <c r="P70" s="98"/>
    </row>
    <row r="71" spans="2:16" x14ac:dyDescent="0.3">
      <c r="B71" s="97"/>
      <c r="P71" s="98"/>
    </row>
    <row r="72" spans="2:16" ht="198.6" customHeight="1" thickBot="1" x14ac:dyDescent="0.35">
      <c r="B72" s="108"/>
      <c r="C72" s="110"/>
      <c r="D72" s="110"/>
      <c r="E72" s="110"/>
      <c r="F72" s="110"/>
      <c r="G72" s="110"/>
      <c r="H72" s="110"/>
      <c r="I72" s="110"/>
      <c r="J72" s="110"/>
      <c r="K72" s="110"/>
      <c r="L72" s="110"/>
      <c r="M72" s="110"/>
      <c r="N72" s="110"/>
      <c r="O72" s="110"/>
      <c r="P72" s="111"/>
    </row>
  </sheetData>
  <mergeCells count="1">
    <mergeCell ref="E15:K16"/>
  </mergeCells>
  <conditionalFormatting sqref="C50:N50">
    <cfRule type="cellIs" dxfId="2" priority="1" operator="greaterThan">
      <formula>0</formula>
    </cfRule>
  </conditionalFormatting>
  <pageMargins left="0.25" right="0.25" top="0.75" bottom="0.75" header="0.3" footer="0.3"/>
  <pageSetup scale="42" orientation="landscape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A691E-3F63-4C69-9719-9B3845E3F8A6}">
  <sheetPr>
    <tabColor theme="1"/>
    <pageSetUpPr fitToPage="1"/>
  </sheetPr>
  <dimension ref="B10:T31"/>
  <sheetViews>
    <sheetView showGridLines="0" topLeftCell="A5" workbookViewId="0">
      <selection activeCell="N28" sqref="L28:N28"/>
    </sheetView>
  </sheetViews>
  <sheetFormatPr defaultRowHeight="14.4" outlineLevelCol="1" x14ac:dyDescent="0.3"/>
  <cols>
    <col min="2" max="2" width="32.109375" bestFit="1" customWidth="1"/>
    <col min="3" max="9" width="12.33203125" hidden="1" customWidth="1" outlineLevel="1"/>
    <col min="10" max="10" width="9.5546875" bestFit="1" customWidth="1" collapsed="1"/>
    <col min="11" max="12" width="11.109375" bestFit="1" customWidth="1"/>
    <col min="13" max="13" width="10.6640625" bestFit="1" customWidth="1"/>
    <col min="14" max="14" width="10.5546875" bestFit="1" customWidth="1"/>
    <col min="15" max="15" width="0.88671875" customWidth="1"/>
    <col min="16" max="16" width="8.6640625" bestFit="1" customWidth="1"/>
  </cols>
  <sheetData>
    <row r="10" spans="2:16" ht="15.6" x14ac:dyDescent="0.3">
      <c r="B10" s="69"/>
      <c r="C10" s="70" t="str">
        <f>TEXT('Monthly Detail'!D4,"mmmm")</f>
        <v>January</v>
      </c>
      <c r="D10" s="70" t="str">
        <f>TEXT('Monthly Detail'!E4,"mmmm")</f>
        <v>February</v>
      </c>
      <c r="E10" s="70" t="str">
        <f>TEXT('Monthly Detail'!F4,"mmmm")</f>
        <v>March</v>
      </c>
      <c r="F10" s="70" t="str">
        <f>TEXT('Monthly Detail'!G4,"mmmm")</f>
        <v>April</v>
      </c>
      <c r="G10" s="70" t="str">
        <f>TEXT('Monthly Detail'!H4,"mmmm")</f>
        <v>May</v>
      </c>
      <c r="H10" s="70" t="str">
        <f>TEXT('Monthly Detail'!I4,"mmmm")</f>
        <v>June</v>
      </c>
      <c r="I10" s="70" t="str">
        <f>TEXT('Monthly Detail'!J4,"mmmm")</f>
        <v>July</v>
      </c>
      <c r="J10" s="70" t="str">
        <f>TEXT('Monthly Detail'!K4,"mmmm")</f>
        <v>August</v>
      </c>
      <c r="K10" s="70" t="str">
        <f>TEXT('Monthly Detail'!L4,"mmmm")</f>
        <v>September</v>
      </c>
      <c r="L10" s="70" t="str">
        <f>TEXT('Monthly Detail'!M4,"mmmm")</f>
        <v>October</v>
      </c>
      <c r="M10" s="70" t="str">
        <f>TEXT('Monthly Detail'!N4,"mmmm")</f>
        <v>November</v>
      </c>
      <c r="N10" s="151" t="str">
        <f>TEXT('Monthly Detail'!O4,"mmmm")</f>
        <v>December</v>
      </c>
      <c r="O10" s="71"/>
      <c r="P10" s="72" t="s">
        <v>0</v>
      </c>
    </row>
    <row r="11" spans="2:16" ht="1.5" customHeight="1" x14ac:dyDescent="0.3">
      <c r="B11" s="7"/>
      <c r="C11" s="92">
        <v>44592</v>
      </c>
      <c r="D11" s="92">
        <v>44620</v>
      </c>
      <c r="E11" s="92">
        <v>44651</v>
      </c>
      <c r="F11" s="92">
        <v>44681</v>
      </c>
      <c r="G11" s="92">
        <v>44712</v>
      </c>
      <c r="H11" s="92">
        <v>44742</v>
      </c>
      <c r="I11" s="92">
        <v>44773</v>
      </c>
      <c r="J11" s="92">
        <v>44804</v>
      </c>
      <c r="K11" s="92">
        <v>44834</v>
      </c>
      <c r="L11" s="92">
        <v>44865</v>
      </c>
      <c r="M11" s="92">
        <v>44895</v>
      </c>
      <c r="N11" s="152">
        <v>44926</v>
      </c>
    </row>
    <row r="12" spans="2:16" x14ac:dyDescent="0.3">
      <c r="B12" s="73" t="s">
        <v>49</v>
      </c>
      <c r="C12" s="74">
        <f>SUMIF('Monthly Detail'!$4:$4, '2022 Overview'!C$11, 'Monthly Detail'!7:7)</f>
        <v>0</v>
      </c>
      <c r="D12" s="74">
        <f>SUMIF('Monthly Detail'!$4:$4, '2022 Overview'!D$11, 'Monthly Detail'!7:7)</f>
        <v>0</v>
      </c>
      <c r="E12" s="74">
        <f>SUMIF('Monthly Detail'!$4:$4, '2022 Overview'!E$11, 'Monthly Detail'!7:7)</f>
        <v>0</v>
      </c>
      <c r="F12" s="74">
        <f>SUMIF('Monthly Detail'!$4:$4, '2022 Overview'!F$11, 'Monthly Detail'!7:7)</f>
        <v>0</v>
      </c>
      <c r="G12" s="74">
        <f>SUMIF('Monthly Detail'!$4:$4, '2022 Overview'!G$11, 'Monthly Detail'!7:7)</f>
        <v>0</v>
      </c>
      <c r="H12" s="74">
        <f>SUMIF('Monthly Detail'!$4:$4, '2022 Overview'!H$11, 'Monthly Detail'!7:7)</f>
        <v>0</v>
      </c>
      <c r="I12" s="74">
        <f>SUMIF('Monthly Detail'!$4:$4, '2022 Overview'!I$11, 'Monthly Detail'!7:7)</f>
        <v>0</v>
      </c>
      <c r="J12" s="74">
        <f>SUMIF('Monthly Detail'!$4:$4, '2022 Overview'!J$11, 'Monthly Detail'!7:7)</f>
        <v>0</v>
      </c>
      <c r="K12" s="74">
        <f>SUMIF('Monthly Detail'!$4:$4, '2022 Overview'!K$11, 'Monthly Detail'!7:7)</f>
        <v>0</v>
      </c>
      <c r="L12" s="74">
        <f>SUMIF('Monthly Detail'!$4:$4, '2022 Overview'!L$11, 'Monthly Detail'!7:7)</f>
        <v>0</v>
      </c>
      <c r="M12" s="74">
        <f>SUMIF('Monthly Detail'!$4:$4, '2022 Overview'!M$11, 'Monthly Detail'!7:7)</f>
        <v>0</v>
      </c>
      <c r="N12" s="153">
        <f>SUMIF('Monthly Detail'!$4:$4, '2022 Overview'!N$11, 'Monthly Detail'!7:7)</f>
        <v>0</v>
      </c>
      <c r="O12" s="74"/>
      <c r="P12" s="74">
        <f>SUM(C12:O12)</f>
        <v>0</v>
      </c>
    </row>
    <row r="13" spans="2:16" x14ac:dyDescent="0.3">
      <c r="B13" s="73" t="s">
        <v>158</v>
      </c>
      <c r="C13" s="74">
        <f>SUMIF('Monthly Detail'!$4:$4, '2022 Overview'!C$11, 'Monthly Detail'!8:8)</f>
        <v>0</v>
      </c>
      <c r="D13" s="74">
        <f>SUMIF('Monthly Detail'!$4:$4, '2022 Overview'!D$11, 'Monthly Detail'!8:8)</f>
        <v>0</v>
      </c>
      <c r="E13" s="74">
        <f>SUMIF('Monthly Detail'!$4:$4, '2022 Overview'!E$11, 'Monthly Detail'!8:8)</f>
        <v>0</v>
      </c>
      <c r="F13" s="74">
        <f>SUMIF('Monthly Detail'!$4:$4, '2022 Overview'!F$11, 'Monthly Detail'!8:8)</f>
        <v>0</v>
      </c>
      <c r="G13" s="74">
        <f>SUMIF('Monthly Detail'!$4:$4, '2022 Overview'!G$11, 'Monthly Detail'!8:8)</f>
        <v>0</v>
      </c>
      <c r="H13" s="74">
        <f>SUMIF('Monthly Detail'!$4:$4, '2022 Overview'!H$11, 'Monthly Detail'!8:8)</f>
        <v>0</v>
      </c>
      <c r="I13" s="74">
        <f>SUMIF('Monthly Detail'!$4:$4, '2022 Overview'!I$11, 'Monthly Detail'!8:8)</f>
        <v>0</v>
      </c>
      <c r="J13" s="74">
        <f>SUMIF('Monthly Detail'!$4:$4, '2022 Overview'!J$11, 'Monthly Detail'!8:8)</f>
        <v>0</v>
      </c>
      <c r="K13" s="74">
        <f>SUMIF('Monthly Detail'!$4:$4, '2022 Overview'!K$11, 'Monthly Detail'!8:8)</f>
        <v>0</v>
      </c>
      <c r="L13" s="74">
        <f>SUMIF('Monthly Detail'!$4:$4, '2022 Overview'!L$11, 'Monthly Detail'!8:8)</f>
        <v>0</v>
      </c>
      <c r="M13" s="134">
        <f>SUMIF('Monthly Detail'!$4:$4, '2022 Overview'!M$11, 'Monthly Detail'!8:8)</f>
        <v>0</v>
      </c>
      <c r="N13" s="153">
        <f>SUMIF('Monthly Detail'!$4:$4, '2022 Overview'!N$11, 'Monthly Detail'!8:8)</f>
        <v>0</v>
      </c>
      <c r="O13" s="74"/>
      <c r="P13" s="74"/>
    </row>
    <row r="14" spans="2:16" x14ac:dyDescent="0.3">
      <c r="B14" s="75" t="s">
        <v>3</v>
      </c>
      <c r="C14" s="75">
        <v>0.1</v>
      </c>
      <c r="D14" s="75">
        <v>0.1</v>
      </c>
      <c r="E14" s="75">
        <v>0.1</v>
      </c>
      <c r="F14" s="75">
        <v>0.1</v>
      </c>
      <c r="G14" s="75">
        <v>0.1</v>
      </c>
      <c r="H14" s="75">
        <v>0.1</v>
      </c>
      <c r="I14" s="75">
        <v>0.1</v>
      </c>
      <c r="J14" s="75">
        <f>SUM(J12:J13)</f>
        <v>0</v>
      </c>
      <c r="K14" s="75">
        <f>SUM(K12:K13)</f>
        <v>0</v>
      </c>
      <c r="L14" s="75">
        <f>SUM(L12:L13)</f>
        <v>0</v>
      </c>
      <c r="M14" s="75">
        <f>SUM(M12:M13)</f>
        <v>0</v>
      </c>
      <c r="N14" s="154">
        <f>SUM(N12:N13)</f>
        <v>0</v>
      </c>
      <c r="O14" s="76"/>
      <c r="P14" s="75">
        <f>SUM(P12:P12)</f>
        <v>0</v>
      </c>
    </row>
    <row r="15" spans="2:16" x14ac:dyDescent="0.3">
      <c r="B15" s="7"/>
      <c r="C15" s="77"/>
      <c r="D15" s="77"/>
      <c r="E15" s="77"/>
      <c r="F15" s="77"/>
      <c r="G15" s="77"/>
      <c r="H15" s="77"/>
      <c r="I15" s="77"/>
      <c r="J15" s="77"/>
      <c r="K15" s="77"/>
      <c r="L15" s="77"/>
      <c r="M15" s="77"/>
      <c r="N15" s="155"/>
      <c r="P15" s="77"/>
    </row>
    <row r="16" spans="2:16" ht="15.6" x14ac:dyDescent="0.3">
      <c r="B16" s="88" t="s">
        <v>149</v>
      </c>
      <c r="C16" s="89">
        <f>C14</f>
        <v>0.1</v>
      </c>
      <c r="D16" s="89">
        <f t="shared" ref="D16:N16" si="0">D14</f>
        <v>0.1</v>
      </c>
      <c r="E16" s="89">
        <f t="shared" si="0"/>
        <v>0.1</v>
      </c>
      <c r="F16" s="89">
        <f t="shared" si="0"/>
        <v>0.1</v>
      </c>
      <c r="G16" s="89">
        <f t="shared" si="0"/>
        <v>0.1</v>
      </c>
      <c r="H16" s="89">
        <f t="shared" si="0"/>
        <v>0.1</v>
      </c>
      <c r="I16" s="89">
        <f t="shared" si="0"/>
        <v>0.1</v>
      </c>
      <c r="J16" s="89">
        <f t="shared" si="0"/>
        <v>0</v>
      </c>
      <c r="K16" s="89">
        <f t="shared" si="0"/>
        <v>0</v>
      </c>
      <c r="L16" s="89">
        <f t="shared" si="0"/>
        <v>0</v>
      </c>
      <c r="M16" s="89">
        <f t="shared" si="0"/>
        <v>0</v>
      </c>
      <c r="N16" s="156">
        <f t="shared" si="0"/>
        <v>0</v>
      </c>
      <c r="O16" s="78"/>
      <c r="P16" s="89">
        <f>P14</f>
        <v>0</v>
      </c>
    </row>
    <row r="17" spans="2:20" x14ac:dyDescent="0.3">
      <c r="B17" s="90" t="s">
        <v>150</v>
      </c>
      <c r="C17" s="91">
        <f t="shared" ref="C17:N17" si="1">C16/C14</f>
        <v>1</v>
      </c>
      <c r="D17" s="91">
        <f t="shared" si="1"/>
        <v>1</v>
      </c>
      <c r="E17" s="91">
        <f t="shared" si="1"/>
        <v>1</v>
      </c>
      <c r="F17" s="91">
        <f t="shared" si="1"/>
        <v>1</v>
      </c>
      <c r="G17" s="91">
        <f t="shared" si="1"/>
        <v>1</v>
      </c>
      <c r="H17" s="91">
        <f t="shared" si="1"/>
        <v>1</v>
      </c>
      <c r="I17" s="91">
        <f t="shared" si="1"/>
        <v>1</v>
      </c>
      <c r="J17" s="91" t="e">
        <f t="shared" si="1"/>
        <v>#DIV/0!</v>
      </c>
      <c r="K17" s="91" t="e">
        <f t="shared" si="1"/>
        <v>#DIV/0!</v>
      </c>
      <c r="L17" s="91" t="e">
        <f t="shared" si="1"/>
        <v>#DIV/0!</v>
      </c>
      <c r="M17" s="91" t="e">
        <f t="shared" si="1"/>
        <v>#DIV/0!</v>
      </c>
      <c r="N17" s="157" t="e">
        <f t="shared" si="1"/>
        <v>#DIV/0!</v>
      </c>
      <c r="O17" s="7"/>
      <c r="P17" s="91" t="e">
        <f>P16/P14</f>
        <v>#DIV/0!</v>
      </c>
    </row>
    <row r="18" spans="2:20" x14ac:dyDescent="0.3">
      <c r="B18" s="7"/>
      <c r="N18" s="117"/>
    </row>
    <row r="19" spans="2:20" x14ac:dyDescent="0.3">
      <c r="B19" s="7" t="s">
        <v>187</v>
      </c>
      <c r="C19" s="74">
        <f>SUMIF('Monthly Detail'!$4:$4, '2023 Overview'!C$11, 'Monthly Detail'!$79:$79)</f>
        <v>0</v>
      </c>
      <c r="D19" s="74">
        <f>SUMIF('Monthly Detail'!$4:$4, '2023 Overview'!D$11, 'Monthly Detail'!$79:$79)</f>
        <v>0</v>
      </c>
      <c r="E19" s="74">
        <f>SUMIF('Monthly Detail'!$4:$4, '2023 Overview'!E$11, 'Monthly Detail'!$79:$79)</f>
        <v>0</v>
      </c>
      <c r="F19" s="74">
        <f>SUMIF('Monthly Detail'!$4:$4, '2023 Overview'!F$11, 'Monthly Detail'!$79:$79)</f>
        <v>0</v>
      </c>
      <c r="G19" s="74">
        <f>SUMIF('Monthly Detail'!$4:$4, '2023 Overview'!G$11, 'Monthly Detail'!$79:$79)</f>
        <v>0</v>
      </c>
      <c r="H19" s="74">
        <f>SUMIF('Monthly Detail'!$4:$4, '2023 Overview'!H$11, 'Monthly Detail'!$79:$79)</f>
        <v>0</v>
      </c>
      <c r="I19" s="74">
        <f>SUMIF('Monthly Detail'!$4:$4, '2023 Overview'!I$11, 'Monthly Detail'!$79:$79)</f>
        <v>0</v>
      </c>
      <c r="J19" s="74">
        <f>SUMIF('Monthly Detail'!$4:$4, '2023 Overview'!J$11, 'Monthly Detail'!$79:$79)</f>
        <v>40.270000000000003</v>
      </c>
      <c r="K19" s="74">
        <f>SUMIF('Monthly Detail'!$4:$4, '2023 Overview'!K$11, 'Monthly Detail'!$79:$79)</f>
        <v>334.59999999999997</v>
      </c>
      <c r="L19" s="74">
        <f>SUMIF('Monthly Detail'!$4:$4, '2023 Overview'!L$11, 'Monthly Detail'!$79:$79)</f>
        <v>515.56999999999994</v>
      </c>
      <c r="M19" s="74">
        <f>SUMIF('Monthly Detail'!$4:$4, '2023 Overview'!M$11, 'Monthly Detail'!$79:$79)</f>
        <v>947.04</v>
      </c>
      <c r="N19" s="153">
        <f>SUMIF('Monthly Detail'!$4:$4, '2023 Overview'!N$11, 'Monthly Detail'!$79:$79)</f>
        <v>687.90000000000009</v>
      </c>
      <c r="P19" s="74">
        <f>SUM(C19:O19)</f>
        <v>2525.38</v>
      </c>
      <c r="T19" s="1"/>
    </row>
    <row r="20" spans="2:20" x14ac:dyDescent="0.3">
      <c r="B20" s="7" t="s">
        <v>186</v>
      </c>
      <c r="C20" s="74">
        <f>SUMIF('Monthly Detail'!$4:$4, '2022 Overview'!C$11, 'Monthly Detail'!43:43)</f>
        <v>0</v>
      </c>
      <c r="D20" s="74">
        <f>SUMIF('Monthly Detail'!$4:$4, '2022 Overview'!D$11, 'Monthly Detail'!43:43)</f>
        <v>0</v>
      </c>
      <c r="E20" s="74">
        <f>SUMIF('Monthly Detail'!$4:$4, '2022 Overview'!E$11, 'Monthly Detail'!43:43)</f>
        <v>0</v>
      </c>
      <c r="F20" s="74">
        <f>SUMIF('Monthly Detail'!$4:$4, '2022 Overview'!F$11, 'Monthly Detail'!43:43)</f>
        <v>0</v>
      </c>
      <c r="G20" s="74">
        <f>SUMIF('Monthly Detail'!$4:$4, '2022 Overview'!G$11, 'Monthly Detail'!43:43)</f>
        <v>0</v>
      </c>
      <c r="H20" s="74">
        <f>SUMIF('Monthly Detail'!$4:$4, '2022 Overview'!H$11, 'Monthly Detail'!43:43)</f>
        <v>0</v>
      </c>
      <c r="I20" s="74">
        <f>SUMIF('Monthly Detail'!$4:$4, '2022 Overview'!I$11, 'Monthly Detail'!43:43)</f>
        <v>0</v>
      </c>
      <c r="J20" s="74">
        <f>SUMIF('Monthly Detail'!$4:$4, '2022 Overview'!J$11, 'Monthly Detail'!43:43)</f>
        <v>0</v>
      </c>
      <c r="K20" s="74">
        <f>SUMIF('Monthly Detail'!$4:$4, '2022 Overview'!K$11, 'Monthly Detail'!43:43)</f>
        <v>0</v>
      </c>
      <c r="L20" s="74">
        <f>SUMIF('Monthly Detail'!$4:$4, '2022 Overview'!L$11, 'Monthly Detail'!43:43)</f>
        <v>0</v>
      </c>
      <c r="M20" s="74">
        <f>SUMIF('Monthly Detail'!$4:$4, '2022 Overview'!M$11, 'Monthly Detail'!43:43)</f>
        <v>0</v>
      </c>
      <c r="N20" s="153">
        <f>SUMIF('Monthly Detail'!$4:$4, '2022 Overview'!N$11, 'Monthly Detail'!43:43)</f>
        <v>0</v>
      </c>
      <c r="P20" s="74">
        <f>SUM(C20:O20)</f>
        <v>0</v>
      </c>
      <c r="T20" s="1"/>
    </row>
    <row r="21" spans="2:20" x14ac:dyDescent="0.3">
      <c r="B21" s="79" t="s">
        <v>151</v>
      </c>
      <c r="C21" s="80">
        <f>SUM(C19:C20)</f>
        <v>0</v>
      </c>
      <c r="D21" s="80">
        <f t="shared" ref="D21:N21" si="2">SUM(D19:D20)</f>
        <v>0</v>
      </c>
      <c r="E21" s="80">
        <f t="shared" si="2"/>
        <v>0</v>
      </c>
      <c r="F21" s="80">
        <f t="shared" si="2"/>
        <v>0</v>
      </c>
      <c r="G21" s="80">
        <f t="shared" si="2"/>
        <v>0</v>
      </c>
      <c r="H21" s="80">
        <f t="shared" si="2"/>
        <v>0</v>
      </c>
      <c r="I21" s="80">
        <f t="shared" si="2"/>
        <v>0</v>
      </c>
      <c r="J21" s="80">
        <f t="shared" si="2"/>
        <v>40.270000000000003</v>
      </c>
      <c r="K21" s="80">
        <f t="shared" si="2"/>
        <v>334.59999999999997</v>
      </c>
      <c r="L21" s="80">
        <f t="shared" si="2"/>
        <v>515.56999999999994</v>
      </c>
      <c r="M21" s="80">
        <f t="shared" si="2"/>
        <v>947.04</v>
      </c>
      <c r="N21" s="158">
        <f t="shared" si="2"/>
        <v>687.90000000000009</v>
      </c>
      <c r="O21" s="81"/>
      <c r="P21" s="80">
        <f>SUM(P19:P20)</f>
        <v>2525.38</v>
      </c>
    </row>
    <row r="22" spans="2:20" ht="3" customHeight="1" x14ac:dyDescent="0.3">
      <c r="B22" s="7"/>
      <c r="N22" s="117"/>
    </row>
    <row r="23" spans="2:20" ht="15.6" x14ac:dyDescent="0.3">
      <c r="B23" s="88" t="s">
        <v>152</v>
      </c>
      <c r="C23" s="89">
        <f t="shared" ref="C23:N23" si="3">C16-C21</f>
        <v>0.1</v>
      </c>
      <c r="D23" s="89">
        <f t="shared" si="3"/>
        <v>0.1</v>
      </c>
      <c r="E23" s="89">
        <f t="shared" si="3"/>
        <v>0.1</v>
      </c>
      <c r="F23" s="89">
        <f t="shared" si="3"/>
        <v>0.1</v>
      </c>
      <c r="G23" s="89">
        <f t="shared" si="3"/>
        <v>0.1</v>
      </c>
      <c r="H23" s="89">
        <f t="shared" si="3"/>
        <v>0.1</v>
      </c>
      <c r="I23" s="89">
        <f t="shared" si="3"/>
        <v>0.1</v>
      </c>
      <c r="J23" s="89">
        <f t="shared" si="3"/>
        <v>-40.270000000000003</v>
      </c>
      <c r="K23" s="89">
        <f t="shared" si="3"/>
        <v>-334.59999999999997</v>
      </c>
      <c r="L23" s="89">
        <f t="shared" si="3"/>
        <v>-515.56999999999994</v>
      </c>
      <c r="M23" s="89">
        <f t="shared" si="3"/>
        <v>-947.04</v>
      </c>
      <c r="N23" s="156">
        <f t="shared" si="3"/>
        <v>-687.90000000000009</v>
      </c>
      <c r="O23" s="78"/>
      <c r="P23" s="89">
        <f>P16-P21</f>
        <v>-2525.38</v>
      </c>
    </row>
    <row r="24" spans="2:20" x14ac:dyDescent="0.3">
      <c r="B24" s="90" t="s">
        <v>153</v>
      </c>
      <c r="C24" s="91">
        <f>C23/C14</f>
        <v>1</v>
      </c>
      <c r="D24" s="91">
        <f t="shared" ref="D24:N24" si="4">D23/D14</f>
        <v>1</v>
      </c>
      <c r="E24" s="91">
        <f t="shared" si="4"/>
        <v>1</v>
      </c>
      <c r="F24" s="91">
        <f t="shared" si="4"/>
        <v>1</v>
      </c>
      <c r="G24" s="91">
        <f t="shared" si="4"/>
        <v>1</v>
      </c>
      <c r="H24" s="91">
        <f t="shared" si="4"/>
        <v>1</v>
      </c>
      <c r="I24" s="91">
        <f t="shared" si="4"/>
        <v>1</v>
      </c>
      <c r="J24" s="91" t="e">
        <f t="shared" si="4"/>
        <v>#DIV/0!</v>
      </c>
      <c r="K24" s="91" t="e">
        <f t="shared" si="4"/>
        <v>#DIV/0!</v>
      </c>
      <c r="L24" s="91" t="e">
        <f t="shared" si="4"/>
        <v>#DIV/0!</v>
      </c>
      <c r="M24" s="91" t="e">
        <f t="shared" si="4"/>
        <v>#DIV/0!</v>
      </c>
      <c r="N24" s="157" t="e">
        <f t="shared" si="4"/>
        <v>#DIV/0!</v>
      </c>
      <c r="O24" s="7"/>
      <c r="P24" s="91" t="e">
        <f>P23/P14</f>
        <v>#DIV/0!</v>
      </c>
    </row>
    <row r="25" spans="2:20" ht="8.25" customHeight="1" x14ac:dyDescent="0.3">
      <c r="B25" s="82"/>
      <c r="C25" s="83"/>
      <c r="D25" s="83"/>
      <c r="E25" s="83"/>
      <c r="F25" s="83"/>
      <c r="G25" s="83"/>
      <c r="H25" s="83"/>
      <c r="I25" s="83"/>
      <c r="J25" s="83"/>
      <c r="K25" s="83"/>
      <c r="L25" s="83"/>
      <c r="M25" s="83"/>
      <c r="N25" s="159"/>
      <c r="P25" s="83"/>
    </row>
    <row r="26" spans="2:20" x14ac:dyDescent="0.3">
      <c r="B26" s="7" t="s">
        <v>154</v>
      </c>
      <c r="C26" s="74">
        <f>SUMIF('Monthly Detail'!$4:$4, '2022 Overview'!C$11, 'Monthly Detail'!71:71)</f>
        <v>0</v>
      </c>
      <c r="D26" s="74">
        <f>SUMIF('Monthly Detail'!$4:$4, '2022 Overview'!D$11, 'Monthly Detail'!71:71)</f>
        <v>0</v>
      </c>
      <c r="E26" s="74">
        <f>SUMIF('Monthly Detail'!$4:$4, '2022 Overview'!E$11, 'Monthly Detail'!71:71)</f>
        <v>0</v>
      </c>
      <c r="F26" s="74">
        <f>SUMIF('Monthly Detail'!$4:$4, '2022 Overview'!F$11, 'Monthly Detail'!71:71)</f>
        <v>0</v>
      </c>
      <c r="G26" s="74">
        <f>SUMIF('Monthly Detail'!$4:$4, '2022 Overview'!G$11, 'Monthly Detail'!71:71)</f>
        <v>0</v>
      </c>
      <c r="H26" s="74">
        <f>SUMIF('Monthly Detail'!$4:$4, '2022 Overview'!H$11, 'Monthly Detail'!71:71)</f>
        <v>0</v>
      </c>
      <c r="I26" s="74">
        <f>SUMIF('Monthly Detail'!$4:$4, '2022 Overview'!I$11, 'Monthly Detail'!71:71)</f>
        <v>0</v>
      </c>
      <c r="J26" s="74">
        <f>SUMIF('Monthly Detail'!$4:$4, '2022 Overview'!J$11, 'Monthly Detail'!71:71)</f>
        <v>0</v>
      </c>
      <c r="K26" s="74">
        <f>SUMIF('Monthly Detail'!$4:$4, '2022 Overview'!K$11, 'Monthly Detail'!71:71)</f>
        <v>0</v>
      </c>
      <c r="L26" s="130">
        <f>SUMIF('Monthly Detail'!$4:$4, '2022 Overview'!L$11, 'Monthly Detail'!71:71)</f>
        <v>0</v>
      </c>
      <c r="M26" s="133">
        <f>SUMIF('Monthly Detail'!$4:$4, '2022 Overview'!M$11, 'Monthly Detail'!71:71)</f>
        <v>0</v>
      </c>
      <c r="N26" s="160">
        <f>SUMIF('Monthly Detail'!$4:$4, '2022 Overview'!N$11, 'Monthly Detail'!71:71)</f>
        <v>0</v>
      </c>
      <c r="O26" s="74"/>
      <c r="P26" s="130">
        <f>SUM(C26:O26)</f>
        <v>0</v>
      </c>
    </row>
    <row r="27" spans="2:20" ht="15.6" x14ac:dyDescent="0.3">
      <c r="B27" s="88" t="s">
        <v>12</v>
      </c>
      <c r="C27" s="89">
        <f t="shared" ref="C27:N27" si="5">C23+SUM(C26:C26)</f>
        <v>0.1</v>
      </c>
      <c r="D27" s="89">
        <f t="shared" si="5"/>
        <v>0.1</v>
      </c>
      <c r="E27" s="89">
        <f t="shared" si="5"/>
        <v>0.1</v>
      </c>
      <c r="F27" s="89">
        <f t="shared" si="5"/>
        <v>0.1</v>
      </c>
      <c r="G27" s="89">
        <f t="shared" si="5"/>
        <v>0.1</v>
      </c>
      <c r="H27" s="89">
        <f t="shared" si="5"/>
        <v>0.1</v>
      </c>
      <c r="I27" s="89">
        <f t="shared" si="5"/>
        <v>0.1</v>
      </c>
      <c r="J27" s="89">
        <f t="shared" si="5"/>
        <v>-40.270000000000003</v>
      </c>
      <c r="K27" s="89">
        <f t="shared" si="5"/>
        <v>-334.59999999999997</v>
      </c>
      <c r="L27" s="89">
        <f t="shared" si="5"/>
        <v>-515.56999999999994</v>
      </c>
      <c r="M27" s="89">
        <f t="shared" si="5"/>
        <v>-947.04</v>
      </c>
      <c r="N27" s="156">
        <f t="shared" si="5"/>
        <v>-687.90000000000009</v>
      </c>
      <c r="O27" s="78"/>
      <c r="P27" s="89">
        <f>P23+SUM(P26:P26)</f>
        <v>-2525.38</v>
      </c>
    </row>
    <row r="28" spans="2:20" x14ac:dyDescent="0.3">
      <c r="B28" s="90" t="s">
        <v>155</v>
      </c>
      <c r="C28" s="91">
        <f t="shared" ref="C28:N28" si="6">C27/C14</f>
        <v>1</v>
      </c>
      <c r="D28" s="91">
        <f t="shared" si="6"/>
        <v>1</v>
      </c>
      <c r="E28" s="91">
        <f t="shared" si="6"/>
        <v>1</v>
      </c>
      <c r="F28" s="91">
        <f t="shared" si="6"/>
        <v>1</v>
      </c>
      <c r="G28" s="91">
        <f t="shared" si="6"/>
        <v>1</v>
      </c>
      <c r="H28" s="91">
        <f t="shared" si="6"/>
        <v>1</v>
      </c>
      <c r="I28" s="91">
        <f t="shared" si="6"/>
        <v>1</v>
      </c>
      <c r="J28" s="91" t="e">
        <f t="shared" si="6"/>
        <v>#DIV/0!</v>
      </c>
      <c r="K28" s="91" t="e">
        <f t="shared" si="6"/>
        <v>#DIV/0!</v>
      </c>
      <c r="L28" s="91" t="e">
        <f t="shared" si="6"/>
        <v>#DIV/0!</v>
      </c>
      <c r="M28" s="91" t="e">
        <f t="shared" si="6"/>
        <v>#DIV/0!</v>
      </c>
      <c r="N28" s="157" t="e">
        <f t="shared" si="6"/>
        <v>#DIV/0!</v>
      </c>
      <c r="O28" s="7"/>
      <c r="P28" s="91" t="e">
        <f>P27/P14</f>
        <v>#DIV/0!</v>
      </c>
    </row>
    <row r="29" spans="2:20" ht="15" thickBot="1" x14ac:dyDescent="0.35">
      <c r="B29" s="7"/>
      <c r="M29" s="110"/>
      <c r="N29" s="117"/>
    </row>
    <row r="30" spans="2:20" x14ac:dyDescent="0.3">
      <c r="B30" s="84" t="s">
        <v>156</v>
      </c>
      <c r="C30" s="85">
        <f>SUMIF('Monthly Detail'!$4:$4, '2022 Overview'!C$11, 'Monthly Detail'!143:143)</f>
        <v>0</v>
      </c>
      <c r="D30" s="85">
        <f>SUMIF('Monthly Detail'!$4:$4, '2022 Overview'!D$11, 'Monthly Detail'!143:143)</f>
        <v>0</v>
      </c>
      <c r="E30" s="85">
        <f>SUMIF('Monthly Detail'!$4:$4, '2022 Overview'!E$11, 'Monthly Detail'!143:143)</f>
        <v>0</v>
      </c>
      <c r="F30" s="85">
        <f>SUMIF('Monthly Detail'!$4:$4, '2022 Overview'!F$11, 'Monthly Detail'!143:143)</f>
        <v>0</v>
      </c>
      <c r="G30" s="85">
        <f>SUMIF('Monthly Detail'!$4:$4, '2022 Overview'!G$11, 'Monthly Detail'!143:143)</f>
        <v>0</v>
      </c>
      <c r="H30" s="85">
        <f>SUMIF('Monthly Detail'!$4:$4, '2022 Overview'!H$11, 'Monthly Detail'!143:143)</f>
        <v>0</v>
      </c>
      <c r="I30" s="85">
        <f>SUMIF('Monthly Detail'!$4:$4, '2022 Overview'!I$11, 'Monthly Detail'!143:143)</f>
        <v>0</v>
      </c>
      <c r="J30" s="85">
        <f>SUMIF('Monthly Detail'!$4:$4, '2022 Overview'!J$11, 'Monthly Detail'!143:143)</f>
        <v>0</v>
      </c>
      <c r="K30" s="85">
        <f>SUMIF('Monthly Detail'!$4:$4, '2022 Overview'!K$11, 'Monthly Detail'!143:143)</f>
        <v>0</v>
      </c>
      <c r="L30" s="85">
        <f>SUMIF('Monthly Detail'!$4:$4, '2022 Overview'!L$11, 'Monthly Detail'!143:143)</f>
        <v>0</v>
      </c>
      <c r="M30" s="85">
        <f>SUMIF('Monthly Detail'!$4:$4, '2022 Overview'!M$11, 'Monthly Detail'!143:143)</f>
        <v>0</v>
      </c>
      <c r="N30" s="161">
        <f>SUMIF('Monthly Detail'!$4:$4, '2022 Overview'!N$11, 'Monthly Detail'!143:143)</f>
        <v>0</v>
      </c>
    </row>
    <row r="31" spans="2:20" ht="15" thickBot="1" x14ac:dyDescent="0.35">
      <c r="B31" s="86" t="s">
        <v>157</v>
      </c>
      <c r="C31" s="87">
        <f>SUMIF('Monthly Detail'!$4:$4, '2022 Overview'!C$11, 'Monthly Detail'!128:128)</f>
        <v>0</v>
      </c>
      <c r="D31" s="87">
        <f>D30-C30</f>
        <v>0</v>
      </c>
      <c r="E31" s="87">
        <f t="shared" ref="E31:N31" si="7">E30-D30</f>
        <v>0</v>
      </c>
      <c r="F31" s="87">
        <f t="shared" si="7"/>
        <v>0</v>
      </c>
      <c r="G31" s="87">
        <f t="shared" si="7"/>
        <v>0</v>
      </c>
      <c r="H31" s="87">
        <f t="shared" si="7"/>
        <v>0</v>
      </c>
      <c r="I31" s="87">
        <f t="shared" si="7"/>
        <v>0</v>
      </c>
      <c r="J31" s="87">
        <f t="shared" si="7"/>
        <v>0</v>
      </c>
      <c r="K31" s="87">
        <f t="shared" si="7"/>
        <v>0</v>
      </c>
      <c r="L31" s="87">
        <f t="shared" si="7"/>
        <v>0</v>
      </c>
      <c r="M31" s="87">
        <f t="shared" si="7"/>
        <v>0</v>
      </c>
      <c r="N31" s="162">
        <f t="shared" si="7"/>
        <v>0</v>
      </c>
    </row>
  </sheetData>
  <pageMargins left="0.7" right="0.7" top="0.75" bottom="0.75" header="0.3" footer="0.3"/>
  <pageSetup fitToHeight="0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AD4CF-4147-4AC7-BF18-6C594FDC2B9D}">
  <sheetPr>
    <tabColor theme="1"/>
    <pageSetUpPr fitToPage="1"/>
  </sheetPr>
  <dimension ref="B14:T71"/>
  <sheetViews>
    <sheetView showGridLines="0" topLeftCell="B12" zoomScale="70" zoomScaleNormal="70" workbookViewId="0">
      <selection activeCell="D42" sqref="D42"/>
    </sheetView>
  </sheetViews>
  <sheetFormatPr defaultRowHeight="14.4" x14ac:dyDescent="0.3"/>
  <cols>
    <col min="2" max="2" width="48.33203125" bestFit="1" customWidth="1"/>
    <col min="3" max="3" width="16.6640625" bestFit="1" customWidth="1"/>
    <col min="4" max="9" width="16.88671875" bestFit="1" customWidth="1"/>
    <col min="10" max="12" width="16.6640625" bestFit="1" customWidth="1"/>
    <col min="13" max="14" width="16.88671875" bestFit="1" customWidth="1"/>
    <col min="15" max="15" width="0.33203125" customWidth="1"/>
    <col min="16" max="16" width="17.33203125" bestFit="1" customWidth="1"/>
  </cols>
  <sheetData>
    <row r="14" spans="2:16" ht="15" thickBot="1" x14ac:dyDescent="0.35"/>
    <row r="15" spans="2:16" x14ac:dyDescent="0.3">
      <c r="B15" s="93"/>
      <c r="C15" s="95"/>
      <c r="D15" s="95"/>
      <c r="E15" s="634" t="s">
        <v>346</v>
      </c>
      <c r="F15" s="634"/>
      <c r="G15" s="634"/>
      <c r="H15" s="634"/>
      <c r="I15" s="634"/>
      <c r="J15" s="634"/>
      <c r="K15" s="634"/>
      <c r="L15" s="95"/>
      <c r="M15" s="95"/>
      <c r="N15" s="95"/>
      <c r="O15" s="95"/>
      <c r="P15" s="96"/>
    </row>
    <row r="16" spans="2:16" x14ac:dyDescent="0.3">
      <c r="B16" s="97"/>
      <c r="E16" s="635"/>
      <c r="F16" s="635"/>
      <c r="G16" s="635"/>
      <c r="H16" s="635"/>
      <c r="I16" s="635"/>
      <c r="J16" s="635"/>
      <c r="K16" s="635"/>
      <c r="P16" s="98"/>
    </row>
    <row r="17" spans="2:16" x14ac:dyDescent="0.3">
      <c r="B17" s="97"/>
      <c r="P17" s="98"/>
    </row>
    <row r="18" spans="2:16" ht="15.6" x14ac:dyDescent="0.3">
      <c r="B18" s="235"/>
      <c r="C18" s="70" t="s">
        <v>260</v>
      </c>
      <c r="D18" s="70" t="s">
        <v>261</v>
      </c>
      <c r="E18" s="70" t="s">
        <v>262</v>
      </c>
      <c r="F18" s="70" t="s">
        <v>263</v>
      </c>
      <c r="G18" s="70" t="s">
        <v>264</v>
      </c>
      <c r="H18" s="552" t="s">
        <v>265</v>
      </c>
      <c r="I18" s="70" t="s">
        <v>266</v>
      </c>
      <c r="J18" s="70" t="s">
        <v>267</v>
      </c>
      <c r="K18" s="70" t="s">
        <v>268</v>
      </c>
      <c r="L18" s="70" t="s">
        <v>269</v>
      </c>
      <c r="M18" s="70" t="s">
        <v>270</v>
      </c>
      <c r="N18" s="70" t="s">
        <v>271</v>
      </c>
      <c r="O18" s="71"/>
      <c r="P18" s="236" t="s">
        <v>0</v>
      </c>
    </row>
    <row r="19" spans="2:16" x14ac:dyDescent="0.3">
      <c r="B19" s="237"/>
      <c r="C19" s="92">
        <v>45322</v>
      </c>
      <c r="D19" s="92">
        <v>45351</v>
      </c>
      <c r="E19" s="92">
        <v>45382</v>
      </c>
      <c r="F19" s="92">
        <v>45412</v>
      </c>
      <c r="G19" s="92">
        <v>45443</v>
      </c>
      <c r="H19" s="553">
        <v>45473</v>
      </c>
      <c r="I19" s="92">
        <v>45504</v>
      </c>
      <c r="J19" s="92">
        <v>45535</v>
      </c>
      <c r="K19" s="92">
        <v>45565</v>
      </c>
      <c r="L19" s="92">
        <v>45596</v>
      </c>
      <c r="M19" s="92">
        <v>45626</v>
      </c>
      <c r="N19" s="92">
        <v>45657</v>
      </c>
      <c r="O19" s="92">
        <v>45322</v>
      </c>
      <c r="P19" s="98"/>
    </row>
    <row r="20" spans="2:16" x14ac:dyDescent="0.3">
      <c r="B20" s="238" t="s">
        <v>49</v>
      </c>
      <c r="C20" s="74">
        <v>2442.23</v>
      </c>
      <c r="D20" s="74">
        <v>10158.209999999999</v>
      </c>
      <c r="E20" s="74">
        <v>10241.049999999999</v>
      </c>
      <c r="F20" s="74">
        <v>11520.52</v>
      </c>
      <c r="G20" s="74">
        <v>10858.66</v>
      </c>
      <c r="H20" s="554">
        <v>11356.388803691116</v>
      </c>
      <c r="I20" s="74">
        <v>13647.359724204523</v>
      </c>
      <c r="J20" s="74">
        <v>11720.168586639456</v>
      </c>
      <c r="K20" s="74">
        <v>13862.046956631537</v>
      </c>
      <c r="L20" s="74">
        <v>14363.050609718555</v>
      </c>
      <c r="M20" s="74">
        <v>13808.853527496882</v>
      </c>
      <c r="N20" s="74">
        <v>12867.677613706399</v>
      </c>
      <c r="O20" s="74"/>
      <c r="P20" s="239">
        <v>136846.21582208844</v>
      </c>
    </row>
    <row r="21" spans="2:16" x14ac:dyDescent="0.3">
      <c r="B21" s="238" t="s">
        <v>158</v>
      </c>
      <c r="C21" s="74">
        <v>0</v>
      </c>
      <c r="D21" s="74">
        <v>0</v>
      </c>
      <c r="E21" s="74">
        <v>0</v>
      </c>
      <c r="F21" s="74">
        <v>0</v>
      </c>
      <c r="G21" s="74">
        <v>0</v>
      </c>
      <c r="H21" s="554">
        <v>0</v>
      </c>
      <c r="I21" s="74">
        <v>0</v>
      </c>
      <c r="J21" s="74">
        <v>0</v>
      </c>
      <c r="K21" s="74">
        <v>0</v>
      </c>
      <c r="L21" s="74">
        <v>0</v>
      </c>
      <c r="M21" s="74">
        <v>0</v>
      </c>
      <c r="N21" s="74">
        <v>0</v>
      </c>
      <c r="O21" s="74"/>
      <c r="P21" s="239">
        <v>0</v>
      </c>
    </row>
    <row r="22" spans="2:16" x14ac:dyDescent="0.3">
      <c r="B22" s="240" t="s">
        <v>3</v>
      </c>
      <c r="C22" s="75">
        <v>2442.23</v>
      </c>
      <c r="D22" s="75">
        <v>10158.209999999999</v>
      </c>
      <c r="E22" s="75">
        <v>10241.049999999999</v>
      </c>
      <c r="F22" s="75">
        <v>11520.52</v>
      </c>
      <c r="G22" s="75">
        <v>10858.66</v>
      </c>
      <c r="H22" s="555">
        <v>11356.388803691116</v>
      </c>
      <c r="I22" s="75">
        <v>13647.359724204523</v>
      </c>
      <c r="J22" s="75">
        <v>11720.168586639456</v>
      </c>
      <c r="K22" s="75">
        <v>13862.046956631537</v>
      </c>
      <c r="L22" s="75">
        <v>14363.050609718555</v>
      </c>
      <c r="M22" s="75">
        <v>13808.853527496882</v>
      </c>
      <c r="N22" s="75">
        <v>12867.677613706399</v>
      </c>
      <c r="O22" s="76"/>
      <c r="P22" s="241">
        <v>136846.21582208844</v>
      </c>
    </row>
    <row r="23" spans="2:16" x14ac:dyDescent="0.3">
      <c r="B23" s="242" t="s">
        <v>294</v>
      </c>
      <c r="C23" s="243">
        <v>167</v>
      </c>
      <c r="D23" s="243">
        <v>193</v>
      </c>
      <c r="E23" s="243">
        <v>215</v>
      </c>
      <c r="F23" s="243">
        <v>196</v>
      </c>
      <c r="G23" s="243">
        <v>215</v>
      </c>
      <c r="H23" s="556">
        <v>282.60004982472412</v>
      </c>
      <c r="I23" s="243">
        <v>308.73647061776217</v>
      </c>
      <c r="J23" s="243">
        <v>280.96652352515923</v>
      </c>
      <c r="K23" s="243">
        <v>305.46941801863244</v>
      </c>
      <c r="L23" s="243">
        <v>323.43820731384608</v>
      </c>
      <c r="M23" s="243">
        <v>336.50641771036516</v>
      </c>
      <c r="N23" s="243">
        <v>307.10294431819733</v>
      </c>
      <c r="O23" s="76"/>
      <c r="P23" s="245">
        <v>3130.8200313286866</v>
      </c>
    </row>
    <row r="24" spans="2:16" x14ac:dyDescent="0.3">
      <c r="B24" s="246" t="s">
        <v>257</v>
      </c>
      <c r="C24" s="247">
        <v>2115.3861574987218</v>
      </c>
      <c r="D24" s="248">
        <v>7752.1692821341057</v>
      </c>
      <c r="E24" s="248">
        <v>8901.5547562425691</v>
      </c>
      <c r="F24" s="248">
        <v>10221.919058397465</v>
      </c>
      <c r="G24" s="248">
        <v>10995.791258216446</v>
      </c>
      <c r="H24" s="557">
        <v>12877.00109444147</v>
      </c>
      <c r="I24" s="248">
        <v>15474.731373031105</v>
      </c>
      <c r="J24" s="248">
        <v>13289.490728614519</v>
      </c>
      <c r="K24" s="248">
        <v>15718.165071428846</v>
      </c>
      <c r="L24" s="248">
        <v>16286.252753229937</v>
      </c>
      <c r="M24" s="248">
        <v>15657.849080401716</v>
      </c>
      <c r="N24" s="248">
        <v>14590.650388859667</v>
      </c>
      <c r="O24" s="76"/>
      <c r="P24" s="250">
        <v>11990.080083541381</v>
      </c>
    </row>
    <row r="25" spans="2:16" x14ac:dyDescent="0.3">
      <c r="B25" s="240" t="s">
        <v>295</v>
      </c>
      <c r="C25" s="251">
        <v>71</v>
      </c>
      <c r="D25" s="251">
        <v>71</v>
      </c>
      <c r="E25" s="251">
        <v>85</v>
      </c>
      <c r="F25" s="251">
        <v>90</v>
      </c>
      <c r="G25" s="251">
        <v>91</v>
      </c>
      <c r="H25" s="558">
        <v>106.81959781202708</v>
      </c>
      <c r="I25" s="251">
        <v>116.69886697383305</v>
      </c>
      <c r="J25" s="251">
        <v>106.2021434894142</v>
      </c>
      <c r="K25" s="251">
        <v>115.46395832860732</v>
      </c>
      <c r="L25" s="251">
        <v>122.25595587734892</v>
      </c>
      <c r="M25" s="251">
        <v>127.19559045825191</v>
      </c>
      <c r="N25" s="251">
        <v>116.08141265122021</v>
      </c>
      <c r="P25" s="252"/>
    </row>
    <row r="26" spans="2:16" hidden="1" x14ac:dyDescent="0.3">
      <c r="B26" s="237"/>
      <c r="C26" s="77"/>
      <c r="D26" s="77"/>
      <c r="E26" s="77"/>
      <c r="F26" s="77"/>
      <c r="G26" s="77"/>
      <c r="H26" s="559"/>
      <c r="I26" s="77"/>
      <c r="J26" s="77"/>
      <c r="K26" s="77"/>
      <c r="L26" s="77"/>
      <c r="M26" s="77"/>
      <c r="N26" s="77"/>
      <c r="O26" s="7"/>
      <c r="P26" s="252"/>
    </row>
    <row r="27" spans="2:16" x14ac:dyDescent="0.3">
      <c r="B27" s="237"/>
      <c r="C27" s="77"/>
      <c r="D27" s="77"/>
      <c r="E27" s="77"/>
      <c r="F27" s="77"/>
      <c r="G27" s="77"/>
      <c r="H27" s="559"/>
      <c r="I27" s="77"/>
      <c r="J27" s="77"/>
      <c r="K27" s="77"/>
      <c r="L27" s="77"/>
      <c r="M27" s="77"/>
      <c r="N27" s="77"/>
      <c r="O27" s="7"/>
      <c r="P27" s="252"/>
    </row>
    <row r="28" spans="2:16" x14ac:dyDescent="0.3">
      <c r="B28" s="237" t="s">
        <v>221</v>
      </c>
      <c r="C28" s="74">
        <v>0</v>
      </c>
      <c r="D28" s="77">
        <v>213.08</v>
      </c>
      <c r="E28" s="77">
        <v>153.58000000000001</v>
      </c>
      <c r="F28" s="77">
        <v>151.79</v>
      </c>
      <c r="G28" s="77">
        <v>88.79</v>
      </c>
      <c r="H28" s="559">
        <v>137.59784291775929</v>
      </c>
      <c r="I28" s="77">
        <v>165.35602047746909</v>
      </c>
      <c r="J28" s="77">
        <v>142.00552165226276</v>
      </c>
      <c r="K28" s="77">
        <v>167.95724350660132</v>
      </c>
      <c r="L28" s="77">
        <v>174.0275730057362</v>
      </c>
      <c r="M28" s="77">
        <v>167.31273395053995</v>
      </c>
      <c r="N28" s="77">
        <v>155.90912865114854</v>
      </c>
      <c r="O28" s="7"/>
      <c r="P28" s="252">
        <v>1717.4060641615174</v>
      </c>
    </row>
    <row r="29" spans="2:16" x14ac:dyDescent="0.3">
      <c r="B29" s="237" t="s">
        <v>220</v>
      </c>
      <c r="C29" s="74">
        <v>134.32</v>
      </c>
      <c r="D29" s="77">
        <v>96.36</v>
      </c>
      <c r="E29" s="77">
        <v>239.2</v>
      </c>
      <c r="F29" s="77">
        <v>143.91999999999999</v>
      </c>
      <c r="G29" s="77">
        <v>31.44</v>
      </c>
      <c r="H29" s="559">
        <v>146.667218326843</v>
      </c>
      <c r="I29" s="77">
        <v>176.25499820896331</v>
      </c>
      <c r="J29" s="77">
        <v>151.36541682734116</v>
      </c>
      <c r="K29" s="77">
        <v>179.02767354921974</v>
      </c>
      <c r="L29" s="77">
        <v>185.49811177038882</v>
      </c>
      <c r="M29" s="77">
        <v>178.34068295570378</v>
      </c>
      <c r="N29" s="77">
        <v>166.18544103698676</v>
      </c>
      <c r="O29" s="7"/>
      <c r="P29" s="252">
        <v>1828.5795426754466</v>
      </c>
    </row>
    <row r="30" spans="2:16" ht="15.6" x14ac:dyDescent="0.3">
      <c r="B30" s="253" t="s">
        <v>239</v>
      </c>
      <c r="C30" s="89">
        <v>134.32</v>
      </c>
      <c r="D30" s="89">
        <v>309.44</v>
      </c>
      <c r="E30" s="89">
        <v>392.78</v>
      </c>
      <c r="F30" s="89">
        <v>295.70999999999998</v>
      </c>
      <c r="G30" s="89">
        <v>120.23</v>
      </c>
      <c r="H30" s="560">
        <v>284.26506124460229</v>
      </c>
      <c r="I30" s="89">
        <v>341.61101868643243</v>
      </c>
      <c r="J30" s="89">
        <v>293.37093847960392</v>
      </c>
      <c r="K30" s="89">
        <v>346.98491705582103</v>
      </c>
      <c r="L30" s="89">
        <v>359.52568477612499</v>
      </c>
      <c r="M30" s="89">
        <v>345.65341690624371</v>
      </c>
      <c r="N30" s="89">
        <v>322.09456968813527</v>
      </c>
      <c r="P30" s="254">
        <v>3545.9856068369641</v>
      </c>
    </row>
    <row r="31" spans="2:16" x14ac:dyDescent="0.3">
      <c r="B31" s="237"/>
      <c r="C31" s="77"/>
      <c r="D31" s="77"/>
      <c r="E31" s="77"/>
      <c r="F31" s="77"/>
      <c r="G31" s="77"/>
      <c r="H31" s="559"/>
      <c r="I31" s="77"/>
      <c r="J31" s="77"/>
      <c r="K31" s="77"/>
      <c r="L31" s="77"/>
      <c r="M31" s="77"/>
      <c r="N31" s="77"/>
      <c r="O31" s="7"/>
      <c r="P31" s="252"/>
    </row>
    <row r="32" spans="2:16" ht="15.6" x14ac:dyDescent="0.3">
      <c r="B32" s="253" t="s">
        <v>149</v>
      </c>
      <c r="C32" s="89">
        <v>2307.91</v>
      </c>
      <c r="D32" s="89">
        <v>9848.7699999999986</v>
      </c>
      <c r="E32" s="89">
        <v>9848.2699999999986</v>
      </c>
      <c r="F32" s="89">
        <v>11224.810000000001</v>
      </c>
      <c r="G32" s="89">
        <v>10738.43</v>
      </c>
      <c r="H32" s="560">
        <v>11072.123742446514</v>
      </c>
      <c r="I32" s="89">
        <v>13305.748705518092</v>
      </c>
      <c r="J32" s="89">
        <v>11426.797648159853</v>
      </c>
      <c r="K32" s="89">
        <v>13515.062039575716</v>
      </c>
      <c r="L32" s="89">
        <v>14003.524924942431</v>
      </c>
      <c r="M32" s="89">
        <v>13463.200110590638</v>
      </c>
      <c r="N32" s="89">
        <v>12545.583044018264</v>
      </c>
      <c r="P32" s="254">
        <v>133300.23021525153</v>
      </c>
    </row>
    <row r="33" spans="2:20" x14ac:dyDescent="0.3">
      <c r="B33" s="255" t="s">
        <v>150</v>
      </c>
      <c r="C33" s="91">
        <v>0.94500108507388736</v>
      </c>
      <c r="D33" s="91">
        <v>0.96953794024734663</v>
      </c>
      <c r="E33" s="91">
        <v>0.96164651085582042</v>
      </c>
      <c r="F33" s="91">
        <v>0.97433188779673152</v>
      </c>
      <c r="G33" s="91">
        <v>0.9889277314143734</v>
      </c>
      <c r="H33" s="561">
        <v>0.97496871002230845</v>
      </c>
      <c r="I33" s="91">
        <v>0.97496871002230845</v>
      </c>
      <c r="J33" s="91">
        <v>0.97496871002230845</v>
      </c>
      <c r="K33" s="91">
        <v>0.97496871002230845</v>
      </c>
      <c r="L33" s="91">
        <v>0.97496871002230845</v>
      </c>
      <c r="M33" s="91">
        <v>0.97496871002230845</v>
      </c>
      <c r="N33" s="91">
        <v>0.97496871002230845</v>
      </c>
      <c r="P33" s="256">
        <v>1</v>
      </c>
      <c r="T33" s="1"/>
    </row>
    <row r="34" spans="2:20" ht="3" customHeight="1" x14ac:dyDescent="0.3">
      <c r="B34" s="237"/>
      <c r="H34" s="562"/>
      <c r="O34" s="257"/>
      <c r="P34" s="98"/>
    </row>
    <row r="35" spans="2:20" x14ac:dyDescent="0.3">
      <c r="B35" s="237" t="s">
        <v>187</v>
      </c>
      <c r="C35" s="74">
        <v>145.96</v>
      </c>
      <c r="D35" s="74">
        <v>953.35</v>
      </c>
      <c r="E35" s="74">
        <v>839.8</v>
      </c>
      <c r="F35" s="74">
        <v>1057.47</v>
      </c>
      <c r="G35" s="74">
        <v>1315.65</v>
      </c>
      <c r="H35" s="554">
        <v>1698.9699999999998</v>
      </c>
      <c r="I35" s="74">
        <v>1698.9699999999998</v>
      </c>
      <c r="J35" s="74">
        <v>1398.9699999999998</v>
      </c>
      <c r="K35" s="74">
        <v>3398.97</v>
      </c>
      <c r="L35" s="74">
        <v>1398.9699999999998</v>
      </c>
      <c r="M35" s="74">
        <v>1398.9699999999998</v>
      </c>
      <c r="N35" s="74">
        <v>1398.9699999999998</v>
      </c>
      <c r="P35" s="239">
        <v>16705.019999999997</v>
      </c>
    </row>
    <row r="36" spans="2:20" ht="15.6" x14ac:dyDescent="0.3">
      <c r="B36" s="258" t="s">
        <v>151</v>
      </c>
      <c r="C36" s="80">
        <v>145.96</v>
      </c>
      <c r="D36" s="80">
        <v>953.35</v>
      </c>
      <c r="E36" s="80">
        <v>839.8</v>
      </c>
      <c r="F36" s="80">
        <v>1057.47</v>
      </c>
      <c r="G36" s="80">
        <v>1315.65</v>
      </c>
      <c r="H36" s="563">
        <v>1698.9699999999998</v>
      </c>
      <c r="I36" s="80">
        <v>1698.9699999999998</v>
      </c>
      <c r="J36" s="80">
        <v>1398.9699999999998</v>
      </c>
      <c r="K36" s="80">
        <v>3398.97</v>
      </c>
      <c r="L36" s="80">
        <v>1398.9699999999998</v>
      </c>
      <c r="M36" s="80">
        <v>1398.9699999999998</v>
      </c>
      <c r="N36" s="80">
        <v>1398.9699999999998</v>
      </c>
      <c r="O36" s="259"/>
      <c r="P36" s="260">
        <v>16705.019999999997</v>
      </c>
    </row>
    <row r="37" spans="2:20" ht="4.95" customHeight="1" x14ac:dyDescent="0.3">
      <c r="B37" s="237"/>
      <c r="H37" s="562"/>
      <c r="O37" s="7"/>
      <c r="P37" s="98"/>
    </row>
    <row r="38" spans="2:20" ht="15.6" x14ac:dyDescent="0.3">
      <c r="B38" s="253" t="s">
        <v>152</v>
      </c>
      <c r="C38" s="89">
        <v>2161.9499999999998</v>
      </c>
      <c r="D38" s="89">
        <v>8895.4199999999983</v>
      </c>
      <c r="E38" s="89">
        <v>9008.4699999999993</v>
      </c>
      <c r="F38" s="89">
        <v>10167.340000000002</v>
      </c>
      <c r="G38" s="89">
        <v>9422.7800000000007</v>
      </c>
      <c r="H38" s="560">
        <v>9373.153742446515</v>
      </c>
      <c r="I38" s="89">
        <v>11606.778705518092</v>
      </c>
      <c r="J38" s="89">
        <v>10027.827648159853</v>
      </c>
      <c r="K38" s="89">
        <v>10116.092039575717</v>
      </c>
      <c r="L38" s="89">
        <v>12604.554924942431</v>
      </c>
      <c r="M38" s="89">
        <v>12064.230110590639</v>
      </c>
      <c r="N38" s="89">
        <v>11146.613044018264</v>
      </c>
      <c r="P38" s="254">
        <v>116595.21021525154</v>
      </c>
    </row>
    <row r="39" spans="2:20" x14ac:dyDescent="0.3">
      <c r="B39" s="255" t="s">
        <v>153</v>
      </c>
      <c r="C39" s="91">
        <v>0.88523603428014552</v>
      </c>
      <c r="D39" s="91">
        <v>0.87568774419902706</v>
      </c>
      <c r="E39" s="91">
        <v>0.87964320064837098</v>
      </c>
      <c r="F39" s="91">
        <v>0.88254176026776587</v>
      </c>
      <c r="G39" s="91">
        <v>0.8677663726463487</v>
      </c>
      <c r="H39" s="561">
        <v>0.82536393429925548</v>
      </c>
      <c r="I39" s="91">
        <v>0.85047796350913785</v>
      </c>
      <c r="J39" s="91">
        <v>0.85560438606584488</v>
      </c>
      <c r="K39" s="91">
        <v>0.72976899235911374</v>
      </c>
      <c r="L39" s="91">
        <v>0.87756809242277101</v>
      </c>
      <c r="M39" s="91">
        <v>0.87365906855103781</v>
      </c>
      <c r="N39" s="91">
        <v>0.86624901389704612</v>
      </c>
      <c r="O39" s="133"/>
      <c r="P39" s="256">
        <v>0.85201632734101385</v>
      </c>
    </row>
    <row r="40" spans="2:20" ht="5.4" customHeight="1" x14ac:dyDescent="0.3">
      <c r="B40" s="261"/>
      <c r="C40" s="83"/>
      <c r="D40" s="83"/>
      <c r="E40" s="83"/>
      <c r="F40" s="83"/>
      <c r="G40" s="83"/>
      <c r="H40" s="564"/>
      <c r="I40" s="83"/>
      <c r="J40" s="83"/>
      <c r="K40" s="83"/>
      <c r="L40" s="83"/>
      <c r="M40" s="83"/>
      <c r="N40" s="83"/>
      <c r="O40" s="259"/>
      <c r="P40" s="262"/>
    </row>
    <row r="41" spans="2:20" x14ac:dyDescent="0.3">
      <c r="B41" s="237" t="s">
        <v>154</v>
      </c>
      <c r="C41" s="133">
        <v>0</v>
      </c>
      <c r="D41" s="133">
        <v>0</v>
      </c>
      <c r="E41" s="133">
        <v>0</v>
      </c>
      <c r="F41" s="133">
        <v>0</v>
      </c>
      <c r="G41" s="133">
        <v>0</v>
      </c>
      <c r="H41" s="565">
        <v>0</v>
      </c>
      <c r="I41" s="133">
        <v>0</v>
      </c>
      <c r="J41" s="133">
        <v>0</v>
      </c>
      <c r="K41" s="133">
        <v>0</v>
      </c>
      <c r="L41" s="133">
        <v>0</v>
      </c>
      <c r="M41" s="133">
        <v>0</v>
      </c>
      <c r="N41" s="133">
        <v>0</v>
      </c>
      <c r="O41" s="7"/>
      <c r="P41" s="263">
        <v>0</v>
      </c>
    </row>
    <row r="42" spans="2:20" ht="15.6" x14ac:dyDescent="0.3">
      <c r="B42" s="253" t="s">
        <v>12</v>
      </c>
      <c r="C42" s="89">
        <v>2161.9499999999998</v>
      </c>
      <c r="D42" s="89">
        <v>8895.4199999999983</v>
      </c>
      <c r="E42" s="89">
        <v>9008.4699999999993</v>
      </c>
      <c r="F42" s="89">
        <v>10167.340000000002</v>
      </c>
      <c r="G42" s="89">
        <v>9422.7800000000007</v>
      </c>
      <c r="H42" s="560">
        <v>9373.153742446515</v>
      </c>
      <c r="I42" s="89">
        <v>11606.778705518092</v>
      </c>
      <c r="J42" s="89">
        <v>10027.827648159853</v>
      </c>
      <c r="K42" s="89">
        <v>10116.092039575717</v>
      </c>
      <c r="L42" s="89">
        <v>12604.554924942431</v>
      </c>
      <c r="M42" s="89">
        <v>12064.230110590639</v>
      </c>
      <c r="N42" s="89">
        <v>11146.613044018264</v>
      </c>
      <c r="P42" s="254">
        <v>116595.21021525154</v>
      </c>
    </row>
    <row r="43" spans="2:20" x14ac:dyDescent="0.3">
      <c r="B43" s="255" t="s">
        <v>155</v>
      </c>
      <c r="C43" s="91">
        <v>0.88523603428014552</v>
      </c>
      <c r="D43" s="91">
        <v>0.87568774419902706</v>
      </c>
      <c r="E43" s="91">
        <v>0.87964320064837098</v>
      </c>
      <c r="F43" s="91">
        <v>0.88254176026776587</v>
      </c>
      <c r="G43" s="91">
        <v>0.8677663726463487</v>
      </c>
      <c r="H43" s="561">
        <v>0.82536393429925548</v>
      </c>
      <c r="I43" s="91">
        <v>0.85047796350913785</v>
      </c>
      <c r="J43" s="91">
        <v>0.85560438606584488</v>
      </c>
      <c r="K43" s="91">
        <v>0.72976899235911374</v>
      </c>
      <c r="L43" s="91">
        <v>0.87756809242277101</v>
      </c>
      <c r="M43" s="91">
        <v>0.87365906855103781</v>
      </c>
      <c r="N43" s="91">
        <v>0.86624901389704612</v>
      </c>
      <c r="P43" s="256">
        <v>0.85201632734101385</v>
      </c>
    </row>
    <row r="44" spans="2:20" ht="15" thickBot="1" x14ac:dyDescent="0.35">
      <c r="B44" s="237"/>
      <c r="H44" s="562"/>
      <c r="P44" s="98"/>
    </row>
    <row r="45" spans="2:20" ht="15" thickBot="1" x14ac:dyDescent="0.35">
      <c r="B45" s="264" t="s">
        <v>231</v>
      </c>
      <c r="C45" s="267">
        <v>306.714</v>
      </c>
      <c r="D45" s="267">
        <v>345.94200000000001</v>
      </c>
      <c r="E45" s="267">
        <v>165.17100000000002</v>
      </c>
      <c r="F45" s="267">
        <v>232.45499999999998</v>
      </c>
      <c r="G45" s="267">
        <v>363.654</v>
      </c>
      <c r="H45" s="566">
        <v>647.49731812217306</v>
      </c>
      <c r="I45" s="550">
        <v>1579.1886495808806</v>
      </c>
      <c r="J45" s="266">
        <v>2576.6816933106475</v>
      </c>
      <c r="K45" s="265">
        <v>3381.5597880975088</v>
      </c>
      <c r="L45" s="265">
        <v>4491.2759620908391</v>
      </c>
      <c r="M45" s="265">
        <v>5604.3722710100028</v>
      </c>
      <c r="N45" s="267">
        <v>6653.9566892356233</v>
      </c>
      <c r="P45" s="98"/>
    </row>
    <row r="46" spans="2:20" ht="15" thickBot="1" x14ac:dyDescent="0.35">
      <c r="B46" s="268" t="s">
        <v>296</v>
      </c>
      <c r="C46" s="271">
        <v>1022.3800000000037</v>
      </c>
      <c r="D46" s="271">
        <v>1153.1399999999985</v>
      </c>
      <c r="E46" s="271">
        <v>550.56999999999698</v>
      </c>
      <c r="F46" s="271">
        <v>774.849999999994</v>
      </c>
      <c r="G46" s="271">
        <v>1212.1799999999976</v>
      </c>
      <c r="H46" s="567">
        <v>2158.3243937405741</v>
      </c>
      <c r="I46" s="551">
        <v>5263.9621652695996</v>
      </c>
      <c r="J46" s="270">
        <v>8588.938977702157</v>
      </c>
      <c r="K46" s="269">
        <v>11271.865960325027</v>
      </c>
      <c r="L46" s="269">
        <v>14970.919873636129</v>
      </c>
      <c r="M46" s="269">
        <v>18681.240903366677</v>
      </c>
      <c r="N46" s="271">
        <v>22179.855630785412</v>
      </c>
      <c r="P46" s="98"/>
    </row>
    <row r="47" spans="2:20" ht="15" thickBot="1" x14ac:dyDescent="0.35">
      <c r="B47" s="86" t="s">
        <v>232</v>
      </c>
      <c r="C47" s="87">
        <v>-1776.5900000000011</v>
      </c>
      <c r="D47" s="164">
        <v>130.75999999999476</v>
      </c>
      <c r="E47" s="164">
        <v>-602.57000000000153</v>
      </c>
      <c r="F47" s="164">
        <v>224.27999999999702</v>
      </c>
      <c r="G47" s="164">
        <v>437.33000000000357</v>
      </c>
      <c r="H47" s="568">
        <v>946.14439374057656</v>
      </c>
      <c r="I47" s="164">
        <v>3105.6377715290255</v>
      </c>
      <c r="J47" s="164">
        <v>3324.9768124325565</v>
      </c>
      <c r="K47" s="87">
        <v>2682.9269826228701</v>
      </c>
      <c r="L47" s="87">
        <v>3699.0539133111015</v>
      </c>
      <c r="M47" s="87">
        <v>3710.3210297305486</v>
      </c>
      <c r="N47" s="87">
        <v>3498.6147274187351</v>
      </c>
      <c r="P47" s="98"/>
    </row>
    <row r="48" spans="2:20" ht="15" thickBot="1" x14ac:dyDescent="0.35">
      <c r="B48" s="272" t="s">
        <v>233</v>
      </c>
      <c r="C48" s="273">
        <v>-145.96</v>
      </c>
      <c r="D48" s="274">
        <v>-953.35</v>
      </c>
      <c r="E48" s="274">
        <v>-839.8</v>
      </c>
      <c r="F48" s="274">
        <v>-1057.47</v>
      </c>
      <c r="G48" s="274">
        <v>-1315.65</v>
      </c>
      <c r="H48" s="569">
        <v>-1698.9699999999998</v>
      </c>
      <c r="I48" s="274">
        <v>-1698.9699999999998</v>
      </c>
      <c r="J48" s="274">
        <v>-1398.9699999999998</v>
      </c>
      <c r="K48" s="274">
        <v>-3398.97</v>
      </c>
      <c r="L48" s="274">
        <v>-1398.9699999999998</v>
      </c>
      <c r="M48" s="274">
        <v>-1398.9699999999998</v>
      </c>
      <c r="N48" s="274">
        <v>-1398.9699999999998</v>
      </c>
      <c r="P48" s="98"/>
    </row>
    <row r="49" spans="2:16" ht="15" thickBot="1" x14ac:dyDescent="0.35">
      <c r="B49" s="272" t="s">
        <v>234</v>
      </c>
      <c r="C49" s="273">
        <v>-3938.5400000000009</v>
      </c>
      <c r="D49" s="274">
        <v>-8764.6600000000035</v>
      </c>
      <c r="E49" s="274">
        <v>-9611.0400000000009</v>
      </c>
      <c r="F49" s="274">
        <v>-10328.059999999998</v>
      </c>
      <c r="G49" s="274">
        <v>-9197.9499999999971</v>
      </c>
      <c r="H49" s="569">
        <v>-6561.2076197125571</v>
      </c>
      <c r="I49" s="274">
        <v>-8124.7450938626571</v>
      </c>
      <c r="J49" s="274">
        <v>-7019.4793537118967</v>
      </c>
      <c r="K49" s="274">
        <v>-7081.2644277030049</v>
      </c>
      <c r="L49" s="274">
        <v>-8823.1884474597027</v>
      </c>
      <c r="M49" s="274">
        <v>-8444.9610774134489</v>
      </c>
      <c r="N49" s="274">
        <v>-7802.6291308127984</v>
      </c>
      <c r="P49" s="98"/>
    </row>
    <row r="50" spans="2:16" ht="15" thickBot="1" x14ac:dyDescent="0.35">
      <c r="B50" s="272" t="s">
        <v>235</v>
      </c>
      <c r="C50" s="87">
        <v>-21307.26288520731</v>
      </c>
      <c r="D50" s="87">
        <v>-21691.608769533894</v>
      </c>
      <c r="E50" s="87">
        <v>-22407.297594147509</v>
      </c>
      <c r="F50" s="87">
        <v>-22729.62222577586</v>
      </c>
      <c r="G50" s="275">
        <v>-22877.746825854825</v>
      </c>
      <c r="H50" s="568">
        <v>-22363.12316327669</v>
      </c>
      <c r="I50" s="164">
        <v>-21194.900460111407</v>
      </c>
      <c r="J50" s="87">
        <v>-20241.995116332077</v>
      </c>
      <c r="K50" s="87">
        <v>-18134.62141616665</v>
      </c>
      <c r="L50" s="87">
        <v>-17675.694512232214</v>
      </c>
      <c r="M50" s="87">
        <v>-16618.236009736545</v>
      </c>
      <c r="N50" s="87">
        <v>-16210.715073588381</v>
      </c>
      <c r="P50" s="98"/>
    </row>
    <row r="51" spans="2:16" ht="15" thickBot="1" x14ac:dyDescent="0.35">
      <c r="B51" s="272" t="s">
        <v>236</v>
      </c>
      <c r="C51" s="275">
        <v>-20591.596885207306</v>
      </c>
      <c r="D51" s="275">
        <v>-20884.410769533893</v>
      </c>
      <c r="E51" s="275">
        <v>-22021.898594147511</v>
      </c>
      <c r="F51" s="275">
        <v>-22187.227225775867</v>
      </c>
      <c r="G51" s="275">
        <v>-22029.220825854827</v>
      </c>
      <c r="H51" s="570">
        <v>-20852.296087658287</v>
      </c>
      <c r="I51" s="275">
        <v>-17510.126944422685</v>
      </c>
      <c r="J51" s="275">
        <v>-14229.737831940565</v>
      </c>
      <c r="K51" s="275">
        <v>-10244.315243939134</v>
      </c>
      <c r="L51" s="275">
        <v>-7196.0506006869236</v>
      </c>
      <c r="M51" s="275">
        <v>-3541.3673773798719</v>
      </c>
      <c r="N51" s="275">
        <v>-684.8161320385916</v>
      </c>
      <c r="P51" s="98"/>
    </row>
    <row r="52" spans="2:16" ht="15" thickBot="1" x14ac:dyDescent="0.35">
      <c r="B52" s="272" t="s">
        <v>237</v>
      </c>
      <c r="C52" s="276">
        <v>2.1013565360372706</v>
      </c>
      <c r="D52" s="277">
        <v>0.36286987989720459</v>
      </c>
      <c r="E52" s="277">
        <v>0.19667897118361519</v>
      </c>
      <c r="F52" s="277">
        <v>0.21982183891741608</v>
      </c>
      <c r="G52" s="277">
        <v>0.27640633907194162</v>
      </c>
      <c r="H52" s="571">
        <v>0.38111168420994668</v>
      </c>
      <c r="I52" s="277">
        <v>0.92949766598638039</v>
      </c>
      <c r="J52" s="277">
        <v>1.8418419932597896</v>
      </c>
      <c r="K52" s="277">
        <v>0.99487779771445728</v>
      </c>
      <c r="L52" s="277">
        <v>3.2104162077034104</v>
      </c>
      <c r="M52" s="277">
        <v>4.0060703739251045</v>
      </c>
      <c r="N52" s="277">
        <v>4.7563255032170986</v>
      </c>
      <c r="P52" s="98"/>
    </row>
    <row r="53" spans="2:16" x14ac:dyDescent="0.3">
      <c r="B53" s="272" t="s">
        <v>238</v>
      </c>
      <c r="C53" s="276">
        <v>0.25958350048495216</v>
      </c>
      <c r="D53" s="277">
        <v>0.13156699746481873</v>
      </c>
      <c r="E53" s="277">
        <v>5.7285163728378712E-2</v>
      </c>
      <c r="F53" s="277">
        <v>7.5023770194982811E-2</v>
      </c>
      <c r="G53" s="277">
        <v>0.13178806147021868</v>
      </c>
      <c r="H53" s="571">
        <v>0.32895230860491032</v>
      </c>
      <c r="I53" s="277">
        <v>0.64789259286989065</v>
      </c>
      <c r="J53" s="277">
        <v>1.2235863295417104</v>
      </c>
      <c r="K53" s="277">
        <v>1.5917871836882322</v>
      </c>
      <c r="L53" s="277">
        <v>1.6967698199789021</v>
      </c>
      <c r="M53" s="277">
        <v>2.2121168744437161</v>
      </c>
      <c r="N53" s="277">
        <v>2.8426130806597674</v>
      </c>
      <c r="P53" s="98"/>
    </row>
    <row r="54" spans="2:16" x14ac:dyDescent="0.3">
      <c r="B54" s="97"/>
      <c r="E54" s="9"/>
      <c r="P54" s="98"/>
    </row>
    <row r="55" spans="2:16" x14ac:dyDescent="0.3">
      <c r="B55" s="97"/>
      <c r="P55" s="98"/>
    </row>
    <row r="56" spans="2:16" x14ac:dyDescent="0.3">
      <c r="B56" s="97"/>
      <c r="P56" s="98"/>
    </row>
    <row r="57" spans="2:16" x14ac:dyDescent="0.3">
      <c r="B57" s="97"/>
      <c r="P57" s="98"/>
    </row>
    <row r="58" spans="2:16" x14ac:dyDescent="0.3">
      <c r="B58" s="97"/>
      <c r="P58" s="98"/>
    </row>
    <row r="59" spans="2:16" x14ac:dyDescent="0.3">
      <c r="B59" s="97"/>
      <c r="P59" s="98"/>
    </row>
    <row r="60" spans="2:16" x14ac:dyDescent="0.3">
      <c r="B60" s="97"/>
      <c r="P60" s="98"/>
    </row>
    <row r="61" spans="2:16" x14ac:dyDescent="0.3">
      <c r="B61" s="97"/>
      <c r="P61" s="98"/>
    </row>
    <row r="62" spans="2:16" x14ac:dyDescent="0.3">
      <c r="B62" s="97"/>
      <c r="P62" s="98"/>
    </row>
    <row r="63" spans="2:16" x14ac:dyDescent="0.3">
      <c r="B63" s="97"/>
      <c r="P63" s="98"/>
    </row>
    <row r="64" spans="2:16" x14ac:dyDescent="0.3">
      <c r="B64" s="97"/>
      <c r="P64" s="98"/>
    </row>
    <row r="65" spans="2:16" x14ac:dyDescent="0.3">
      <c r="B65" s="97"/>
      <c r="P65" s="98"/>
    </row>
    <row r="66" spans="2:16" x14ac:dyDescent="0.3">
      <c r="B66" s="97"/>
      <c r="P66" s="98"/>
    </row>
    <row r="67" spans="2:16" x14ac:dyDescent="0.3">
      <c r="B67" s="97"/>
      <c r="P67" s="98"/>
    </row>
    <row r="68" spans="2:16" x14ac:dyDescent="0.3">
      <c r="B68" s="97"/>
      <c r="P68" s="98"/>
    </row>
    <row r="69" spans="2:16" ht="15" thickBot="1" x14ac:dyDescent="0.35">
      <c r="B69" s="97"/>
      <c r="O69" s="110"/>
      <c r="P69" s="98"/>
    </row>
    <row r="70" spans="2:16" x14ac:dyDescent="0.3">
      <c r="B70" s="97"/>
      <c r="P70" s="98"/>
    </row>
    <row r="71" spans="2:16" ht="15" thickBot="1" x14ac:dyDescent="0.35">
      <c r="B71" s="108"/>
      <c r="C71" s="110"/>
      <c r="D71" s="110"/>
      <c r="E71" s="110"/>
      <c r="F71" s="110"/>
      <c r="G71" s="110"/>
      <c r="H71" s="110"/>
      <c r="I71" s="110"/>
      <c r="J71" s="110"/>
      <c r="K71" s="110"/>
      <c r="L71" s="110"/>
      <c r="M71" s="110"/>
      <c r="N71" s="110"/>
      <c r="O71" s="110"/>
      <c r="P71" s="111"/>
    </row>
  </sheetData>
  <mergeCells count="1">
    <mergeCell ref="E15:K16"/>
  </mergeCells>
  <conditionalFormatting sqref="C49:N49">
    <cfRule type="cellIs" dxfId="1" priority="1" operator="greaterThan">
      <formula>0</formula>
    </cfRule>
  </conditionalFormatting>
  <pageMargins left="0.25" right="0.25" top="0.75" bottom="0.75" header="0.3" footer="0.3"/>
  <pageSetup scale="48" orientation="landscape" horizontalDpi="1200" verticalDpi="12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5E2E8E-0D21-4C88-BF88-A80AA9D0FB30}">
  <sheetPr>
    <tabColor theme="1"/>
    <pageSetUpPr fitToPage="1"/>
  </sheetPr>
  <dimension ref="B7:O46"/>
  <sheetViews>
    <sheetView showGridLines="0" tabSelected="1" topLeftCell="B49" zoomScale="70" zoomScaleNormal="70" workbookViewId="0">
      <selection activeCell="B1" sqref="B1:V60"/>
    </sheetView>
  </sheetViews>
  <sheetFormatPr defaultRowHeight="14.4" outlineLevelCol="1" x14ac:dyDescent="0.3"/>
  <cols>
    <col min="2" max="2" width="34" bestFit="1" customWidth="1"/>
    <col min="3" max="3" width="13.44140625" bestFit="1" customWidth="1"/>
    <col min="4" max="4" width="12.33203125" bestFit="1" customWidth="1"/>
    <col min="5" max="5" width="14.88671875" bestFit="1" customWidth="1" outlineLevel="1"/>
    <col min="6" max="6" width="13.6640625" bestFit="1" customWidth="1"/>
    <col min="7" max="7" width="11.6640625" bestFit="1" customWidth="1" outlineLevel="1"/>
    <col min="8" max="8" width="13.6640625" customWidth="1"/>
    <col min="9" max="9" width="11.44140625" hidden="1" customWidth="1" outlineLevel="1"/>
    <col min="10" max="10" width="0.6640625" customWidth="1" collapsed="1"/>
    <col min="11" max="11" width="12.33203125" bestFit="1" customWidth="1"/>
  </cols>
  <sheetData>
    <row r="7" spans="2:11" ht="103.2" customHeight="1" x14ac:dyDescent="0.3"/>
    <row r="9" spans="2:11" x14ac:dyDescent="0.3">
      <c r="C9" s="92">
        <v>45382</v>
      </c>
      <c r="D9" s="92">
        <v>45473</v>
      </c>
      <c r="E9" s="221"/>
      <c r="F9" s="92">
        <v>45565</v>
      </c>
      <c r="G9" s="221"/>
      <c r="H9" s="92">
        <v>45657</v>
      </c>
      <c r="I9" s="221"/>
    </row>
    <row r="10" spans="2:11" ht="15.6" x14ac:dyDescent="0.3">
      <c r="B10" s="353"/>
      <c r="C10" s="354" t="s">
        <v>298</v>
      </c>
      <c r="D10" s="354" t="s">
        <v>299</v>
      </c>
      <c r="E10" s="355" t="s">
        <v>210</v>
      </c>
      <c r="F10" s="354" t="s">
        <v>300</v>
      </c>
      <c r="G10" s="355" t="s">
        <v>210</v>
      </c>
      <c r="H10" s="457" t="s">
        <v>301</v>
      </c>
      <c r="I10" s="356" t="s">
        <v>210</v>
      </c>
      <c r="J10" s="357"/>
      <c r="K10" s="465" t="s">
        <v>0</v>
      </c>
    </row>
    <row r="11" spans="2:11" ht="3.6" customHeight="1" x14ac:dyDescent="0.3">
      <c r="B11" s="358"/>
      <c r="C11" s="92" t="str">
        <f>+C10</f>
        <v>Q1 2024</v>
      </c>
      <c r="D11" s="92" t="str">
        <f>+D10</f>
        <v>Q2 2024</v>
      </c>
      <c r="E11" s="359"/>
      <c r="F11" s="92" t="str">
        <f>+F10</f>
        <v>Q3 2024</v>
      </c>
      <c r="G11" s="359"/>
      <c r="H11" s="458" t="str">
        <f>+H10</f>
        <v>Q4 2024</v>
      </c>
      <c r="I11" s="206"/>
      <c r="J11" s="92">
        <v>45322</v>
      </c>
      <c r="K11" s="466"/>
    </row>
    <row r="12" spans="2:11" x14ac:dyDescent="0.3">
      <c r="B12" s="360" t="s">
        <v>326</v>
      </c>
      <c r="C12" s="168">
        <f>SUMIF('Monthly Detail'!$3:$3, 'Quarterly Overview'!C$11, 'Monthly Detail'!9:9)</f>
        <v>22867.200000000001</v>
      </c>
      <c r="D12" s="168">
        <f>SUMIF('Monthly Detail'!$3:$3, 'Quarterly Overview'!D$11, 'Monthly Detail'!9:9)</f>
        <v>34604.229999999996</v>
      </c>
      <c r="E12" s="361">
        <f>+D12-C12</f>
        <v>11737.029999999995</v>
      </c>
      <c r="F12" s="168">
        <f>SUMIF('Monthly Detail'!$3:$3, 'Quarterly Overview'!F$11, 'Monthly Detail'!9:9)</f>
        <v>33342</v>
      </c>
      <c r="G12" s="361">
        <f>+F12-D12</f>
        <v>-1262.2299999999959</v>
      </c>
      <c r="H12" s="459">
        <f>SUMIF('Monthly Detail'!$3:$3, 'Quarterly Overview'!H$11, 'Monthly Detail'!9:9)</f>
        <v>33474.510281780262</v>
      </c>
      <c r="I12" s="222">
        <f>+H12-F12</f>
        <v>132.51028178026172</v>
      </c>
      <c r="J12" s="74"/>
      <c r="K12" s="467">
        <f>SUM(C12,D12,F12,H12)</f>
        <v>124287.94028178026</v>
      </c>
    </row>
    <row r="13" spans="2:11" x14ac:dyDescent="0.3">
      <c r="B13" s="362" t="s">
        <v>3</v>
      </c>
      <c r="C13" s="75">
        <f>SUM(C12:C12)</f>
        <v>22867.200000000001</v>
      </c>
      <c r="D13" s="75">
        <f>SUM(D12:D12)</f>
        <v>34604.229999999996</v>
      </c>
      <c r="E13" s="363">
        <f>+D13-C13</f>
        <v>11737.029999999995</v>
      </c>
      <c r="F13" s="75">
        <f>SUM(F12:F12)</f>
        <v>33342</v>
      </c>
      <c r="G13" s="363">
        <f>+F13-D13</f>
        <v>-1262.2299999999959</v>
      </c>
      <c r="H13" s="364">
        <f>SUM(H12:H12)</f>
        <v>33474.510281780262</v>
      </c>
      <c r="I13" s="223">
        <f>+H13-F13</f>
        <v>132.51028178026172</v>
      </c>
      <c r="J13" s="76"/>
      <c r="K13" s="468">
        <f>SUM(K12:K12)</f>
        <v>124287.94028178026</v>
      </c>
    </row>
    <row r="14" spans="2:11" x14ac:dyDescent="0.3">
      <c r="B14" s="365" t="s">
        <v>294</v>
      </c>
      <c r="C14" s="366">
        <f>+AVERAGEIFS('Monthly Detail'!11:11,'Monthly Detail'!$3:$3,'Quarterly Overview'!C$10)</f>
        <v>191.66666666666666</v>
      </c>
      <c r="D14" s="366">
        <f>+AVERAGEIFS('Monthly Detail'!11:11,'Monthly Detail'!$3:$3,'Quarterly Overview'!D$10)</f>
        <v>214</v>
      </c>
      <c r="E14" s="367">
        <f>+D14-C14</f>
        <v>22.333333333333343</v>
      </c>
      <c r="F14" s="366">
        <f>+AVERAGEIFS('Monthly Detail'!11:11,'Monthly Detail'!$3:$3,'Quarterly Overview'!F$10)</f>
        <v>224.33333333333334</v>
      </c>
      <c r="G14" s="367">
        <f t="shared" ref="G14:G30" si="0">+F14-D14</f>
        <v>10.333333333333343</v>
      </c>
      <c r="H14" s="460">
        <f>+AVERAGEIFS('Monthly Detail'!11:11,'Monthly Detail'!$3:$3,'Quarterly Overview'!H$10)</f>
        <v>227.0433335206807</v>
      </c>
      <c r="I14" s="368">
        <f>+H14-F14</f>
        <v>2.7100001873473616</v>
      </c>
      <c r="J14" s="76"/>
      <c r="K14" s="475">
        <f>+AVERAGE(C14,D14,F14,H14)</f>
        <v>214.26083338017017</v>
      </c>
    </row>
    <row r="15" spans="2:11" x14ac:dyDescent="0.3">
      <c r="B15" s="365" t="s">
        <v>257</v>
      </c>
      <c r="C15" s="366">
        <f>+AVERAGEIFS('Monthly Detail'!37:37,'Monthly Detail'!$3:$3,'Quarterly Overview'!C$10)</f>
        <v>6366.7972096971234</v>
      </c>
      <c r="D15" s="366">
        <f>+AVERAGEIFS('Monthly Detail'!37:37,'Monthly Detail'!$3:$3,'Quarterly Overview'!D$10)</f>
        <v>10879.805207150695</v>
      </c>
      <c r="E15" s="367">
        <f>+D15-C15</f>
        <v>4513.007997453572</v>
      </c>
      <c r="F15" s="366">
        <f>+AVERAGEIFS('Monthly Detail'!37:37,'Monthly Detail'!$3:$3,'Quarterly Overview'!F$10)</f>
        <v>10791.808042415936</v>
      </c>
      <c r="G15" s="367">
        <f t="shared" si="0"/>
        <v>-87.997164734759281</v>
      </c>
      <c r="H15" s="460">
        <f>+AVERAGEIFS('Monthly Detail'!37:37,'Monthly Detail'!$3:$3,'Quarterly Overview'!H$10)</f>
        <v>10358.66420373789</v>
      </c>
      <c r="I15" s="368"/>
      <c r="J15" s="76"/>
      <c r="K15" s="474">
        <f>+AVERAGE(C15,D15,F15,H15)</f>
        <v>9599.2686657504109</v>
      </c>
    </row>
    <row r="16" spans="2:11" x14ac:dyDescent="0.3">
      <c r="B16" s="572" t="s">
        <v>295</v>
      </c>
      <c r="C16" s="573">
        <f>+AVERAGEIFS('Monthly Detail'!13:13,'Monthly Detail'!$3:$3,'Quarterly Overview'!C$10)</f>
        <v>75.666666666666671</v>
      </c>
      <c r="D16" s="573">
        <f>+AVERAGEIFS('Monthly Detail'!13:13,'Monthly Detail'!$3:$3,'Quarterly Overview'!D$10)</f>
        <v>90.666666666666671</v>
      </c>
      <c r="E16" s="574">
        <f>+D16-C16</f>
        <v>15</v>
      </c>
      <c r="F16" s="573">
        <f>+AVERAGEIFS('Monthly Detail'!13:13,'Monthly Detail'!$3:$3,'Quarterly Overview'!F$10)</f>
        <v>91.333333333333329</v>
      </c>
      <c r="G16" s="574">
        <f t="shared" si="0"/>
        <v>0.66666666666665719</v>
      </c>
      <c r="H16" s="575">
        <f>+AVERAGEIFS('Monthly Detail'!13:13,'Monthly Detail'!$3:$3,'Quarterly Overview'!H$10)</f>
        <v>85.331666903872062</v>
      </c>
      <c r="I16" s="368"/>
      <c r="J16" s="76"/>
      <c r="K16" s="576">
        <f>+AVERAGE(C16,D16,F16,H16)</f>
        <v>85.74958339263469</v>
      </c>
    </row>
    <row r="17" spans="2:15" ht="4.95" customHeight="1" x14ac:dyDescent="0.3">
      <c r="B17" s="358"/>
      <c r="C17" s="169"/>
      <c r="D17" s="169"/>
      <c r="E17" s="369"/>
      <c r="F17" s="169"/>
      <c r="G17" s="369"/>
      <c r="H17" s="461"/>
      <c r="I17" s="224"/>
      <c r="K17" s="469"/>
    </row>
    <row r="18" spans="2:15" ht="16.95" customHeight="1" x14ac:dyDescent="0.3">
      <c r="B18" s="358" t="s">
        <v>221</v>
      </c>
      <c r="C18" s="168">
        <f>SUMIF('Monthly Detail'!$3:$3, 'Quarterly Overview'!C$11, 'Monthly Detail'!54:54)</f>
        <v>934.99</v>
      </c>
      <c r="D18" s="168">
        <f>SUMIF('Monthly Detail'!$3:$3, 'Quarterly Overview'!D$11, 'Monthly Detail'!54:54)</f>
        <v>1213.1100000000001</v>
      </c>
      <c r="E18" s="367">
        <f>+D18-C18</f>
        <v>278.12000000000012</v>
      </c>
      <c r="F18" s="168">
        <f>SUMIF('Monthly Detail'!$3:$3, 'Quarterly Overview'!F$11, 'Monthly Detail'!54:54)</f>
        <v>1084.17</v>
      </c>
      <c r="G18" s="367">
        <f t="shared" si="0"/>
        <v>-128.94000000000005</v>
      </c>
      <c r="H18" s="459">
        <f>SUMIF('Monthly Detail'!$3:$3, 'Quarterly Overview'!H$11, 'Monthly Detail'!54:54)</f>
        <v>991.40932107268236</v>
      </c>
      <c r="I18" s="224"/>
      <c r="K18" s="467">
        <f>SUM(C18,D18,F18,H18)</f>
        <v>4223.6793210726828</v>
      </c>
    </row>
    <row r="19" spans="2:15" ht="16.95" customHeight="1" x14ac:dyDescent="0.3">
      <c r="B19" s="358" t="s">
        <v>220</v>
      </c>
      <c r="C19" s="168">
        <f>SUMIF('Monthly Detail'!$3:$3, 'Quarterly Overview'!C$11, 'Monthly Detail'!55:55)</f>
        <v>469.88</v>
      </c>
      <c r="D19" s="168">
        <f>SUMIF('Monthly Detail'!$3:$3, 'Quarterly Overview'!D$11, 'Monthly Detail'!55:55)</f>
        <v>254.94</v>
      </c>
      <c r="E19" s="367">
        <f>+D19-C19</f>
        <v>-214.94</v>
      </c>
      <c r="F19" s="168">
        <f>SUMIF('Monthly Detail'!$3:$3, 'Quarterly Overview'!F$11, 'Monthly Detail'!55:55)</f>
        <v>659.57999999999993</v>
      </c>
      <c r="G19" s="367">
        <f t="shared" si="0"/>
        <v>404.63999999999993</v>
      </c>
      <c r="H19" s="459">
        <f>SUMIF('Monthly Detail'!$3:$3, 'Quarterly Overview'!H$11, 'Monthly Detail'!55:55)</f>
        <v>790.69033569543853</v>
      </c>
      <c r="I19" s="224"/>
      <c r="K19" s="467">
        <f>SUM(C19,D19,F19,H19)</f>
        <v>2175.0903356954386</v>
      </c>
    </row>
    <row r="20" spans="2:15" ht="15.6" x14ac:dyDescent="0.3">
      <c r="B20" s="578" t="s">
        <v>239</v>
      </c>
      <c r="C20" s="579">
        <f>SUM(C18:C19)</f>
        <v>1404.87</v>
      </c>
      <c r="D20" s="579">
        <f>SUM(D18:D19)</f>
        <v>1468.0500000000002</v>
      </c>
      <c r="E20" s="580">
        <f>SUM(E18:E19)</f>
        <v>63.180000000000121</v>
      </c>
      <c r="F20" s="579">
        <f>SUM(F18:F19)</f>
        <v>1743.75</v>
      </c>
      <c r="G20" s="580">
        <f t="shared" si="0"/>
        <v>275.69999999999982</v>
      </c>
      <c r="H20" s="581">
        <f>SUM(H18:H19)</f>
        <v>1782.0996567681209</v>
      </c>
      <c r="I20" s="225"/>
      <c r="J20" s="259"/>
      <c r="K20" s="587">
        <f>SUM(K18:K19)</f>
        <v>6398.7696567681214</v>
      </c>
    </row>
    <row r="21" spans="2:15" ht="4.95" customHeight="1" x14ac:dyDescent="0.3">
      <c r="B21" s="577"/>
      <c r="C21" s="169"/>
      <c r="D21" s="169"/>
      <c r="E21" s="455"/>
      <c r="F21" s="169"/>
      <c r="G21" s="455"/>
      <c r="H21" s="461"/>
      <c r="I21" s="456"/>
      <c r="K21" s="469"/>
    </row>
    <row r="22" spans="2:15" ht="15.6" x14ac:dyDescent="0.3">
      <c r="B22" s="370" t="s">
        <v>149</v>
      </c>
      <c r="C22" s="89">
        <f>C13-C20</f>
        <v>21462.33</v>
      </c>
      <c r="D22" s="89">
        <f>D13-D20</f>
        <v>33136.179999999993</v>
      </c>
      <c r="E22" s="371">
        <f>+D22-C22</f>
        <v>11673.849999999991</v>
      </c>
      <c r="F22" s="89">
        <f>F13-F20</f>
        <v>31598.25</v>
      </c>
      <c r="G22" s="371">
        <f t="shared" si="0"/>
        <v>-1537.929999999993</v>
      </c>
      <c r="H22" s="89">
        <f>H13-H20</f>
        <v>31692.41062501214</v>
      </c>
      <c r="I22" s="225">
        <f>+H22-F22</f>
        <v>94.160625012140372</v>
      </c>
      <c r="J22" s="259"/>
      <c r="K22" s="470">
        <f>K13-K20</f>
        <v>117889.17062501214</v>
      </c>
    </row>
    <row r="23" spans="2:15" x14ac:dyDescent="0.3">
      <c r="B23" s="582" t="s">
        <v>150</v>
      </c>
      <c r="C23" s="583">
        <f>C22/C13</f>
        <v>0.93856396935348452</v>
      </c>
      <c r="D23" s="583">
        <f>D22/D13</f>
        <v>0.95757599576699137</v>
      </c>
      <c r="E23" s="584">
        <f>+D23-C23</f>
        <v>1.9012026413506855E-2</v>
      </c>
      <c r="F23" s="583">
        <f>F22/F13</f>
        <v>0.94770109771459421</v>
      </c>
      <c r="G23" s="584">
        <f t="shared" si="0"/>
        <v>-9.874898052397163E-3</v>
      </c>
      <c r="H23" s="585">
        <f>H22/H13</f>
        <v>0.94676248758333303</v>
      </c>
      <c r="I23" s="226">
        <f>+H23-F23</f>
        <v>-9.3861013126117498E-4</v>
      </c>
      <c r="J23" s="7"/>
      <c r="K23" s="586">
        <f>K22/K13</f>
        <v>0.94851656852417776</v>
      </c>
    </row>
    <row r="24" spans="2:15" ht="5.4" customHeight="1" x14ac:dyDescent="0.3">
      <c r="B24" s="358"/>
      <c r="C24" s="170"/>
      <c r="D24" s="170"/>
      <c r="E24" s="374"/>
      <c r="F24" s="170"/>
      <c r="G24" s="374"/>
      <c r="H24" s="462"/>
      <c r="I24" s="227"/>
      <c r="K24" s="466"/>
    </row>
    <row r="25" spans="2:15" x14ac:dyDescent="0.3">
      <c r="B25" s="358" t="s">
        <v>342</v>
      </c>
      <c r="C25" s="168">
        <f>SUMIF('Monthly Detail'!$3:$3, 'Quarterly Overview'!C$11, 'Monthly Detail'!$65:$65)</f>
        <v>0</v>
      </c>
      <c r="D25" s="168">
        <f>SUMIF('Monthly Detail'!$3:$3, 'Quarterly Overview'!D$11, 'Monthly Detail'!$65:$65)</f>
        <v>0</v>
      </c>
      <c r="E25" s="375">
        <f>+D25-C25</f>
        <v>0</v>
      </c>
      <c r="F25" s="168">
        <f>SUMIF('Monthly Detail'!$3:$3, 'Quarterly Overview'!F$11, 'Monthly Detail'!$65:$65)</f>
        <v>63</v>
      </c>
      <c r="G25" s="375">
        <f t="shared" si="0"/>
        <v>63</v>
      </c>
      <c r="H25" s="459">
        <f>SUMIF('Monthly Detail'!$3:$3, 'Quarterly Overview'!H$11, 'Monthly Detail'!$65:$65)</f>
        <v>111.73</v>
      </c>
      <c r="I25" s="228"/>
      <c r="K25" s="467">
        <f>SUM(C25,D25,F25,H25)</f>
        <v>174.73000000000002</v>
      </c>
      <c r="O25" s="1"/>
    </row>
    <row r="26" spans="2:15" x14ac:dyDescent="0.3">
      <c r="B26" s="358" t="s">
        <v>187</v>
      </c>
      <c r="C26" s="168">
        <f>SUMIF('Monthly Detail'!$3:$3, 'Quarterly Overview'!C$11, 'Monthly Detail'!$79:$79)</f>
        <v>1985.2500000000002</v>
      </c>
      <c r="D26" s="168">
        <f>SUMIF('Monthly Detail'!$3:$3, 'Quarterly Overview'!D$11, 'Monthly Detail'!$79:$79)</f>
        <v>3234.0199999999995</v>
      </c>
      <c r="E26" s="375">
        <f>+D26-C26</f>
        <v>1248.7699999999993</v>
      </c>
      <c r="F26" s="168">
        <f>SUMIF('Monthly Detail'!$3:$3, 'Quarterly Overview'!F$11, 'Monthly Detail'!$79:$79)</f>
        <v>8153.62</v>
      </c>
      <c r="G26" s="375">
        <f t="shared" si="0"/>
        <v>4919.6000000000004</v>
      </c>
      <c r="H26" s="459">
        <f>SUMIF('Monthly Detail'!$3:$3, 'Quarterly Overview'!H$11, 'Monthly Detail'!$79:$79)</f>
        <v>8210.0733333333337</v>
      </c>
      <c r="I26" s="228">
        <f>+H26-F26</f>
        <v>56.453333333333831</v>
      </c>
      <c r="K26" s="467">
        <f>SUM(C26,D26,F26,H26)</f>
        <v>21582.963333333333</v>
      </c>
      <c r="O26" s="1"/>
    </row>
    <row r="27" spans="2:15" x14ac:dyDescent="0.3">
      <c r="B27" s="588" t="s">
        <v>151</v>
      </c>
      <c r="C27" s="589">
        <f t="shared" ref="C27:H27" si="1">SUM(C26:C26)</f>
        <v>1985.2500000000002</v>
      </c>
      <c r="D27" s="589">
        <f t="shared" si="1"/>
        <v>3234.0199999999995</v>
      </c>
      <c r="E27" s="580">
        <f t="shared" si="1"/>
        <v>1248.7699999999993</v>
      </c>
      <c r="F27" s="589">
        <f t="shared" si="1"/>
        <v>8153.62</v>
      </c>
      <c r="G27" s="580">
        <f t="shared" si="0"/>
        <v>4919.6000000000004</v>
      </c>
      <c r="H27" s="590">
        <f t="shared" si="1"/>
        <v>8210.0733333333337</v>
      </c>
      <c r="I27" s="229">
        <f>+H27-F27</f>
        <v>56.453333333333831</v>
      </c>
      <c r="J27" s="257"/>
      <c r="K27" s="591">
        <f>SUM(K25:K26)</f>
        <v>21757.693333333333</v>
      </c>
    </row>
    <row r="28" spans="2:15" ht="1.95" customHeight="1" x14ac:dyDescent="0.3">
      <c r="B28" s="358"/>
      <c r="C28" s="170"/>
      <c r="D28" s="170"/>
      <c r="E28" s="374"/>
      <c r="F28" s="170"/>
      <c r="G28" s="374"/>
      <c r="H28" s="462"/>
      <c r="I28" s="227"/>
      <c r="K28" s="466"/>
    </row>
    <row r="29" spans="2:15" ht="15.6" x14ac:dyDescent="0.3">
      <c r="B29" s="370" t="s">
        <v>152</v>
      </c>
      <c r="C29" s="89">
        <f>C22-C27</f>
        <v>19477.080000000002</v>
      </c>
      <c r="D29" s="89">
        <f>D22-D27</f>
        <v>29902.159999999993</v>
      </c>
      <c r="E29" s="371">
        <f>+D29-C29</f>
        <v>10425.079999999991</v>
      </c>
      <c r="F29" s="89">
        <f>F22-F27</f>
        <v>23444.63</v>
      </c>
      <c r="G29" s="371">
        <f t="shared" si="0"/>
        <v>-6457.5299999999916</v>
      </c>
      <c r="H29" s="372">
        <f>H22-H27</f>
        <v>23482.337291678807</v>
      </c>
      <c r="I29" s="225">
        <f>+H29-F29</f>
        <v>37.707291678805632</v>
      </c>
      <c r="J29" s="259"/>
      <c r="K29" s="470">
        <f>K22-K27</f>
        <v>96131.477291678806</v>
      </c>
    </row>
    <row r="30" spans="2:15" x14ac:dyDescent="0.3">
      <c r="B30" s="582" t="s">
        <v>153</v>
      </c>
      <c r="C30" s="583">
        <f>C29/C13</f>
        <v>0.85174748110831244</v>
      </c>
      <c r="D30" s="583">
        <f>D29/D13</f>
        <v>0.86411863520731413</v>
      </c>
      <c r="E30" s="584">
        <f>+D30-C30</f>
        <v>1.2371154099001691E-2</v>
      </c>
      <c r="F30" s="583">
        <f>F29/F13</f>
        <v>0.70315607941935099</v>
      </c>
      <c r="G30" s="584">
        <f t="shared" si="0"/>
        <v>-0.16096255578796315</v>
      </c>
      <c r="H30" s="585">
        <f>H29/H13</f>
        <v>0.70149905387741951</v>
      </c>
      <c r="I30" s="226">
        <f>+H30-F30</f>
        <v>-1.6570255419314783E-3</v>
      </c>
      <c r="J30" s="7"/>
      <c r="K30" s="586">
        <f>K29/K13</f>
        <v>0.77345780349834159</v>
      </c>
    </row>
    <row r="31" spans="2:15" ht="4.2" customHeight="1" x14ac:dyDescent="0.3">
      <c r="B31" s="377"/>
      <c r="C31" s="171"/>
      <c r="D31" s="171"/>
      <c r="E31" s="378"/>
      <c r="F31" s="171"/>
      <c r="G31" s="378"/>
      <c r="H31" s="463"/>
      <c r="I31" s="230"/>
      <c r="K31" s="471"/>
    </row>
    <row r="32" spans="2:15" x14ac:dyDescent="0.3">
      <c r="B32" s="358" t="s">
        <v>154</v>
      </c>
      <c r="C32" s="172">
        <f>SUMIF('Monthly Detail'!$3:$3, 'Quarterly Overview'!C$11, 'Monthly Detail'!85:85)</f>
        <v>0</v>
      </c>
      <c r="D32" s="172">
        <f>SUMIF('Monthly Detail'!$3:$3, 'Quarterly Overview'!D$11, 'Monthly Detail'!85:85)</f>
        <v>0</v>
      </c>
      <c r="E32" s="379">
        <f>+D32-C32</f>
        <v>0</v>
      </c>
      <c r="F32" s="172">
        <f>SUMIF('Monthly Detail'!$3:$3, 'Quarterly Overview'!F$11, 'Monthly Detail'!85:85)</f>
        <v>0</v>
      </c>
      <c r="G32" s="379">
        <f>+F32-D32</f>
        <v>0</v>
      </c>
      <c r="H32" s="464">
        <f>SUMIF('Monthly Detail'!$3:$3, 'Quarterly Overview'!H$11, 'Monthly Detail'!85:85)</f>
        <v>0</v>
      </c>
      <c r="I32" s="231">
        <f>+H32-F32</f>
        <v>0</v>
      </c>
      <c r="J32" s="133"/>
      <c r="K32" s="472">
        <f>SUM(C32,D32,F32,H32)</f>
        <v>0</v>
      </c>
    </row>
    <row r="33" spans="2:12" ht="15.6" x14ac:dyDescent="0.3">
      <c r="B33" s="370" t="s">
        <v>12</v>
      </c>
      <c r="C33" s="89">
        <f>C29+SUM(C32:C32)</f>
        <v>19477.080000000002</v>
      </c>
      <c r="D33" s="89">
        <f>D29+SUM(D32:D32)</f>
        <v>29902.159999999993</v>
      </c>
      <c r="E33" s="371">
        <f>+D33-C33</f>
        <v>10425.079999999991</v>
      </c>
      <c r="F33" s="89">
        <f>F29+SUM(F32:F32)</f>
        <v>23444.63</v>
      </c>
      <c r="G33" s="371">
        <f>+F33-D33</f>
        <v>-6457.5299999999916</v>
      </c>
      <c r="H33" s="372">
        <f>H29+SUM(H32:H32)</f>
        <v>23482.337291678807</v>
      </c>
      <c r="I33" s="225">
        <f>+H33-F33</f>
        <v>37.707291678805632</v>
      </c>
      <c r="J33" s="259"/>
      <c r="K33" s="470">
        <f>K29+SUM(K32:K32)</f>
        <v>96131.477291678806</v>
      </c>
      <c r="L33" s="380"/>
    </row>
    <row r="34" spans="2:12" x14ac:dyDescent="0.3">
      <c r="B34" s="582" t="s">
        <v>155</v>
      </c>
      <c r="C34" s="592">
        <f>C33/C13</f>
        <v>0.85174748110831244</v>
      </c>
      <c r="D34" s="592">
        <f>D33/D13</f>
        <v>0.86411863520731413</v>
      </c>
      <c r="E34" s="593">
        <f>+D34-C34</f>
        <v>1.2371154099001691E-2</v>
      </c>
      <c r="F34" s="592">
        <f>F33/F13</f>
        <v>0.70315607941935099</v>
      </c>
      <c r="G34" s="593">
        <f>+F34-D34</f>
        <v>-0.16096255578796315</v>
      </c>
      <c r="H34" s="594">
        <f>H33/H13</f>
        <v>0.70149905387741951</v>
      </c>
      <c r="I34" s="232">
        <f>+H34-F34</f>
        <v>-1.6570255419314783E-3</v>
      </c>
      <c r="J34" s="7"/>
      <c r="K34" s="586">
        <f>K33/K13</f>
        <v>0.77345780349834159</v>
      </c>
      <c r="L34" s="380"/>
    </row>
    <row r="35" spans="2:12" ht="2.25" customHeight="1" thickBot="1" x14ac:dyDescent="0.35">
      <c r="B35" s="358"/>
      <c r="E35" s="381"/>
      <c r="G35" s="381"/>
      <c r="H35" s="286"/>
      <c r="I35" s="233"/>
      <c r="K35" s="466"/>
    </row>
    <row r="36" spans="2:12" x14ac:dyDescent="0.3">
      <c r="B36" s="382" t="s">
        <v>156</v>
      </c>
      <c r="C36" s="85">
        <f>SUMIF('Monthly Detail'!$4:$4, 'Quarterly Overview'!C$9, 'Monthly Detail'!143:143)</f>
        <v>550.56999999999607</v>
      </c>
      <c r="D36" s="85">
        <f>SUMIF('Monthly Detail'!$4:$4, 'Quarterly Overview'!D$9, 'Monthly Detail'!143:143)</f>
        <v>2190.4599999999973</v>
      </c>
      <c r="E36" s="383"/>
      <c r="F36" s="163">
        <f>SUMIF('Monthly Detail'!$4:$4, 'Quarterly Overview'!F$9, 'Monthly Detail'!143:143)</f>
        <v>257.78999999999633</v>
      </c>
      <c r="G36" s="383"/>
      <c r="H36" s="163">
        <f>SUMIF('Monthly Detail'!$4:$4, 'Quarterly Overview'!H$9, 'Monthly Detail'!143:143)</f>
        <v>3357.2572916788022</v>
      </c>
      <c r="I36" s="216"/>
      <c r="K36" s="466"/>
    </row>
    <row r="37" spans="2:12" x14ac:dyDescent="0.3">
      <c r="B37" s="384" t="s">
        <v>157</v>
      </c>
      <c r="C37" s="385">
        <f>SUMIF('Monthly Detail'!$3:$3, 'Quarterly Overview'!C$10, 'Monthly Detail'!140:140)</f>
        <v>-2248.4000000000042</v>
      </c>
      <c r="D37" s="385">
        <f>SUMIF('Monthly Detail'!$3:$3, 'Quarterly Overview'!D$10, 'Monthly Detail'!140:140)</f>
        <v>1639.8900000000012</v>
      </c>
      <c r="E37" s="633">
        <f>+D37-C37</f>
        <v>3888.2900000000054</v>
      </c>
      <c r="F37" s="386">
        <f>SUMIF('Monthly Detail'!$3:$3, 'Quarterly Overview'!F$10, 'Monthly Detail'!140:140)</f>
        <v>-1932.670000000001</v>
      </c>
      <c r="G37" s="633">
        <f>+F37-D37</f>
        <v>-3572.5600000000022</v>
      </c>
      <c r="H37" s="386">
        <f>SUMIF('Monthly Detail'!$3:$3, 'Quarterly Overview'!H$10, 'Monthly Detail'!140:140)</f>
        <v>3099.4672916788059</v>
      </c>
      <c r="I37" s="387">
        <f>+H37-F37</f>
        <v>5032.1372916788068</v>
      </c>
      <c r="J37" s="388"/>
      <c r="K37" s="473"/>
    </row>
    <row r="41" spans="2:12" x14ac:dyDescent="0.3">
      <c r="C41" t="s">
        <v>302</v>
      </c>
      <c r="D41" t="s">
        <v>303</v>
      </c>
      <c r="F41" t="s">
        <v>304</v>
      </c>
      <c r="H41" t="s">
        <v>305</v>
      </c>
    </row>
    <row r="42" spans="2:12" x14ac:dyDescent="0.3">
      <c r="B42" t="s">
        <v>306</v>
      </c>
      <c r="C42" s="389">
        <f>+SUM('2024 AOP (H1)'!C20:E20)</f>
        <v>22841.489999999998</v>
      </c>
      <c r="D42" s="389">
        <f>+SUM('2024 AOP (H1)'!F20:H20)</f>
        <v>33735.568803691116</v>
      </c>
      <c r="E42" s="389"/>
      <c r="F42" s="389">
        <f>+SUM('2024 AOP (H1)'!H20:J20)</f>
        <v>36723.917114535092</v>
      </c>
      <c r="G42" s="389"/>
      <c r="H42" s="389">
        <f>+SUM('2024 AOP (H1)'!L20:N20)</f>
        <v>41039.58175092184</v>
      </c>
    </row>
    <row r="43" spans="2:12" x14ac:dyDescent="0.3">
      <c r="B43" t="s">
        <v>307</v>
      </c>
      <c r="C43" s="389">
        <f>+SUM('2024 AOP (H1)'!C42:E42)</f>
        <v>20065.839999999997</v>
      </c>
      <c r="D43" s="389">
        <f>+SUM('2024 AOP (H1)'!F42:H42)</f>
        <v>28963.273742446516</v>
      </c>
      <c r="E43" s="389"/>
      <c r="F43" s="389">
        <f>+SUM('2024 AOP (H1)'!H42:J42)</f>
        <v>31007.760096124461</v>
      </c>
      <c r="G43" s="389"/>
      <c r="H43" s="389">
        <f>+SUM('2024 AOP (H1)'!L42:N42)</f>
        <v>35815.398079551334</v>
      </c>
    </row>
    <row r="44" spans="2:12" x14ac:dyDescent="0.3">
      <c r="B44" t="s">
        <v>323</v>
      </c>
      <c r="C44" s="390">
        <f>+AVERAGE('2024 AOP (H1)'!C23:E23)</f>
        <v>191.66666666666666</v>
      </c>
      <c r="D44" s="390">
        <f>+AVERAGE('2024 AOP (H1)'!F23:H23)</f>
        <v>231.20001660824138</v>
      </c>
      <c r="E44" s="390"/>
      <c r="F44" s="390">
        <f>+AVERAGE('2024 AOP (H1)'!H23:J23)</f>
        <v>290.76768132254853</v>
      </c>
      <c r="G44" s="390"/>
      <c r="H44" s="390">
        <f>+AVERAGE('2024 AOP (H1)'!L23:N23)</f>
        <v>322.34918978080287</v>
      </c>
    </row>
    <row r="45" spans="2:12" x14ac:dyDescent="0.3">
      <c r="B45" t="s">
        <v>325</v>
      </c>
      <c r="C45" s="390">
        <f>+AVERAGE('2024 AOP (H1)'!C24:E24)</f>
        <v>6256.3700652917987</v>
      </c>
      <c r="D45" s="390">
        <f>+AVERAGE('2024 AOP (H1)'!F24:H24)</f>
        <v>11364.903803685127</v>
      </c>
      <c r="E45" s="390"/>
      <c r="F45" s="390">
        <f>+AVERAGE('2024 AOP (H1)'!H24:J24)</f>
        <v>13880.407732029031</v>
      </c>
      <c r="G45" s="390"/>
      <c r="H45" s="390">
        <f>+AVERAGE('2024 AOP (H1)'!L24:N24)</f>
        <v>15511.584074163775</v>
      </c>
    </row>
    <row r="46" spans="2:12" x14ac:dyDescent="0.3">
      <c r="B46" t="s">
        <v>324</v>
      </c>
      <c r="C46" s="390">
        <f>+AVERAGE('2024 AOP (H1)'!C25:E25)</f>
        <v>75.666666666666671</v>
      </c>
      <c r="D46" s="390">
        <f>+AVERAGE('2024 AOP (H1)'!F25:H25)</f>
        <v>95.939865937342361</v>
      </c>
      <c r="E46" s="390"/>
      <c r="F46" s="390">
        <f>+AVERAGE('2024 AOP (H1)'!H25:J25)</f>
        <v>109.90686942509144</v>
      </c>
      <c r="G46" s="390"/>
      <c r="H46" s="390">
        <f>+AVERAGE('2024 AOP (H1)'!L25:N25)</f>
        <v>121.84431966227368</v>
      </c>
    </row>
  </sheetData>
  <pageMargins left="0.25" right="0.25" top="0.75" bottom="0.75" header="0.3" footer="0.3"/>
  <pageSetup scale="57" orientation="landscape" horizontalDpi="1200" verticalDpi="12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C1F7F-3B90-4D8D-8E65-DF0E18797B46}">
  <dimension ref="A1"/>
  <sheetViews>
    <sheetView showGridLines="0" zoomScaleNormal="100" workbookViewId="0">
      <selection activeCell="B3" sqref="B3"/>
    </sheetView>
  </sheetViews>
  <sheetFormatPr defaultRowHeight="14.4" x14ac:dyDescent="0.3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0" tint="-0.499984740745262"/>
    <pageSetUpPr fitToPage="1"/>
  </sheetPr>
  <dimension ref="A1:DJ145"/>
  <sheetViews>
    <sheetView zoomScale="85" zoomScaleNormal="85" workbookViewId="0">
      <pane xSplit="3" ySplit="4" topLeftCell="AB7" activePane="bottomRight" state="frozen"/>
      <selection activeCell="B1" sqref="B1"/>
      <selection pane="topRight" activeCell="D1" sqref="D1"/>
      <selection pane="bottomLeft" activeCell="B5" sqref="B5"/>
      <selection pane="bottomRight" activeCell="AH55" sqref="AH55"/>
    </sheetView>
  </sheetViews>
  <sheetFormatPr defaultRowHeight="14.4" outlineLevelCol="1" x14ac:dyDescent="0.3"/>
  <cols>
    <col min="1" max="1" width="9.109375" hidden="1" customWidth="1" outlineLevel="1"/>
    <col min="2" max="2" width="41.109375" bestFit="1" customWidth="1" collapsed="1"/>
    <col min="3" max="3" width="31.33203125" bestFit="1" customWidth="1"/>
    <col min="4" max="9" width="10.5546875" hidden="1" customWidth="1" outlineLevel="1"/>
    <col min="10" max="10" width="10.5546875" hidden="1" customWidth="1" outlineLevel="1" collapsed="1"/>
    <col min="11" max="11" width="10.5546875" hidden="1" customWidth="1" outlineLevel="1"/>
    <col min="12" max="15" width="12.88671875" hidden="1" customWidth="1" outlineLevel="1"/>
    <col min="16" max="16" width="12.88671875" hidden="1" customWidth="1" outlineLevel="1" collapsed="1"/>
    <col min="17" max="20" width="12.88671875" hidden="1" customWidth="1" outlineLevel="1"/>
    <col min="21" max="27" width="13.33203125" hidden="1" customWidth="1" outlineLevel="1"/>
    <col min="28" max="28" width="12.6640625" bestFit="1" customWidth="1" collapsed="1"/>
    <col min="29" max="33" width="12.6640625" bestFit="1" customWidth="1"/>
    <col min="34" max="34" width="15.109375" bestFit="1" customWidth="1"/>
    <col min="35" max="38" width="14.109375" bestFit="1" customWidth="1"/>
    <col min="39" max="39" width="14.109375" style="286" bestFit="1" customWidth="1"/>
    <col min="40" max="41" width="14.5546875" bestFit="1" customWidth="1"/>
    <col min="42" max="50" width="13.33203125" bestFit="1" customWidth="1"/>
    <col min="51" max="51" width="13.33203125" style="286" bestFit="1" customWidth="1"/>
    <col min="52" max="62" width="13.5546875" bestFit="1" customWidth="1"/>
    <col min="63" max="63" width="13.5546875" style="286" bestFit="1" customWidth="1"/>
    <col min="64" max="74" width="13.5546875" bestFit="1" customWidth="1"/>
    <col min="75" max="75" width="13.5546875" style="286" bestFit="1" customWidth="1"/>
    <col min="76" max="86" width="13.5546875" bestFit="1" customWidth="1"/>
    <col min="87" max="87" width="13.5546875" style="286" bestFit="1" customWidth="1"/>
    <col min="88" max="98" width="13.5546875" bestFit="1" customWidth="1"/>
    <col min="99" max="99" width="13.5546875" style="286" bestFit="1" customWidth="1"/>
    <col min="100" max="111" width="13.5546875" bestFit="1" customWidth="1"/>
    <col min="112" max="113" width="5.109375" bestFit="1" customWidth="1"/>
    <col min="114" max="114" width="8.5546875" bestFit="1" customWidth="1"/>
  </cols>
  <sheetData>
    <row r="1" spans="1:114" ht="15" thickBot="1" x14ac:dyDescent="0.35">
      <c r="A1" s="30"/>
      <c r="B1" s="30"/>
      <c r="C1" s="30"/>
      <c r="D1" s="31">
        <f t="shared" ref="D1:AI1" si="0">YEAR(D4)</f>
        <v>2022</v>
      </c>
      <c r="E1" s="31">
        <f t="shared" si="0"/>
        <v>2022</v>
      </c>
      <c r="F1" s="31">
        <f t="shared" si="0"/>
        <v>2022</v>
      </c>
      <c r="G1" s="31">
        <f t="shared" si="0"/>
        <v>2022</v>
      </c>
      <c r="H1" s="31">
        <f t="shared" si="0"/>
        <v>2022</v>
      </c>
      <c r="I1" s="31">
        <f t="shared" si="0"/>
        <v>2022</v>
      </c>
      <c r="J1" s="31">
        <f t="shared" si="0"/>
        <v>2022</v>
      </c>
      <c r="K1" s="31">
        <f t="shared" si="0"/>
        <v>2022</v>
      </c>
      <c r="L1" s="31">
        <f t="shared" si="0"/>
        <v>2022</v>
      </c>
      <c r="M1" s="31">
        <f t="shared" si="0"/>
        <v>2022</v>
      </c>
      <c r="N1" s="31">
        <f t="shared" si="0"/>
        <v>2022</v>
      </c>
      <c r="O1" s="31">
        <f t="shared" si="0"/>
        <v>2022</v>
      </c>
      <c r="P1" s="31">
        <f t="shared" si="0"/>
        <v>2023</v>
      </c>
      <c r="Q1" s="31">
        <f t="shared" si="0"/>
        <v>2023</v>
      </c>
      <c r="R1" s="31">
        <f t="shared" si="0"/>
        <v>2023</v>
      </c>
      <c r="S1" s="31">
        <f t="shared" si="0"/>
        <v>2023</v>
      </c>
      <c r="T1" s="31">
        <f t="shared" si="0"/>
        <v>2023</v>
      </c>
      <c r="U1" s="31">
        <f t="shared" si="0"/>
        <v>2023</v>
      </c>
      <c r="V1" s="31">
        <f t="shared" si="0"/>
        <v>2023</v>
      </c>
      <c r="W1" s="31">
        <f t="shared" si="0"/>
        <v>2023</v>
      </c>
      <c r="X1" s="31">
        <f t="shared" si="0"/>
        <v>2023</v>
      </c>
      <c r="Y1" s="31">
        <f t="shared" si="0"/>
        <v>2023</v>
      </c>
      <c r="Z1" s="31">
        <f t="shared" si="0"/>
        <v>2023</v>
      </c>
      <c r="AA1" s="31">
        <f t="shared" ref="AA1:AF1" si="1">YEAR(AA4)</f>
        <v>2023</v>
      </c>
      <c r="AB1" s="31">
        <f t="shared" si="1"/>
        <v>2024</v>
      </c>
      <c r="AC1" s="31">
        <f t="shared" si="1"/>
        <v>2024</v>
      </c>
      <c r="AD1" s="31">
        <f t="shared" si="1"/>
        <v>2024</v>
      </c>
      <c r="AE1" s="31">
        <f t="shared" si="1"/>
        <v>2024</v>
      </c>
      <c r="AF1" s="283">
        <f t="shared" si="1"/>
        <v>2024</v>
      </c>
      <c r="AG1" s="31">
        <f t="shared" si="0"/>
        <v>2024</v>
      </c>
      <c r="AH1" s="31">
        <f t="shared" si="0"/>
        <v>2024</v>
      </c>
      <c r="AI1" s="31">
        <f t="shared" si="0"/>
        <v>2024</v>
      </c>
      <c r="AJ1" s="31">
        <f t="shared" ref="AJ1:BO1" si="2">YEAR(AJ4)</f>
        <v>2024</v>
      </c>
      <c r="AK1" s="283">
        <f t="shared" si="2"/>
        <v>2024</v>
      </c>
      <c r="AL1" s="31">
        <f t="shared" si="2"/>
        <v>2024</v>
      </c>
      <c r="AM1" s="283">
        <f t="shared" si="2"/>
        <v>2024</v>
      </c>
      <c r="AN1" s="31">
        <f t="shared" si="2"/>
        <v>2025</v>
      </c>
      <c r="AO1" s="31">
        <f t="shared" si="2"/>
        <v>2025</v>
      </c>
      <c r="AP1" s="31">
        <f t="shared" si="2"/>
        <v>2025</v>
      </c>
      <c r="AQ1" s="31">
        <f t="shared" si="2"/>
        <v>2025</v>
      </c>
      <c r="AR1" s="31">
        <f t="shared" si="2"/>
        <v>2025</v>
      </c>
      <c r="AS1" s="31">
        <f t="shared" si="2"/>
        <v>2025</v>
      </c>
      <c r="AT1" s="31">
        <f t="shared" si="2"/>
        <v>2025</v>
      </c>
      <c r="AU1" s="31">
        <f t="shared" si="2"/>
        <v>2025</v>
      </c>
      <c r="AV1" s="31">
        <f t="shared" si="2"/>
        <v>2025</v>
      </c>
      <c r="AW1" s="31">
        <f t="shared" si="2"/>
        <v>2025</v>
      </c>
      <c r="AX1" s="31">
        <f t="shared" si="2"/>
        <v>2025</v>
      </c>
      <c r="AY1" s="283">
        <f t="shared" si="2"/>
        <v>2025</v>
      </c>
      <c r="AZ1" s="31">
        <f t="shared" si="2"/>
        <v>2026</v>
      </c>
      <c r="BA1" s="31">
        <f t="shared" si="2"/>
        <v>2026</v>
      </c>
      <c r="BB1" s="31">
        <f t="shared" si="2"/>
        <v>2026</v>
      </c>
      <c r="BC1" s="31">
        <f t="shared" si="2"/>
        <v>2026</v>
      </c>
      <c r="BD1" s="31">
        <f t="shared" si="2"/>
        <v>2026</v>
      </c>
      <c r="BE1" s="31">
        <f t="shared" si="2"/>
        <v>2026</v>
      </c>
      <c r="BF1" s="31">
        <f t="shared" si="2"/>
        <v>2026</v>
      </c>
      <c r="BG1" s="31">
        <f t="shared" si="2"/>
        <v>2026</v>
      </c>
      <c r="BH1" s="31">
        <f t="shared" si="2"/>
        <v>2026</v>
      </c>
      <c r="BI1" s="31">
        <f t="shared" si="2"/>
        <v>2026</v>
      </c>
      <c r="BJ1" s="31">
        <f t="shared" si="2"/>
        <v>2026</v>
      </c>
      <c r="BK1" s="283">
        <f t="shared" si="2"/>
        <v>2026</v>
      </c>
      <c r="BL1" s="31">
        <f t="shared" si="2"/>
        <v>2027</v>
      </c>
      <c r="BM1" s="31">
        <f t="shared" si="2"/>
        <v>2027</v>
      </c>
      <c r="BN1" s="31">
        <f t="shared" si="2"/>
        <v>2027</v>
      </c>
      <c r="BO1" s="31">
        <f t="shared" si="2"/>
        <v>2027</v>
      </c>
      <c r="BP1" s="31">
        <f t="shared" ref="BP1:CU1" si="3">YEAR(BP4)</f>
        <v>2027</v>
      </c>
      <c r="BQ1" s="31">
        <f t="shared" si="3"/>
        <v>2027</v>
      </c>
      <c r="BR1" s="31">
        <f t="shared" si="3"/>
        <v>2027</v>
      </c>
      <c r="BS1" s="31">
        <f t="shared" si="3"/>
        <v>2027</v>
      </c>
      <c r="BT1" s="31">
        <f t="shared" si="3"/>
        <v>2027</v>
      </c>
      <c r="BU1" s="31">
        <f t="shared" si="3"/>
        <v>2027</v>
      </c>
      <c r="BV1" s="31">
        <f t="shared" si="3"/>
        <v>2027</v>
      </c>
      <c r="BW1" s="283">
        <f t="shared" si="3"/>
        <v>2027</v>
      </c>
      <c r="BX1" s="31">
        <f t="shared" si="3"/>
        <v>2028</v>
      </c>
      <c r="BY1" s="31">
        <f t="shared" si="3"/>
        <v>2028</v>
      </c>
      <c r="BZ1" s="31">
        <f t="shared" si="3"/>
        <v>2028</v>
      </c>
      <c r="CA1" s="31">
        <f t="shared" si="3"/>
        <v>2028</v>
      </c>
      <c r="CB1" s="31">
        <f t="shared" si="3"/>
        <v>2028</v>
      </c>
      <c r="CC1" s="31">
        <f t="shared" si="3"/>
        <v>2028</v>
      </c>
      <c r="CD1" s="31">
        <f t="shared" si="3"/>
        <v>2028</v>
      </c>
      <c r="CE1" s="31">
        <f t="shared" si="3"/>
        <v>2028</v>
      </c>
      <c r="CF1" s="31">
        <f t="shared" si="3"/>
        <v>2028</v>
      </c>
      <c r="CG1" s="31">
        <f t="shared" si="3"/>
        <v>2028</v>
      </c>
      <c r="CH1" s="31">
        <f t="shared" si="3"/>
        <v>2028</v>
      </c>
      <c r="CI1" s="283">
        <f t="shared" si="3"/>
        <v>2028</v>
      </c>
      <c r="CJ1" s="31">
        <f t="shared" si="3"/>
        <v>2029</v>
      </c>
      <c r="CK1" s="31">
        <f t="shared" si="3"/>
        <v>2029</v>
      </c>
      <c r="CL1" s="31">
        <f t="shared" si="3"/>
        <v>2029</v>
      </c>
      <c r="CM1" s="31">
        <f t="shared" si="3"/>
        <v>2029</v>
      </c>
      <c r="CN1" s="31">
        <f t="shared" si="3"/>
        <v>2029</v>
      </c>
      <c r="CO1" s="31">
        <f t="shared" si="3"/>
        <v>2029</v>
      </c>
      <c r="CP1" s="31">
        <f t="shared" si="3"/>
        <v>2029</v>
      </c>
      <c r="CQ1" s="31">
        <f t="shared" si="3"/>
        <v>2029</v>
      </c>
      <c r="CR1" s="31">
        <f t="shared" si="3"/>
        <v>2029</v>
      </c>
      <c r="CS1" s="31">
        <f t="shared" si="3"/>
        <v>2029</v>
      </c>
      <c r="CT1" s="31">
        <f t="shared" si="3"/>
        <v>2029</v>
      </c>
      <c r="CU1" s="283">
        <f t="shared" si="3"/>
        <v>2029</v>
      </c>
      <c r="CV1" s="31">
        <f t="shared" ref="CV1:DG1" si="4">YEAR(CV4)</f>
        <v>2030</v>
      </c>
      <c r="CW1" s="31">
        <f t="shared" si="4"/>
        <v>2030</v>
      </c>
      <c r="CX1" s="31">
        <f t="shared" si="4"/>
        <v>2030</v>
      </c>
      <c r="CY1" s="31">
        <f t="shared" si="4"/>
        <v>2030</v>
      </c>
      <c r="CZ1" s="31">
        <f t="shared" si="4"/>
        <v>2030</v>
      </c>
      <c r="DA1" s="31">
        <f t="shared" si="4"/>
        <v>2030</v>
      </c>
      <c r="DB1" s="31">
        <f t="shared" si="4"/>
        <v>2030</v>
      </c>
      <c r="DC1" s="31">
        <f t="shared" si="4"/>
        <v>2030</v>
      </c>
      <c r="DD1" s="31">
        <f t="shared" si="4"/>
        <v>2030</v>
      </c>
      <c r="DE1" s="31">
        <f t="shared" si="4"/>
        <v>2030</v>
      </c>
      <c r="DF1" s="31">
        <f t="shared" si="4"/>
        <v>2030</v>
      </c>
      <c r="DG1" s="31">
        <f t="shared" si="4"/>
        <v>2030</v>
      </c>
      <c r="DH1" s="31"/>
      <c r="DI1" s="31"/>
      <c r="DJ1" s="53"/>
    </row>
    <row r="2" spans="1:114" x14ac:dyDescent="0.3">
      <c r="A2" s="30"/>
      <c r="B2" s="30"/>
      <c r="C2" s="630"/>
      <c r="D2" s="342"/>
      <c r="E2" s="342"/>
      <c r="F2" s="342"/>
      <c r="G2" s="343" t="s">
        <v>189</v>
      </c>
      <c r="H2" s="343" t="s">
        <v>189</v>
      </c>
      <c r="I2" s="343" t="s">
        <v>191</v>
      </c>
      <c r="J2" s="343" t="s">
        <v>191</v>
      </c>
      <c r="K2" s="343" t="s">
        <v>190</v>
      </c>
      <c r="L2" s="343" t="s">
        <v>191</v>
      </c>
      <c r="M2" s="343" t="s">
        <v>191</v>
      </c>
      <c r="N2" s="343" t="s">
        <v>190</v>
      </c>
      <c r="O2" s="343" t="s">
        <v>191</v>
      </c>
      <c r="P2" s="343" t="s">
        <v>189</v>
      </c>
      <c r="Q2" s="343" t="s">
        <v>189</v>
      </c>
      <c r="R2" s="343" t="s">
        <v>191</v>
      </c>
      <c r="S2" s="343" t="s">
        <v>190</v>
      </c>
      <c r="T2" s="343" t="s">
        <v>190</v>
      </c>
      <c r="U2" s="343" t="s">
        <v>191</v>
      </c>
      <c r="V2" s="343" t="s">
        <v>189</v>
      </c>
      <c r="W2" s="343" t="s">
        <v>191</v>
      </c>
      <c r="X2" s="343" t="s">
        <v>189</v>
      </c>
      <c r="Y2" s="343" t="s">
        <v>189</v>
      </c>
      <c r="Z2" s="343" t="s">
        <v>189</v>
      </c>
      <c r="AA2" s="343" t="s">
        <v>191</v>
      </c>
      <c r="AB2" s="343" t="s">
        <v>190</v>
      </c>
      <c r="AC2" s="343" t="s">
        <v>190</v>
      </c>
      <c r="AD2" s="343" t="s">
        <v>191</v>
      </c>
      <c r="AE2" s="343" t="s">
        <v>190</v>
      </c>
      <c r="AF2" s="344" t="s">
        <v>191</v>
      </c>
      <c r="AG2" s="343" t="s">
        <v>189</v>
      </c>
      <c r="AH2" s="343" t="s">
        <v>189</v>
      </c>
      <c r="AI2" s="343" t="s">
        <v>189</v>
      </c>
      <c r="AJ2" s="343" t="s">
        <v>191</v>
      </c>
      <c r="AK2" s="344" t="s">
        <v>191</v>
      </c>
      <c r="AL2" s="343" t="str">
        <f t="shared" ref="AL2:CN2" si="5">+Z2</f>
        <v>Peak</v>
      </c>
      <c r="AM2" s="595" t="str">
        <f t="shared" si="5"/>
        <v>Shoulder</v>
      </c>
      <c r="AN2" s="31" t="str">
        <f t="shared" si="5"/>
        <v>Trough</v>
      </c>
      <c r="AO2" s="31" t="str">
        <f t="shared" si="5"/>
        <v>Trough</v>
      </c>
      <c r="AP2" s="31" t="str">
        <f t="shared" si="5"/>
        <v>Shoulder</v>
      </c>
      <c r="AQ2" s="31" t="str">
        <f t="shared" si="5"/>
        <v>Trough</v>
      </c>
      <c r="AR2" s="31" t="str">
        <f t="shared" si="5"/>
        <v>Shoulder</v>
      </c>
      <c r="AS2" s="31" t="str">
        <f t="shared" si="5"/>
        <v>Peak</v>
      </c>
      <c r="AT2" s="31" t="str">
        <f t="shared" si="5"/>
        <v>Peak</v>
      </c>
      <c r="AU2" s="31" t="str">
        <f t="shared" si="5"/>
        <v>Peak</v>
      </c>
      <c r="AV2" s="31" t="str">
        <f t="shared" si="5"/>
        <v>Shoulder</v>
      </c>
      <c r="AW2" s="31" t="str">
        <f t="shared" si="5"/>
        <v>Shoulder</v>
      </c>
      <c r="AX2" s="31" t="str">
        <f t="shared" si="5"/>
        <v>Peak</v>
      </c>
      <c r="AY2" s="283" t="str">
        <f t="shared" si="5"/>
        <v>Shoulder</v>
      </c>
      <c r="AZ2" s="31" t="str">
        <f t="shared" si="5"/>
        <v>Trough</v>
      </c>
      <c r="BA2" s="31" t="str">
        <f t="shared" si="5"/>
        <v>Trough</v>
      </c>
      <c r="BB2" s="31" t="str">
        <f t="shared" si="5"/>
        <v>Shoulder</v>
      </c>
      <c r="BC2" s="31" t="str">
        <f t="shared" si="5"/>
        <v>Trough</v>
      </c>
      <c r="BD2" s="31" t="str">
        <f t="shared" si="5"/>
        <v>Shoulder</v>
      </c>
      <c r="BE2" s="31" t="str">
        <f t="shared" si="5"/>
        <v>Peak</v>
      </c>
      <c r="BF2" s="31" t="str">
        <f t="shared" si="5"/>
        <v>Peak</v>
      </c>
      <c r="BG2" s="31" t="str">
        <f t="shared" si="5"/>
        <v>Peak</v>
      </c>
      <c r="BH2" s="31" t="str">
        <f t="shared" si="5"/>
        <v>Shoulder</v>
      </c>
      <c r="BI2" s="31" t="str">
        <f t="shared" si="5"/>
        <v>Shoulder</v>
      </c>
      <c r="BJ2" s="31" t="str">
        <f t="shared" si="5"/>
        <v>Peak</v>
      </c>
      <c r="BK2" s="283" t="str">
        <f t="shared" si="5"/>
        <v>Shoulder</v>
      </c>
      <c r="BL2" s="31" t="str">
        <f t="shared" si="5"/>
        <v>Trough</v>
      </c>
      <c r="BM2" s="31" t="str">
        <f t="shared" si="5"/>
        <v>Trough</v>
      </c>
      <c r="BN2" s="31" t="str">
        <f t="shared" si="5"/>
        <v>Shoulder</v>
      </c>
      <c r="BO2" s="31" t="str">
        <f t="shared" si="5"/>
        <v>Trough</v>
      </c>
      <c r="BP2" s="31" t="str">
        <f t="shared" si="5"/>
        <v>Shoulder</v>
      </c>
      <c r="BQ2" s="31" t="str">
        <f t="shared" si="5"/>
        <v>Peak</v>
      </c>
      <c r="BR2" s="31" t="str">
        <f t="shared" si="5"/>
        <v>Peak</v>
      </c>
      <c r="BS2" s="31" t="str">
        <f t="shared" si="5"/>
        <v>Peak</v>
      </c>
      <c r="BT2" s="31" t="str">
        <f t="shared" si="5"/>
        <v>Shoulder</v>
      </c>
      <c r="BU2" s="31" t="str">
        <f t="shared" si="5"/>
        <v>Shoulder</v>
      </c>
      <c r="BV2" s="31" t="str">
        <f t="shared" si="5"/>
        <v>Peak</v>
      </c>
      <c r="BW2" s="283" t="str">
        <f t="shared" si="5"/>
        <v>Shoulder</v>
      </c>
      <c r="BX2" s="31" t="str">
        <f t="shared" si="5"/>
        <v>Trough</v>
      </c>
      <c r="BY2" s="31" t="str">
        <f t="shared" si="5"/>
        <v>Trough</v>
      </c>
      <c r="BZ2" s="31" t="str">
        <f t="shared" si="5"/>
        <v>Shoulder</v>
      </c>
      <c r="CA2" s="31" t="str">
        <f t="shared" si="5"/>
        <v>Trough</v>
      </c>
      <c r="CB2" s="31" t="str">
        <f t="shared" si="5"/>
        <v>Shoulder</v>
      </c>
      <c r="CC2" s="31" t="str">
        <f t="shared" si="5"/>
        <v>Peak</v>
      </c>
      <c r="CD2" s="31" t="str">
        <f t="shared" si="5"/>
        <v>Peak</v>
      </c>
      <c r="CE2" s="31" t="str">
        <f t="shared" si="5"/>
        <v>Peak</v>
      </c>
      <c r="CF2" s="31" t="str">
        <f t="shared" si="5"/>
        <v>Shoulder</v>
      </c>
      <c r="CG2" s="31" t="str">
        <f t="shared" si="5"/>
        <v>Shoulder</v>
      </c>
      <c r="CH2" s="31" t="str">
        <f t="shared" si="5"/>
        <v>Peak</v>
      </c>
      <c r="CI2" s="283" t="str">
        <f t="shared" si="5"/>
        <v>Shoulder</v>
      </c>
      <c r="CJ2" s="31" t="str">
        <f t="shared" si="5"/>
        <v>Trough</v>
      </c>
      <c r="CK2" s="31" t="str">
        <f t="shared" si="5"/>
        <v>Trough</v>
      </c>
      <c r="CL2" s="31" t="str">
        <f t="shared" si="5"/>
        <v>Shoulder</v>
      </c>
      <c r="CM2" s="31" t="str">
        <f t="shared" si="5"/>
        <v>Trough</v>
      </c>
      <c r="CN2" s="31" t="str">
        <f t="shared" si="5"/>
        <v>Shoulder</v>
      </c>
      <c r="CO2" s="31" t="str">
        <f t="shared" ref="CO2:DG2" si="6">+CC2</f>
        <v>Peak</v>
      </c>
      <c r="CP2" s="31" t="str">
        <f t="shared" si="6"/>
        <v>Peak</v>
      </c>
      <c r="CQ2" s="31" t="str">
        <f t="shared" si="6"/>
        <v>Peak</v>
      </c>
      <c r="CR2" s="31" t="str">
        <f t="shared" si="6"/>
        <v>Shoulder</v>
      </c>
      <c r="CS2" s="31" t="str">
        <f t="shared" si="6"/>
        <v>Shoulder</v>
      </c>
      <c r="CT2" s="31" t="str">
        <f t="shared" si="6"/>
        <v>Peak</v>
      </c>
      <c r="CU2" s="283" t="str">
        <f t="shared" si="6"/>
        <v>Shoulder</v>
      </c>
      <c r="CV2" s="31" t="str">
        <f t="shared" si="6"/>
        <v>Trough</v>
      </c>
      <c r="CW2" s="31" t="str">
        <f t="shared" si="6"/>
        <v>Trough</v>
      </c>
      <c r="CX2" s="31" t="str">
        <f t="shared" si="6"/>
        <v>Shoulder</v>
      </c>
      <c r="CY2" s="31" t="str">
        <f t="shared" si="6"/>
        <v>Trough</v>
      </c>
      <c r="CZ2" s="31" t="str">
        <f t="shared" si="6"/>
        <v>Shoulder</v>
      </c>
      <c r="DA2" s="31" t="str">
        <f t="shared" si="6"/>
        <v>Peak</v>
      </c>
      <c r="DB2" s="31" t="str">
        <f t="shared" si="6"/>
        <v>Peak</v>
      </c>
      <c r="DC2" s="31" t="str">
        <f t="shared" si="6"/>
        <v>Peak</v>
      </c>
      <c r="DD2" s="31" t="str">
        <f t="shared" si="6"/>
        <v>Shoulder</v>
      </c>
      <c r="DE2" s="31" t="str">
        <f t="shared" si="6"/>
        <v>Shoulder</v>
      </c>
      <c r="DF2" s="31" t="str">
        <f t="shared" si="6"/>
        <v>Peak</v>
      </c>
      <c r="DG2" s="31" t="str">
        <f t="shared" si="6"/>
        <v>Shoulder</v>
      </c>
      <c r="DH2" s="31"/>
      <c r="DI2" s="31"/>
      <c r="DJ2" s="31"/>
    </row>
    <row r="3" spans="1:114" x14ac:dyDescent="0.3">
      <c r="A3" s="30"/>
      <c r="B3" s="30"/>
      <c r="C3" s="631"/>
      <c r="D3" s="167" t="str">
        <f>+"Q1 "&amp;D1</f>
        <v>Q1 2022</v>
      </c>
      <c r="E3" s="167" t="str">
        <f>+"Q1 "&amp;E1</f>
        <v>Q1 2022</v>
      </c>
      <c r="F3" s="167" t="str">
        <f>+"Q1 "&amp;F1</f>
        <v>Q1 2022</v>
      </c>
      <c r="G3" s="167" t="str">
        <f>+"Q2 "&amp;G1</f>
        <v>Q2 2022</v>
      </c>
      <c r="H3" s="167" t="str">
        <f>+"Q2 "&amp;H1</f>
        <v>Q2 2022</v>
      </c>
      <c r="I3" s="167" t="str">
        <f>+"Q2 "&amp;I1</f>
        <v>Q2 2022</v>
      </c>
      <c r="J3" s="167" t="str">
        <f>+"Q3 "&amp;J1</f>
        <v>Q3 2022</v>
      </c>
      <c r="K3" s="167" t="str">
        <f>+"Q3 "&amp;K1</f>
        <v>Q3 2022</v>
      </c>
      <c r="L3" s="167" t="str">
        <f>+"Q3 "&amp;L1</f>
        <v>Q3 2022</v>
      </c>
      <c r="M3" s="167" t="str">
        <f>+"Q4 "&amp;M1</f>
        <v>Q4 2022</v>
      </c>
      <c r="N3" s="167" t="str">
        <f>+"Q4 "&amp;N1</f>
        <v>Q4 2022</v>
      </c>
      <c r="O3" s="167" t="str">
        <f>+"Q4 "&amp;O1</f>
        <v>Q4 2022</v>
      </c>
      <c r="P3" s="167" t="str">
        <f>+"Q1 "&amp;P1</f>
        <v>Q1 2023</v>
      </c>
      <c r="Q3" s="167" t="str">
        <f>+"Q1 "&amp;Q1</f>
        <v>Q1 2023</v>
      </c>
      <c r="R3" s="167" t="str">
        <f>+"Q1 "&amp;R1</f>
        <v>Q1 2023</v>
      </c>
      <c r="S3" s="167" t="str">
        <f>+"Q2 "&amp;S1</f>
        <v>Q2 2023</v>
      </c>
      <c r="T3" s="167" t="str">
        <f>+"Q2 "&amp;T1</f>
        <v>Q2 2023</v>
      </c>
      <c r="U3" s="167" t="str">
        <f>+"Q2 "&amp;U1</f>
        <v>Q2 2023</v>
      </c>
      <c r="V3" s="167" t="str">
        <f>+"Q3 "&amp;V1</f>
        <v>Q3 2023</v>
      </c>
      <c r="W3" s="167" t="str">
        <f>+"Q3 "&amp;W1</f>
        <v>Q3 2023</v>
      </c>
      <c r="X3" s="167" t="str">
        <f>+"Q3 "&amp;X1</f>
        <v>Q3 2023</v>
      </c>
      <c r="Y3" s="167" t="str">
        <f>+"Q4 "&amp;Y1</f>
        <v>Q4 2023</v>
      </c>
      <c r="Z3" s="167" t="str">
        <f>+"Q4 "&amp;Z1</f>
        <v>Q4 2023</v>
      </c>
      <c r="AA3" s="167" t="str">
        <f>+"Q4 "&amp;AA1</f>
        <v>Q4 2023</v>
      </c>
      <c r="AB3" s="167" t="str">
        <f>+"Q1 "&amp;AB1</f>
        <v>Q1 2024</v>
      </c>
      <c r="AC3" s="167" t="str">
        <f>+"Q1 "&amp;AC1</f>
        <v>Q1 2024</v>
      </c>
      <c r="AD3" s="167" t="str">
        <f>+"Q1 "&amp;AD1</f>
        <v>Q1 2024</v>
      </c>
      <c r="AE3" s="167" t="str">
        <f>+"Q2 "&amp;AE1</f>
        <v>Q2 2024</v>
      </c>
      <c r="AF3" s="167" t="str">
        <f>+"Q2 "&amp;AF1</f>
        <v>Q2 2024</v>
      </c>
      <c r="AG3" s="167" t="str">
        <f>+"Q2 "&amp;AG1</f>
        <v>Q2 2024</v>
      </c>
      <c r="AH3" s="167" t="str">
        <f>+"Q3 "&amp;AH1</f>
        <v>Q3 2024</v>
      </c>
      <c r="AI3" s="167" t="str">
        <f>+"Q3 "&amp;AI1</f>
        <v>Q3 2024</v>
      </c>
      <c r="AJ3" s="167" t="str">
        <f>+"Q3 "&amp;AJ1</f>
        <v>Q3 2024</v>
      </c>
      <c r="AK3" s="284" t="str">
        <f>+"Q4 "&amp;AK1</f>
        <v>Q4 2024</v>
      </c>
      <c r="AL3" s="167" t="str">
        <f>+"Q4 "&amp;AL1</f>
        <v>Q4 2024</v>
      </c>
      <c r="AM3" s="596" t="str">
        <f>+"Q4 "&amp;AM1</f>
        <v>Q4 2024</v>
      </c>
      <c r="AN3" s="167" t="str">
        <f>+"Q1 "&amp;AN1</f>
        <v>Q1 2025</v>
      </c>
      <c r="AO3" s="167" t="str">
        <f>+"Q1 "&amp;AO1</f>
        <v>Q1 2025</v>
      </c>
      <c r="AP3" s="167" t="str">
        <f>+"Q1 "&amp;AP1</f>
        <v>Q1 2025</v>
      </c>
      <c r="AQ3" s="167" t="str">
        <f>+"Q2 "&amp;AQ1</f>
        <v>Q2 2025</v>
      </c>
      <c r="AR3" s="167" t="str">
        <f>+"Q2 "&amp;AR1</f>
        <v>Q2 2025</v>
      </c>
      <c r="AS3" s="167" t="str">
        <f>+"Q2 "&amp;AS1</f>
        <v>Q2 2025</v>
      </c>
      <c r="AT3" s="167" t="str">
        <f>+"Q3 "&amp;AT1</f>
        <v>Q3 2025</v>
      </c>
      <c r="AU3" s="167" t="str">
        <f>+"Q3 "&amp;AU1</f>
        <v>Q3 2025</v>
      </c>
      <c r="AV3" s="167" t="str">
        <f>+"Q3 "&amp;AV1</f>
        <v>Q3 2025</v>
      </c>
      <c r="AW3" s="167" t="str">
        <f>+"Q4 "&amp;AW1</f>
        <v>Q4 2025</v>
      </c>
      <c r="AX3" s="167" t="str">
        <f>+"Q4 "&amp;AX1</f>
        <v>Q4 2025</v>
      </c>
      <c r="AY3" s="284" t="str">
        <f>+"Q4 "&amp;AY1</f>
        <v>Q4 2025</v>
      </c>
      <c r="AZ3" s="167" t="str">
        <f>+"Q1 "&amp;AZ1</f>
        <v>Q1 2026</v>
      </c>
      <c r="BA3" s="167" t="str">
        <f>+"Q1 "&amp;BA1</f>
        <v>Q1 2026</v>
      </c>
      <c r="BB3" s="167" t="str">
        <f>+"Q1 "&amp;BB1</f>
        <v>Q1 2026</v>
      </c>
      <c r="BC3" s="167" t="str">
        <f>+"Q2 "&amp;BC1</f>
        <v>Q2 2026</v>
      </c>
      <c r="BD3" s="167" t="str">
        <f>+"Q2 "&amp;BD1</f>
        <v>Q2 2026</v>
      </c>
      <c r="BE3" s="167" t="str">
        <f>+"Q2 "&amp;BE1</f>
        <v>Q2 2026</v>
      </c>
      <c r="BF3" s="167" t="str">
        <f>+"Q3 "&amp;BF1</f>
        <v>Q3 2026</v>
      </c>
      <c r="BG3" s="167" t="str">
        <f>+"Q3 "&amp;BG1</f>
        <v>Q3 2026</v>
      </c>
      <c r="BH3" s="167" t="str">
        <f>+"Q3 "&amp;BH1</f>
        <v>Q3 2026</v>
      </c>
      <c r="BI3" s="167" t="str">
        <f>+"Q4 "&amp;BI1</f>
        <v>Q4 2026</v>
      </c>
      <c r="BJ3" s="167" t="str">
        <f>+"Q4 "&amp;BJ1</f>
        <v>Q4 2026</v>
      </c>
      <c r="BK3" s="284" t="str">
        <f>+"Q4 "&amp;BK1</f>
        <v>Q4 2026</v>
      </c>
      <c r="BL3" s="167" t="str">
        <f>+"Q1 "&amp;BL1</f>
        <v>Q1 2027</v>
      </c>
      <c r="BM3" s="167" t="str">
        <f>+"Q1 "&amp;BM1</f>
        <v>Q1 2027</v>
      </c>
      <c r="BN3" s="167" t="str">
        <f>+"Q1 "&amp;BN1</f>
        <v>Q1 2027</v>
      </c>
      <c r="BO3" s="167" t="str">
        <f>+"Q2 "&amp;BO1</f>
        <v>Q2 2027</v>
      </c>
      <c r="BP3" s="167" t="str">
        <f>+"Q2 "&amp;BP1</f>
        <v>Q2 2027</v>
      </c>
      <c r="BQ3" s="167" t="str">
        <f>+"Q2 "&amp;BQ1</f>
        <v>Q2 2027</v>
      </c>
      <c r="BR3" s="167" t="str">
        <f>+"Q3 "&amp;BR1</f>
        <v>Q3 2027</v>
      </c>
      <c r="BS3" s="167" t="str">
        <f>+"Q3 "&amp;BS1</f>
        <v>Q3 2027</v>
      </c>
      <c r="BT3" s="167" t="str">
        <f>+"Q3 "&amp;BT1</f>
        <v>Q3 2027</v>
      </c>
      <c r="BU3" s="167" t="str">
        <f>+"Q4 "&amp;BU1</f>
        <v>Q4 2027</v>
      </c>
      <c r="BV3" s="167" t="str">
        <f>+"Q4 "&amp;BV1</f>
        <v>Q4 2027</v>
      </c>
      <c r="BW3" s="284" t="str">
        <f>+"Q4 "&amp;BW1</f>
        <v>Q4 2027</v>
      </c>
      <c r="BX3" s="167" t="str">
        <f>+"Q1 "&amp;BX1</f>
        <v>Q1 2028</v>
      </c>
      <c r="BY3" s="167" t="str">
        <f>+"Q1 "&amp;BY1</f>
        <v>Q1 2028</v>
      </c>
      <c r="BZ3" s="167" t="str">
        <f>+"Q1 "&amp;BZ1</f>
        <v>Q1 2028</v>
      </c>
      <c r="CA3" s="167" t="str">
        <f>+"Q2 "&amp;CA1</f>
        <v>Q2 2028</v>
      </c>
      <c r="CB3" s="167" t="str">
        <f>+"Q2 "&amp;CB1</f>
        <v>Q2 2028</v>
      </c>
      <c r="CC3" s="167" t="str">
        <f>+"Q2 "&amp;CC1</f>
        <v>Q2 2028</v>
      </c>
      <c r="CD3" s="167" t="str">
        <f>+"Q3 "&amp;CD1</f>
        <v>Q3 2028</v>
      </c>
      <c r="CE3" s="167" t="str">
        <f>+"Q3 "&amp;CE1</f>
        <v>Q3 2028</v>
      </c>
      <c r="CF3" s="167" t="str">
        <f>+"Q3 "&amp;CF1</f>
        <v>Q3 2028</v>
      </c>
      <c r="CG3" s="167" t="str">
        <f>+"Q4 "&amp;CG1</f>
        <v>Q4 2028</v>
      </c>
      <c r="CH3" s="167" t="str">
        <f>+"Q4 "&amp;CH1</f>
        <v>Q4 2028</v>
      </c>
      <c r="CI3" s="284" t="str">
        <f>+"Q4 "&amp;CI1</f>
        <v>Q4 2028</v>
      </c>
      <c r="CJ3" s="167" t="str">
        <f>+"Q1 "&amp;CJ1</f>
        <v>Q1 2029</v>
      </c>
      <c r="CK3" s="167" t="str">
        <f>+"Q1 "&amp;CK1</f>
        <v>Q1 2029</v>
      </c>
      <c r="CL3" s="167" t="str">
        <f>+"Q1 "&amp;CL1</f>
        <v>Q1 2029</v>
      </c>
      <c r="CM3" s="167" t="str">
        <f>+"Q2 "&amp;CM1</f>
        <v>Q2 2029</v>
      </c>
      <c r="CN3" s="167" t="str">
        <f>+"Q2 "&amp;CN1</f>
        <v>Q2 2029</v>
      </c>
      <c r="CO3" s="167" t="str">
        <f>+"Q2 "&amp;CO1</f>
        <v>Q2 2029</v>
      </c>
      <c r="CP3" s="167" t="str">
        <f>+"Q3 "&amp;CP1</f>
        <v>Q3 2029</v>
      </c>
      <c r="CQ3" s="167" t="str">
        <f>+"Q3 "&amp;CQ1</f>
        <v>Q3 2029</v>
      </c>
      <c r="CR3" s="167" t="str">
        <f>+"Q3 "&amp;CR1</f>
        <v>Q3 2029</v>
      </c>
      <c r="CS3" s="167" t="str">
        <f>+"Q4 "&amp;CS1</f>
        <v>Q4 2029</v>
      </c>
      <c r="CT3" s="167" t="str">
        <f>+"Q4 "&amp;CT1</f>
        <v>Q4 2029</v>
      </c>
      <c r="CU3" s="284" t="str">
        <f>+"Q4 "&amp;CU1</f>
        <v>Q4 2029</v>
      </c>
      <c r="CV3" s="167" t="str">
        <f>+"Q1 "&amp;CV1</f>
        <v>Q1 2030</v>
      </c>
      <c r="CW3" s="167" t="str">
        <f>+"Q1 "&amp;CW1</f>
        <v>Q1 2030</v>
      </c>
      <c r="CX3" s="167" t="str">
        <f>+"Q1 "&amp;CX1</f>
        <v>Q1 2030</v>
      </c>
      <c r="CY3" s="167" t="str">
        <f>+"Q2 "&amp;CY1</f>
        <v>Q2 2030</v>
      </c>
      <c r="CZ3" s="167" t="str">
        <f>+"Q2 "&amp;CZ1</f>
        <v>Q2 2030</v>
      </c>
      <c r="DA3" s="167" t="str">
        <f>+"Q2 "&amp;DA1</f>
        <v>Q2 2030</v>
      </c>
      <c r="DB3" s="167" t="str">
        <f>+"Q3 "&amp;DB1</f>
        <v>Q3 2030</v>
      </c>
      <c r="DC3" s="167" t="str">
        <f>+"Q3 "&amp;DC1</f>
        <v>Q3 2030</v>
      </c>
      <c r="DD3" s="167" t="str">
        <f>+"Q3 "&amp;DD1</f>
        <v>Q3 2030</v>
      </c>
      <c r="DE3" s="167" t="str">
        <f>+"Q4 "&amp;DE1</f>
        <v>Q4 2030</v>
      </c>
      <c r="DF3" s="167" t="str">
        <f>+"Q4 "&amp;DF1</f>
        <v>Q4 2030</v>
      </c>
      <c r="DG3" s="167" t="str">
        <f>+"Q4 "&amp;DG1</f>
        <v>Q4 2030</v>
      </c>
      <c r="DH3" s="31"/>
      <c r="DI3" s="31"/>
      <c r="DJ3" s="31"/>
    </row>
    <row r="4" spans="1:114" ht="15" thickBot="1" x14ac:dyDescent="0.35">
      <c r="A4" s="32"/>
      <c r="B4" s="33"/>
      <c r="C4" s="632"/>
      <c r="D4" s="597">
        <v>44592</v>
      </c>
      <c r="E4" s="597">
        <f>+EOMONTH(D4,1)</f>
        <v>44620</v>
      </c>
      <c r="F4" s="597">
        <f t="shared" ref="F4:BQ4" si="7">+EOMONTH(E4,1)</f>
        <v>44651</v>
      </c>
      <c r="G4" s="34">
        <f t="shared" si="7"/>
        <v>44681</v>
      </c>
      <c r="H4" s="34">
        <f t="shared" si="7"/>
        <v>44712</v>
      </c>
      <c r="I4" s="34">
        <f t="shared" si="7"/>
        <v>44742</v>
      </c>
      <c r="J4" s="34">
        <f t="shared" si="7"/>
        <v>44773</v>
      </c>
      <c r="K4" s="34">
        <f t="shared" si="7"/>
        <v>44804</v>
      </c>
      <c r="L4" s="34">
        <f t="shared" si="7"/>
        <v>44834</v>
      </c>
      <c r="M4" s="34">
        <f t="shared" si="7"/>
        <v>44865</v>
      </c>
      <c r="N4" s="34">
        <f t="shared" si="7"/>
        <v>44895</v>
      </c>
      <c r="O4" s="34">
        <f t="shared" si="7"/>
        <v>44926</v>
      </c>
      <c r="P4" s="165">
        <f t="shared" si="7"/>
        <v>44957</v>
      </c>
      <c r="Q4" s="34">
        <f t="shared" si="7"/>
        <v>44985</v>
      </c>
      <c r="R4" s="34">
        <f t="shared" si="7"/>
        <v>45016</v>
      </c>
      <c r="S4" s="34">
        <f t="shared" si="7"/>
        <v>45046</v>
      </c>
      <c r="T4" s="34">
        <f t="shared" si="7"/>
        <v>45077</v>
      </c>
      <c r="U4" s="34">
        <f t="shared" si="7"/>
        <v>45107</v>
      </c>
      <c r="V4" s="34">
        <f t="shared" si="7"/>
        <v>45138</v>
      </c>
      <c r="W4" s="34">
        <f t="shared" si="7"/>
        <v>45169</v>
      </c>
      <c r="X4" s="34">
        <f t="shared" si="7"/>
        <v>45199</v>
      </c>
      <c r="Y4" s="34">
        <f t="shared" si="7"/>
        <v>45230</v>
      </c>
      <c r="Z4" s="34">
        <f t="shared" si="7"/>
        <v>45260</v>
      </c>
      <c r="AA4" s="34">
        <f t="shared" si="7"/>
        <v>45291</v>
      </c>
      <c r="AB4" s="34">
        <f t="shared" si="7"/>
        <v>45322</v>
      </c>
      <c r="AC4" s="34">
        <f t="shared" si="7"/>
        <v>45351</v>
      </c>
      <c r="AD4" s="34">
        <f t="shared" si="7"/>
        <v>45382</v>
      </c>
      <c r="AE4" s="34">
        <f t="shared" si="7"/>
        <v>45412</v>
      </c>
      <c r="AF4" s="285">
        <f t="shared" si="7"/>
        <v>45443</v>
      </c>
      <c r="AG4" s="34">
        <f t="shared" si="7"/>
        <v>45473</v>
      </c>
      <c r="AH4" s="34">
        <f t="shared" si="7"/>
        <v>45504</v>
      </c>
      <c r="AI4" s="34">
        <f t="shared" si="7"/>
        <v>45535</v>
      </c>
      <c r="AJ4" s="34">
        <f t="shared" si="7"/>
        <v>45565</v>
      </c>
      <c r="AK4" s="285">
        <f t="shared" si="7"/>
        <v>45596</v>
      </c>
      <c r="AL4" s="34">
        <f t="shared" si="7"/>
        <v>45626</v>
      </c>
      <c r="AM4" s="54">
        <f t="shared" si="7"/>
        <v>45657</v>
      </c>
      <c r="AN4" s="34">
        <f t="shared" si="7"/>
        <v>45688</v>
      </c>
      <c r="AO4" s="34">
        <f t="shared" si="7"/>
        <v>45716</v>
      </c>
      <c r="AP4" s="34">
        <f t="shared" si="7"/>
        <v>45747</v>
      </c>
      <c r="AQ4" s="34">
        <f t="shared" si="7"/>
        <v>45777</v>
      </c>
      <c r="AR4" s="34">
        <f t="shared" si="7"/>
        <v>45808</v>
      </c>
      <c r="AS4" s="34">
        <f t="shared" si="7"/>
        <v>45838</v>
      </c>
      <c r="AT4" s="34">
        <f t="shared" si="7"/>
        <v>45869</v>
      </c>
      <c r="AU4" s="34">
        <f t="shared" si="7"/>
        <v>45900</v>
      </c>
      <c r="AV4" s="34">
        <f t="shared" si="7"/>
        <v>45930</v>
      </c>
      <c r="AW4" s="34">
        <f t="shared" si="7"/>
        <v>45961</v>
      </c>
      <c r="AX4" s="34">
        <f t="shared" si="7"/>
        <v>45991</v>
      </c>
      <c r="AY4" s="285">
        <f t="shared" si="7"/>
        <v>46022</v>
      </c>
      <c r="AZ4" s="34">
        <f t="shared" si="7"/>
        <v>46053</v>
      </c>
      <c r="BA4" s="34">
        <f t="shared" si="7"/>
        <v>46081</v>
      </c>
      <c r="BB4" s="34">
        <f t="shared" si="7"/>
        <v>46112</v>
      </c>
      <c r="BC4" s="34">
        <f t="shared" si="7"/>
        <v>46142</v>
      </c>
      <c r="BD4" s="34">
        <f t="shared" si="7"/>
        <v>46173</v>
      </c>
      <c r="BE4" s="34">
        <f t="shared" si="7"/>
        <v>46203</v>
      </c>
      <c r="BF4" s="34">
        <f t="shared" si="7"/>
        <v>46234</v>
      </c>
      <c r="BG4" s="34">
        <f t="shared" si="7"/>
        <v>46265</v>
      </c>
      <c r="BH4" s="34">
        <f t="shared" si="7"/>
        <v>46295</v>
      </c>
      <c r="BI4" s="34">
        <f t="shared" si="7"/>
        <v>46326</v>
      </c>
      <c r="BJ4" s="34">
        <f t="shared" si="7"/>
        <v>46356</v>
      </c>
      <c r="BK4" s="285">
        <f t="shared" si="7"/>
        <v>46387</v>
      </c>
      <c r="BL4" s="34">
        <f t="shared" si="7"/>
        <v>46418</v>
      </c>
      <c r="BM4" s="34">
        <f t="shared" si="7"/>
        <v>46446</v>
      </c>
      <c r="BN4" s="34">
        <f t="shared" si="7"/>
        <v>46477</v>
      </c>
      <c r="BO4" s="34">
        <f t="shared" si="7"/>
        <v>46507</v>
      </c>
      <c r="BP4" s="34">
        <f t="shared" si="7"/>
        <v>46538</v>
      </c>
      <c r="BQ4" s="34">
        <f t="shared" si="7"/>
        <v>46568</v>
      </c>
      <c r="BR4" s="34">
        <f t="shared" ref="BR4:DG4" si="8">+EOMONTH(BQ4,1)</f>
        <v>46599</v>
      </c>
      <c r="BS4" s="34">
        <f t="shared" si="8"/>
        <v>46630</v>
      </c>
      <c r="BT4" s="34">
        <f t="shared" si="8"/>
        <v>46660</v>
      </c>
      <c r="BU4" s="34">
        <f t="shared" si="8"/>
        <v>46691</v>
      </c>
      <c r="BV4" s="34">
        <f t="shared" si="8"/>
        <v>46721</v>
      </c>
      <c r="BW4" s="285">
        <f t="shared" si="8"/>
        <v>46752</v>
      </c>
      <c r="BX4" s="34">
        <f t="shared" si="8"/>
        <v>46783</v>
      </c>
      <c r="BY4" s="34">
        <f t="shared" si="8"/>
        <v>46812</v>
      </c>
      <c r="BZ4" s="34">
        <f t="shared" si="8"/>
        <v>46843</v>
      </c>
      <c r="CA4" s="34">
        <f t="shared" si="8"/>
        <v>46873</v>
      </c>
      <c r="CB4" s="34">
        <f t="shared" si="8"/>
        <v>46904</v>
      </c>
      <c r="CC4" s="34">
        <f t="shared" si="8"/>
        <v>46934</v>
      </c>
      <c r="CD4" s="34">
        <f t="shared" si="8"/>
        <v>46965</v>
      </c>
      <c r="CE4" s="34">
        <f t="shared" si="8"/>
        <v>46996</v>
      </c>
      <c r="CF4" s="34">
        <f t="shared" si="8"/>
        <v>47026</v>
      </c>
      <c r="CG4" s="34">
        <f t="shared" si="8"/>
        <v>47057</v>
      </c>
      <c r="CH4" s="34">
        <f t="shared" si="8"/>
        <v>47087</v>
      </c>
      <c r="CI4" s="285">
        <f t="shared" si="8"/>
        <v>47118</v>
      </c>
      <c r="CJ4" s="34">
        <f t="shared" si="8"/>
        <v>47149</v>
      </c>
      <c r="CK4" s="34">
        <f t="shared" si="8"/>
        <v>47177</v>
      </c>
      <c r="CL4" s="34">
        <f t="shared" si="8"/>
        <v>47208</v>
      </c>
      <c r="CM4" s="34">
        <f t="shared" si="8"/>
        <v>47238</v>
      </c>
      <c r="CN4" s="34">
        <f t="shared" si="8"/>
        <v>47269</v>
      </c>
      <c r="CO4" s="34">
        <f t="shared" si="8"/>
        <v>47299</v>
      </c>
      <c r="CP4" s="34">
        <f t="shared" si="8"/>
        <v>47330</v>
      </c>
      <c r="CQ4" s="34">
        <f t="shared" si="8"/>
        <v>47361</v>
      </c>
      <c r="CR4" s="34">
        <f t="shared" si="8"/>
        <v>47391</v>
      </c>
      <c r="CS4" s="34">
        <f t="shared" si="8"/>
        <v>47422</v>
      </c>
      <c r="CT4" s="34">
        <f t="shared" si="8"/>
        <v>47452</v>
      </c>
      <c r="CU4" s="285">
        <f t="shared" si="8"/>
        <v>47483</v>
      </c>
      <c r="CV4" s="34">
        <f t="shared" si="8"/>
        <v>47514</v>
      </c>
      <c r="CW4" s="34">
        <f t="shared" si="8"/>
        <v>47542</v>
      </c>
      <c r="CX4" s="34">
        <f t="shared" si="8"/>
        <v>47573</v>
      </c>
      <c r="CY4" s="34">
        <f t="shared" si="8"/>
        <v>47603</v>
      </c>
      <c r="CZ4" s="34">
        <f t="shared" si="8"/>
        <v>47634</v>
      </c>
      <c r="DA4" s="34">
        <f t="shared" si="8"/>
        <v>47664</v>
      </c>
      <c r="DB4" s="34">
        <f t="shared" si="8"/>
        <v>47695</v>
      </c>
      <c r="DC4" s="34">
        <f t="shared" si="8"/>
        <v>47726</v>
      </c>
      <c r="DD4" s="34">
        <f t="shared" si="8"/>
        <v>47756</v>
      </c>
      <c r="DE4" s="34">
        <f t="shared" si="8"/>
        <v>47787</v>
      </c>
      <c r="DF4" s="34">
        <f t="shared" si="8"/>
        <v>47817</v>
      </c>
      <c r="DG4" s="34">
        <f t="shared" si="8"/>
        <v>47848</v>
      </c>
      <c r="DH4" s="34"/>
      <c r="DI4" s="34"/>
      <c r="DJ4" s="54"/>
    </row>
    <row r="5" spans="1:114" hidden="1" x14ac:dyDescent="0.3">
      <c r="B5" s="1" t="s">
        <v>1</v>
      </c>
      <c r="C5" s="540"/>
      <c r="D5" s="1"/>
      <c r="E5" s="1"/>
      <c r="F5" s="1"/>
      <c r="G5" s="1"/>
      <c r="H5" s="1"/>
      <c r="I5" s="1"/>
      <c r="J5" s="1"/>
      <c r="K5" s="1"/>
      <c r="L5" s="1"/>
      <c r="M5" s="2"/>
      <c r="N5" s="2"/>
      <c r="O5" s="2"/>
      <c r="P5" s="2"/>
      <c r="AI5" s="598"/>
      <c r="AJ5" s="598"/>
      <c r="AK5" s="286"/>
      <c r="AM5" s="98"/>
    </row>
    <row r="6" spans="1:114" s="114" customFormat="1" hidden="1" x14ac:dyDescent="0.3">
      <c r="A6"/>
      <c r="B6" s="1" t="s">
        <v>218</v>
      </c>
      <c r="C6" s="540"/>
      <c r="D6" s="116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6"/>
      <c r="T6" s="116"/>
      <c r="U6" s="116"/>
      <c r="V6" s="116">
        <v>0</v>
      </c>
      <c r="W6" s="116">
        <v>2014.46</v>
      </c>
      <c r="X6" s="116">
        <v>8867.16</v>
      </c>
      <c r="Y6" s="116">
        <v>8353.65</v>
      </c>
      <c r="Z6" s="116">
        <v>9035.31</v>
      </c>
      <c r="AA6" s="116">
        <v>10591.1</v>
      </c>
      <c r="AB6" s="116">
        <v>5462.33</v>
      </c>
      <c r="AC6" s="116">
        <v>7159.01</v>
      </c>
      <c r="AD6" s="116">
        <v>10245.86</v>
      </c>
      <c r="AE6" s="116">
        <v>11516.18</v>
      </c>
      <c r="AF6" s="116">
        <v>10859.23</v>
      </c>
      <c r="AG6" s="116">
        <v>12228.82</v>
      </c>
      <c r="AH6" s="116">
        <v>12216.94</v>
      </c>
      <c r="AI6" s="116">
        <v>12073.09</v>
      </c>
      <c r="AJ6" s="116">
        <v>9051.9699999999993</v>
      </c>
      <c r="AK6" s="287">
        <v>11082.04</v>
      </c>
      <c r="AL6" s="116"/>
      <c r="AM6" s="263"/>
      <c r="AY6" s="287"/>
      <c r="BK6" s="287"/>
      <c r="BW6" s="287"/>
      <c r="CI6" s="287"/>
      <c r="CU6" s="287"/>
    </row>
    <row r="7" spans="1:114" s="3" customFormat="1" x14ac:dyDescent="0.3">
      <c r="B7" s="4" t="s">
        <v>2</v>
      </c>
      <c r="C7" s="541" t="s">
        <v>293</v>
      </c>
      <c r="D7" s="56">
        <f>+(D6)</f>
        <v>0</v>
      </c>
      <c r="E7" s="56">
        <f>+(E6)</f>
        <v>0</v>
      </c>
      <c r="F7" s="56">
        <v>0</v>
      </c>
      <c r="G7" s="56">
        <v>0</v>
      </c>
      <c r="H7" s="56">
        <v>0</v>
      </c>
      <c r="I7" s="56">
        <v>0</v>
      </c>
      <c r="J7" s="56">
        <v>0</v>
      </c>
      <c r="K7" s="56">
        <f t="shared" ref="K7:AA7" si="9">SUM(K6:K6)</f>
        <v>0</v>
      </c>
      <c r="L7" s="56">
        <f t="shared" si="9"/>
        <v>0</v>
      </c>
      <c r="M7" s="56">
        <f t="shared" si="9"/>
        <v>0</v>
      </c>
      <c r="N7" s="56">
        <f t="shared" si="9"/>
        <v>0</v>
      </c>
      <c r="O7" s="56">
        <f t="shared" si="9"/>
        <v>0</v>
      </c>
      <c r="P7" s="56">
        <f t="shared" si="9"/>
        <v>0</v>
      </c>
      <c r="Q7" s="56">
        <f t="shared" si="9"/>
        <v>0</v>
      </c>
      <c r="R7" s="56">
        <f t="shared" si="9"/>
        <v>0</v>
      </c>
      <c r="S7" s="56">
        <f t="shared" si="9"/>
        <v>0</v>
      </c>
      <c r="T7" s="56">
        <f t="shared" si="9"/>
        <v>0</v>
      </c>
      <c r="U7" s="56">
        <f t="shared" si="9"/>
        <v>0</v>
      </c>
      <c r="V7" s="56">
        <f t="shared" si="9"/>
        <v>0</v>
      </c>
      <c r="W7" s="56">
        <f t="shared" si="9"/>
        <v>2014.46</v>
      </c>
      <c r="X7" s="56">
        <f t="shared" si="9"/>
        <v>8867.16</v>
      </c>
      <c r="Y7" s="56">
        <f t="shared" si="9"/>
        <v>8353.65</v>
      </c>
      <c r="Z7" s="56">
        <f t="shared" si="9"/>
        <v>9035.31</v>
      </c>
      <c r="AA7" s="56">
        <f t="shared" si="9"/>
        <v>10591.1</v>
      </c>
      <c r="AB7" s="56">
        <f>SUM(AB6)</f>
        <v>5462.33</v>
      </c>
      <c r="AC7" s="56">
        <f t="shared" ref="AC7:AI7" si="10">SUM(AC6)</f>
        <v>7159.01</v>
      </c>
      <c r="AD7" s="56">
        <f t="shared" si="10"/>
        <v>10245.86</v>
      </c>
      <c r="AE7" s="56">
        <f t="shared" si="10"/>
        <v>11516.18</v>
      </c>
      <c r="AF7" s="56">
        <f t="shared" si="10"/>
        <v>10859.23</v>
      </c>
      <c r="AG7" s="56">
        <f t="shared" si="10"/>
        <v>12228.82</v>
      </c>
      <c r="AH7" s="56">
        <f t="shared" si="10"/>
        <v>12216.94</v>
      </c>
      <c r="AI7" s="56">
        <f t="shared" si="10"/>
        <v>12073.09</v>
      </c>
      <c r="AJ7" s="56">
        <f t="shared" ref="AJ7:AK7" si="11">SUM(AJ6)</f>
        <v>9051.9699999999993</v>
      </c>
      <c r="AK7" s="288">
        <f t="shared" si="11"/>
        <v>11082.04</v>
      </c>
      <c r="AL7" s="66">
        <f>AL28*AL26</f>
        <v>10409.198876581397</v>
      </c>
      <c r="AM7" s="599">
        <f t="shared" ref="AM7:CS7" si="12">AM28*AM26</f>
        <v>11983.271405198868</v>
      </c>
      <c r="AN7" s="66">
        <f t="shared" si="12"/>
        <v>10021.569450579356</v>
      </c>
      <c r="AO7" s="66">
        <f t="shared" si="12"/>
        <v>9688.5549344424253</v>
      </c>
      <c r="AP7" s="66">
        <f t="shared" si="12"/>
        <v>11627.123748894317</v>
      </c>
      <c r="AQ7" s="66">
        <f t="shared" si="12"/>
        <v>9280.768166760201</v>
      </c>
      <c r="AR7" s="66">
        <f t="shared" si="12"/>
        <v>10253.604918498093</v>
      </c>
      <c r="AS7" s="66">
        <f t="shared" si="12"/>
        <v>13087.066310042132</v>
      </c>
      <c r="AT7" s="66">
        <f t="shared" si="12"/>
        <v>12592.577854958859</v>
      </c>
      <c r="AU7" s="66">
        <f t="shared" si="12"/>
        <v>14720.358716173454</v>
      </c>
      <c r="AV7" s="66">
        <f t="shared" si="12"/>
        <v>14767.597553539263</v>
      </c>
      <c r="AW7" s="66">
        <f t="shared" si="12"/>
        <v>13583.523210354369</v>
      </c>
      <c r="AX7" s="66">
        <f t="shared" si="12"/>
        <v>14985.309775819267</v>
      </c>
      <c r="AY7" s="304">
        <f t="shared" si="12"/>
        <v>18197.379323408844</v>
      </c>
      <c r="AZ7" s="66">
        <f t="shared" si="12"/>
        <v>13186.115597612657</v>
      </c>
      <c r="BA7" s="66">
        <f t="shared" si="12"/>
        <v>13317.359146251771</v>
      </c>
      <c r="BB7" s="66">
        <f t="shared" si="12"/>
        <v>16370.990238443199</v>
      </c>
      <c r="BC7" s="66">
        <f t="shared" si="12"/>
        <v>12743.208598205354</v>
      </c>
      <c r="BD7" s="66">
        <f t="shared" si="12"/>
        <v>12972.491140739188</v>
      </c>
      <c r="BE7" s="66">
        <f t="shared" si="12"/>
        <v>17731.378866410738</v>
      </c>
      <c r="BF7" s="66">
        <f t="shared" si="12"/>
        <v>16919.040594544334</v>
      </c>
      <c r="BG7" s="66">
        <f t="shared" si="12"/>
        <v>18883.026192751753</v>
      </c>
      <c r="BH7" s="66">
        <f t="shared" si="12"/>
        <v>19030.063211038094</v>
      </c>
      <c r="BI7" s="66">
        <f t="shared" si="12"/>
        <v>16818.632844511234</v>
      </c>
      <c r="BJ7" s="66">
        <f t="shared" si="12"/>
        <v>22407.611096706278</v>
      </c>
      <c r="BK7" s="304">
        <f t="shared" si="12"/>
        <v>25588.938598090503</v>
      </c>
      <c r="BL7" s="66">
        <f t="shared" si="12"/>
        <v>16265.949590341766</v>
      </c>
      <c r="BM7" s="66">
        <f t="shared" si="12"/>
        <v>17284.822391905946</v>
      </c>
      <c r="BN7" s="66">
        <f t="shared" si="12"/>
        <v>21902.013005792225</v>
      </c>
      <c r="BO7" s="66">
        <f t="shared" si="12"/>
        <v>16430.306085994922</v>
      </c>
      <c r="BP7" s="66">
        <f t="shared" si="12"/>
        <v>16539.926204442465</v>
      </c>
      <c r="BQ7" s="66">
        <f t="shared" si="12"/>
        <v>22212.502089827914</v>
      </c>
      <c r="BR7" s="66">
        <f t="shared" si="12"/>
        <v>20174.195139274521</v>
      </c>
      <c r="BS7" s="66">
        <f t="shared" si="12"/>
        <v>24620.841487614929</v>
      </c>
      <c r="BT7" s="66">
        <f t="shared" si="12"/>
        <v>23764.085108598811</v>
      </c>
      <c r="BU7" s="66">
        <f t="shared" si="12"/>
        <v>20112.473170809484</v>
      </c>
      <c r="BV7" s="66">
        <f t="shared" si="12"/>
        <v>29293.642352963328</v>
      </c>
      <c r="BW7" s="304">
        <f t="shared" si="12"/>
        <v>32089.772189305808</v>
      </c>
      <c r="BX7" s="66">
        <f t="shared" si="12"/>
        <v>20445.829424975269</v>
      </c>
      <c r="BY7" s="66">
        <f t="shared" si="12"/>
        <v>22910.643657496239</v>
      </c>
      <c r="BZ7" s="66">
        <f t="shared" si="12"/>
        <v>27360.668554928139</v>
      </c>
      <c r="CA7" s="66">
        <f t="shared" si="12"/>
        <v>18688.690564336634</v>
      </c>
      <c r="CB7" s="66">
        <f t="shared" si="12"/>
        <v>22479.263341492264</v>
      </c>
      <c r="CC7" s="66">
        <f t="shared" si="12"/>
        <v>27194.185649807994</v>
      </c>
      <c r="CD7" s="66">
        <f t="shared" si="12"/>
        <v>23481.34325741366</v>
      </c>
      <c r="CE7" s="66">
        <f t="shared" si="12"/>
        <v>31252.684229152317</v>
      </c>
      <c r="CF7" s="66">
        <f t="shared" si="12"/>
        <v>27691.625314971199</v>
      </c>
      <c r="CG7" s="66">
        <f t="shared" si="12"/>
        <v>25704.898264707233</v>
      </c>
      <c r="CH7" s="66">
        <f t="shared" si="12"/>
        <v>35635.858124527229</v>
      </c>
      <c r="CI7" s="304">
        <f t="shared" si="12"/>
        <v>35665.759919937234</v>
      </c>
      <c r="CJ7" s="66">
        <f t="shared" si="12"/>
        <v>27384.273547105426</v>
      </c>
      <c r="CK7" s="66">
        <f t="shared" si="12"/>
        <v>26764.770627916168</v>
      </c>
      <c r="CL7" s="66">
        <f t="shared" si="12"/>
        <v>31862.154860095201</v>
      </c>
      <c r="CM7" s="66">
        <f t="shared" si="12"/>
        <v>24021.071721336808</v>
      </c>
      <c r="CN7" s="66">
        <f t="shared" si="12"/>
        <v>27234.49212526948</v>
      </c>
      <c r="CO7" s="66">
        <f t="shared" si="12"/>
        <v>31232.843340699081</v>
      </c>
      <c r="CP7" s="66">
        <f t="shared" si="12"/>
        <v>29416.905025259894</v>
      </c>
      <c r="CQ7" s="66">
        <f t="shared" si="12"/>
        <v>37344.756760581447</v>
      </c>
      <c r="CR7" s="66">
        <f t="shared" si="12"/>
        <v>31565.156237005864</v>
      </c>
      <c r="CS7" s="66">
        <f t="shared" si="12"/>
        <v>32235.483415592291</v>
      </c>
      <c r="CT7" s="66">
        <f t="shared" ref="CT7:DG7" si="13">CT28*CT26</f>
        <v>42643.579945663332</v>
      </c>
      <c r="CU7" s="304">
        <f t="shared" si="13"/>
        <v>42814.554781082545</v>
      </c>
      <c r="CV7" s="66">
        <f t="shared" si="13"/>
        <v>33016.935330156601</v>
      </c>
      <c r="CW7" s="66">
        <f t="shared" si="13"/>
        <v>32262.254514890144</v>
      </c>
      <c r="CX7" s="66">
        <f t="shared" si="13"/>
        <v>36445.771882761976</v>
      </c>
      <c r="CY7" s="66">
        <f t="shared" si="13"/>
        <v>30295.541317513576</v>
      </c>
      <c r="CZ7" s="66">
        <f t="shared" si="13"/>
        <v>32633.32968186701</v>
      </c>
      <c r="DA7" s="66">
        <f t="shared" si="13"/>
        <v>35306.692472094626</v>
      </c>
      <c r="DB7" s="66">
        <f t="shared" si="13"/>
        <v>36404.77884279022</v>
      </c>
      <c r="DC7" s="66">
        <f t="shared" si="13"/>
        <v>42241.935636256065</v>
      </c>
      <c r="DD7" s="66">
        <f t="shared" si="13"/>
        <v>39252.878883971687</v>
      </c>
      <c r="DE7" s="66">
        <f t="shared" si="13"/>
        <v>38250.152882160124</v>
      </c>
      <c r="DF7" s="66">
        <f t="shared" si="13"/>
        <v>48187.815439935723</v>
      </c>
      <c r="DG7" s="66">
        <f t="shared" si="13"/>
        <v>53118.517964969673</v>
      </c>
    </row>
    <row r="8" spans="1:114" s="114" customFormat="1" hidden="1" x14ac:dyDescent="0.3">
      <c r="B8" s="115" t="s">
        <v>207</v>
      </c>
      <c r="C8" s="542"/>
      <c r="D8" s="116">
        <f>0</f>
        <v>0</v>
      </c>
      <c r="E8" s="116">
        <f>0</f>
        <v>0</v>
      </c>
      <c r="F8" s="116">
        <f>0</f>
        <v>0</v>
      </c>
      <c r="G8" s="116">
        <f>0</f>
        <v>0</v>
      </c>
      <c r="H8" s="116">
        <f>0</f>
        <v>0</v>
      </c>
      <c r="I8" s="116">
        <f>0</f>
        <v>0</v>
      </c>
      <c r="J8" s="116">
        <f>0</f>
        <v>0</v>
      </c>
      <c r="K8" s="116">
        <v>0</v>
      </c>
      <c r="L8" s="116">
        <v>0</v>
      </c>
      <c r="M8" s="116"/>
      <c r="N8" s="116">
        <v>0</v>
      </c>
      <c r="O8" s="116">
        <v>0</v>
      </c>
      <c r="P8" s="116"/>
      <c r="Q8" s="116"/>
      <c r="R8" s="116"/>
      <c r="S8" s="116"/>
      <c r="T8" s="116"/>
      <c r="U8" s="116"/>
      <c r="V8" s="116"/>
      <c r="W8" s="116"/>
      <c r="X8" s="116"/>
      <c r="Y8" s="116"/>
      <c r="Z8" s="116"/>
      <c r="AA8" s="116"/>
      <c r="AB8" s="116"/>
      <c r="AC8" s="116"/>
      <c r="AD8" s="116"/>
      <c r="AE8" s="116"/>
      <c r="AF8" s="116"/>
      <c r="AG8" s="116"/>
      <c r="AH8" s="116"/>
      <c r="AI8" s="116"/>
      <c r="AJ8" s="116"/>
      <c r="AK8" s="287"/>
      <c r="AL8" s="116">
        <f>AK8</f>
        <v>0</v>
      </c>
      <c r="AM8" s="263">
        <f t="shared" ref="AM8:CA8" si="14">AL8</f>
        <v>0</v>
      </c>
      <c r="AN8" s="114">
        <f t="shared" si="14"/>
        <v>0</v>
      </c>
      <c r="AO8" s="114">
        <f t="shared" si="14"/>
        <v>0</v>
      </c>
      <c r="AP8" s="114">
        <f t="shared" si="14"/>
        <v>0</v>
      </c>
      <c r="AQ8" s="114">
        <f t="shared" si="14"/>
        <v>0</v>
      </c>
      <c r="AR8" s="114">
        <f t="shared" si="14"/>
        <v>0</v>
      </c>
      <c r="AS8" s="114">
        <f t="shared" si="14"/>
        <v>0</v>
      </c>
      <c r="AT8" s="114">
        <f t="shared" si="14"/>
        <v>0</v>
      </c>
      <c r="AU8" s="114">
        <f t="shared" si="14"/>
        <v>0</v>
      </c>
      <c r="AV8" s="114">
        <f t="shared" si="14"/>
        <v>0</v>
      </c>
      <c r="AW8" s="114">
        <f t="shared" si="14"/>
        <v>0</v>
      </c>
      <c r="AX8" s="114">
        <f t="shared" si="14"/>
        <v>0</v>
      </c>
      <c r="AY8" s="287">
        <f t="shared" si="14"/>
        <v>0</v>
      </c>
      <c r="AZ8" s="114">
        <f t="shared" si="14"/>
        <v>0</v>
      </c>
      <c r="BA8" s="114">
        <f t="shared" si="14"/>
        <v>0</v>
      </c>
      <c r="BB8" s="114">
        <f t="shared" si="14"/>
        <v>0</v>
      </c>
      <c r="BC8" s="114">
        <f t="shared" si="14"/>
        <v>0</v>
      </c>
      <c r="BD8" s="114">
        <f t="shared" si="14"/>
        <v>0</v>
      </c>
      <c r="BE8" s="114">
        <f t="shared" si="14"/>
        <v>0</v>
      </c>
      <c r="BF8" s="114">
        <f t="shared" si="14"/>
        <v>0</v>
      </c>
      <c r="BG8" s="114">
        <f t="shared" si="14"/>
        <v>0</v>
      </c>
      <c r="BH8" s="114">
        <f t="shared" si="14"/>
        <v>0</v>
      </c>
      <c r="BI8" s="114">
        <f t="shared" si="14"/>
        <v>0</v>
      </c>
      <c r="BJ8" s="114">
        <f t="shared" si="14"/>
        <v>0</v>
      </c>
      <c r="BK8" s="287">
        <f t="shared" si="14"/>
        <v>0</v>
      </c>
      <c r="BL8" s="114">
        <f t="shared" si="14"/>
        <v>0</v>
      </c>
      <c r="BM8" s="114">
        <f t="shared" si="14"/>
        <v>0</v>
      </c>
      <c r="BN8" s="114">
        <f t="shared" si="14"/>
        <v>0</v>
      </c>
      <c r="BO8" s="114">
        <f t="shared" si="14"/>
        <v>0</v>
      </c>
      <c r="BP8" s="114">
        <f t="shared" si="14"/>
        <v>0</v>
      </c>
      <c r="BQ8" s="114">
        <f t="shared" si="14"/>
        <v>0</v>
      </c>
      <c r="BR8" s="114">
        <f t="shared" si="14"/>
        <v>0</v>
      </c>
      <c r="BS8" s="114">
        <f t="shared" si="14"/>
        <v>0</v>
      </c>
      <c r="BT8" s="114">
        <f t="shared" si="14"/>
        <v>0</v>
      </c>
      <c r="BU8" s="114">
        <f t="shared" si="14"/>
        <v>0</v>
      </c>
      <c r="BV8" s="114">
        <f t="shared" si="14"/>
        <v>0</v>
      </c>
      <c r="BW8" s="287">
        <f t="shared" si="14"/>
        <v>0</v>
      </c>
      <c r="BX8" s="114">
        <f t="shared" si="14"/>
        <v>0</v>
      </c>
      <c r="BY8" s="114">
        <f t="shared" si="14"/>
        <v>0</v>
      </c>
      <c r="BZ8" s="114">
        <f t="shared" si="14"/>
        <v>0</v>
      </c>
      <c r="CA8" s="114">
        <f t="shared" si="14"/>
        <v>0</v>
      </c>
      <c r="CB8" s="114">
        <f t="shared" ref="CB8:DG8" si="15">CA8</f>
        <v>0</v>
      </c>
      <c r="CC8" s="114">
        <f t="shared" si="15"/>
        <v>0</v>
      </c>
      <c r="CD8" s="114">
        <f t="shared" si="15"/>
        <v>0</v>
      </c>
      <c r="CE8" s="114">
        <f t="shared" si="15"/>
        <v>0</v>
      </c>
      <c r="CF8" s="114">
        <f t="shared" si="15"/>
        <v>0</v>
      </c>
      <c r="CG8" s="114">
        <f t="shared" si="15"/>
        <v>0</v>
      </c>
      <c r="CH8" s="114">
        <f t="shared" si="15"/>
        <v>0</v>
      </c>
      <c r="CI8" s="287">
        <f t="shared" si="15"/>
        <v>0</v>
      </c>
      <c r="CJ8" s="114">
        <f t="shared" si="15"/>
        <v>0</v>
      </c>
      <c r="CK8" s="114">
        <f t="shared" si="15"/>
        <v>0</v>
      </c>
      <c r="CL8" s="114">
        <f t="shared" si="15"/>
        <v>0</v>
      </c>
      <c r="CM8" s="114">
        <f t="shared" si="15"/>
        <v>0</v>
      </c>
      <c r="CN8" s="114">
        <f t="shared" si="15"/>
        <v>0</v>
      </c>
      <c r="CO8" s="114">
        <f t="shared" si="15"/>
        <v>0</v>
      </c>
      <c r="CP8" s="114">
        <f t="shared" si="15"/>
        <v>0</v>
      </c>
      <c r="CQ8" s="114">
        <f t="shared" si="15"/>
        <v>0</v>
      </c>
      <c r="CR8" s="114">
        <f t="shared" si="15"/>
        <v>0</v>
      </c>
      <c r="CS8" s="114">
        <f t="shared" si="15"/>
        <v>0</v>
      </c>
      <c r="CT8" s="114">
        <f t="shared" si="15"/>
        <v>0</v>
      </c>
      <c r="CU8" s="287">
        <f t="shared" si="15"/>
        <v>0</v>
      </c>
      <c r="CV8" s="114">
        <f t="shared" si="15"/>
        <v>0</v>
      </c>
      <c r="CW8" s="114">
        <f t="shared" si="15"/>
        <v>0</v>
      </c>
      <c r="CX8" s="114">
        <f t="shared" si="15"/>
        <v>0</v>
      </c>
      <c r="CY8" s="114">
        <f t="shared" si="15"/>
        <v>0</v>
      </c>
      <c r="CZ8" s="114">
        <f t="shared" si="15"/>
        <v>0</v>
      </c>
      <c r="DA8" s="114">
        <f t="shared" si="15"/>
        <v>0</v>
      </c>
      <c r="DB8" s="114">
        <f t="shared" si="15"/>
        <v>0</v>
      </c>
      <c r="DC8" s="114">
        <f t="shared" si="15"/>
        <v>0</v>
      </c>
      <c r="DD8" s="114">
        <f t="shared" si="15"/>
        <v>0</v>
      </c>
      <c r="DE8" s="114">
        <f t="shared" si="15"/>
        <v>0</v>
      </c>
      <c r="DF8" s="114">
        <f t="shared" si="15"/>
        <v>0</v>
      </c>
      <c r="DG8" s="114">
        <f t="shared" si="15"/>
        <v>0</v>
      </c>
    </row>
    <row r="9" spans="1:114" s="3" customFormat="1" hidden="1" x14ac:dyDescent="0.3">
      <c r="B9" s="4" t="s">
        <v>3</v>
      </c>
      <c r="C9" s="543"/>
      <c r="D9" s="56">
        <f t="shared" ref="D9:J9" si="16">(D7)+(D8)</f>
        <v>0</v>
      </c>
      <c r="E9" s="56">
        <f t="shared" si="16"/>
        <v>0</v>
      </c>
      <c r="F9" s="56">
        <f t="shared" si="16"/>
        <v>0</v>
      </c>
      <c r="G9" s="56">
        <f t="shared" si="16"/>
        <v>0</v>
      </c>
      <c r="H9" s="56">
        <f t="shared" si="16"/>
        <v>0</v>
      </c>
      <c r="I9" s="56">
        <f t="shared" si="16"/>
        <v>0</v>
      </c>
      <c r="J9" s="56">
        <f t="shared" si="16"/>
        <v>0</v>
      </c>
      <c r="K9" s="56">
        <f t="shared" ref="K9:P9" si="17">K8+K7</f>
        <v>0</v>
      </c>
      <c r="L9" s="56">
        <f t="shared" si="17"/>
        <v>0</v>
      </c>
      <c r="M9" s="56">
        <f t="shared" si="17"/>
        <v>0</v>
      </c>
      <c r="N9" s="56">
        <f t="shared" si="17"/>
        <v>0</v>
      </c>
      <c r="O9" s="56">
        <f t="shared" si="17"/>
        <v>0</v>
      </c>
      <c r="P9" s="56">
        <f t="shared" si="17"/>
        <v>0</v>
      </c>
      <c r="Q9" s="56">
        <f t="shared" ref="Q9:V9" si="18">Q8+Q7</f>
        <v>0</v>
      </c>
      <c r="R9" s="56">
        <f t="shared" si="18"/>
        <v>0</v>
      </c>
      <c r="S9" s="56">
        <f t="shared" si="18"/>
        <v>0</v>
      </c>
      <c r="T9" s="56">
        <f t="shared" si="18"/>
        <v>0</v>
      </c>
      <c r="U9" s="56">
        <f t="shared" si="18"/>
        <v>0</v>
      </c>
      <c r="V9" s="56">
        <f t="shared" si="18"/>
        <v>0</v>
      </c>
      <c r="W9" s="56">
        <f t="shared" ref="W9:AE9" si="19">W8+W7</f>
        <v>2014.46</v>
      </c>
      <c r="X9" s="56">
        <f t="shared" si="19"/>
        <v>8867.16</v>
      </c>
      <c r="Y9" s="56">
        <f t="shared" si="19"/>
        <v>8353.65</v>
      </c>
      <c r="Z9" s="56">
        <f t="shared" si="19"/>
        <v>9035.31</v>
      </c>
      <c r="AA9" s="56">
        <f t="shared" si="19"/>
        <v>10591.1</v>
      </c>
      <c r="AB9" s="56">
        <f t="shared" si="19"/>
        <v>5462.33</v>
      </c>
      <c r="AC9" s="56">
        <f t="shared" si="19"/>
        <v>7159.01</v>
      </c>
      <c r="AD9" s="56">
        <f t="shared" si="19"/>
        <v>10245.86</v>
      </c>
      <c r="AE9" s="56">
        <f t="shared" si="19"/>
        <v>11516.18</v>
      </c>
      <c r="AF9" s="56">
        <f t="shared" ref="AF9:AS9" si="20">AF8+AF7</f>
        <v>10859.23</v>
      </c>
      <c r="AG9" s="56">
        <f t="shared" si="20"/>
        <v>12228.82</v>
      </c>
      <c r="AH9" s="56">
        <f t="shared" si="20"/>
        <v>12216.94</v>
      </c>
      <c r="AI9" s="56">
        <f t="shared" ref="AI9:AJ9" si="21">AI8+AI7</f>
        <v>12073.09</v>
      </c>
      <c r="AJ9" s="56">
        <f t="shared" si="21"/>
        <v>9051.9699999999993</v>
      </c>
      <c r="AK9" s="288">
        <f t="shared" ref="AK9" si="22">AK8+AK7</f>
        <v>11082.04</v>
      </c>
      <c r="AL9" s="56">
        <f t="shared" ref="AL9" si="23">AL8+AL7</f>
        <v>10409.198876581397</v>
      </c>
      <c r="AM9" s="600">
        <f t="shared" si="20"/>
        <v>11983.271405198868</v>
      </c>
      <c r="AN9" s="56">
        <f t="shared" si="20"/>
        <v>10021.569450579356</v>
      </c>
      <c r="AO9" s="56">
        <f t="shared" si="20"/>
        <v>9688.5549344424253</v>
      </c>
      <c r="AP9" s="56">
        <f t="shared" si="20"/>
        <v>11627.123748894317</v>
      </c>
      <c r="AQ9" s="56">
        <f t="shared" si="20"/>
        <v>9280.768166760201</v>
      </c>
      <c r="AR9" s="56">
        <f t="shared" si="20"/>
        <v>10253.604918498093</v>
      </c>
      <c r="AS9" s="56">
        <f t="shared" si="20"/>
        <v>13087.066310042132</v>
      </c>
      <c r="AT9" s="56">
        <f t="shared" ref="AT9:BY9" si="24">AT8+AT7</f>
        <v>12592.577854958859</v>
      </c>
      <c r="AU9" s="56">
        <f t="shared" si="24"/>
        <v>14720.358716173454</v>
      </c>
      <c r="AV9" s="56">
        <f t="shared" si="24"/>
        <v>14767.597553539263</v>
      </c>
      <c r="AW9" s="56">
        <f t="shared" si="24"/>
        <v>13583.523210354369</v>
      </c>
      <c r="AX9" s="56">
        <f t="shared" si="24"/>
        <v>14985.309775819267</v>
      </c>
      <c r="AY9" s="288">
        <f t="shared" si="24"/>
        <v>18197.379323408844</v>
      </c>
      <c r="AZ9" s="56">
        <f t="shared" si="24"/>
        <v>13186.115597612657</v>
      </c>
      <c r="BA9" s="56">
        <f t="shared" si="24"/>
        <v>13317.359146251771</v>
      </c>
      <c r="BB9" s="56">
        <f t="shared" si="24"/>
        <v>16370.990238443199</v>
      </c>
      <c r="BC9" s="56">
        <f t="shared" si="24"/>
        <v>12743.208598205354</v>
      </c>
      <c r="BD9" s="56">
        <f t="shared" si="24"/>
        <v>12972.491140739188</v>
      </c>
      <c r="BE9" s="56">
        <f t="shared" si="24"/>
        <v>17731.378866410738</v>
      </c>
      <c r="BF9" s="56">
        <f t="shared" si="24"/>
        <v>16919.040594544334</v>
      </c>
      <c r="BG9" s="56">
        <f t="shared" si="24"/>
        <v>18883.026192751753</v>
      </c>
      <c r="BH9" s="56">
        <f t="shared" si="24"/>
        <v>19030.063211038094</v>
      </c>
      <c r="BI9" s="56">
        <f t="shared" si="24"/>
        <v>16818.632844511234</v>
      </c>
      <c r="BJ9" s="56">
        <f t="shared" si="24"/>
        <v>22407.611096706278</v>
      </c>
      <c r="BK9" s="288">
        <f t="shared" si="24"/>
        <v>25588.938598090503</v>
      </c>
      <c r="BL9" s="56">
        <f t="shared" si="24"/>
        <v>16265.949590341766</v>
      </c>
      <c r="BM9" s="56">
        <f t="shared" si="24"/>
        <v>17284.822391905946</v>
      </c>
      <c r="BN9" s="56">
        <f t="shared" si="24"/>
        <v>21902.013005792225</v>
      </c>
      <c r="BO9" s="56">
        <f t="shared" si="24"/>
        <v>16430.306085994922</v>
      </c>
      <c r="BP9" s="56">
        <f t="shared" si="24"/>
        <v>16539.926204442465</v>
      </c>
      <c r="BQ9" s="56">
        <f t="shared" si="24"/>
        <v>22212.502089827914</v>
      </c>
      <c r="BR9" s="56">
        <f t="shared" si="24"/>
        <v>20174.195139274521</v>
      </c>
      <c r="BS9" s="56">
        <f t="shared" si="24"/>
        <v>24620.841487614929</v>
      </c>
      <c r="BT9" s="56">
        <f t="shared" si="24"/>
        <v>23764.085108598811</v>
      </c>
      <c r="BU9" s="56">
        <f t="shared" si="24"/>
        <v>20112.473170809484</v>
      </c>
      <c r="BV9" s="56">
        <f t="shared" si="24"/>
        <v>29293.642352963328</v>
      </c>
      <c r="BW9" s="288">
        <f t="shared" si="24"/>
        <v>32089.772189305808</v>
      </c>
      <c r="BX9" s="56">
        <f t="shared" si="24"/>
        <v>20445.829424975269</v>
      </c>
      <c r="BY9" s="56">
        <f t="shared" si="24"/>
        <v>22910.643657496239</v>
      </c>
      <c r="BZ9" s="56">
        <f t="shared" ref="BZ9:DE9" si="25">BZ8+BZ7</f>
        <v>27360.668554928139</v>
      </c>
      <c r="CA9" s="56">
        <f t="shared" si="25"/>
        <v>18688.690564336634</v>
      </c>
      <c r="CB9" s="56">
        <f t="shared" si="25"/>
        <v>22479.263341492264</v>
      </c>
      <c r="CC9" s="56">
        <f t="shared" si="25"/>
        <v>27194.185649807994</v>
      </c>
      <c r="CD9" s="56">
        <f t="shared" si="25"/>
        <v>23481.34325741366</v>
      </c>
      <c r="CE9" s="56">
        <f t="shared" si="25"/>
        <v>31252.684229152317</v>
      </c>
      <c r="CF9" s="56">
        <f t="shared" si="25"/>
        <v>27691.625314971199</v>
      </c>
      <c r="CG9" s="56">
        <f t="shared" si="25"/>
        <v>25704.898264707233</v>
      </c>
      <c r="CH9" s="56">
        <f t="shared" si="25"/>
        <v>35635.858124527229</v>
      </c>
      <c r="CI9" s="288">
        <f t="shared" si="25"/>
        <v>35665.759919937234</v>
      </c>
      <c r="CJ9" s="56">
        <f t="shared" si="25"/>
        <v>27384.273547105426</v>
      </c>
      <c r="CK9" s="56">
        <f t="shared" si="25"/>
        <v>26764.770627916168</v>
      </c>
      <c r="CL9" s="56">
        <f t="shared" si="25"/>
        <v>31862.154860095201</v>
      </c>
      <c r="CM9" s="56">
        <f t="shared" si="25"/>
        <v>24021.071721336808</v>
      </c>
      <c r="CN9" s="56">
        <f t="shared" si="25"/>
        <v>27234.49212526948</v>
      </c>
      <c r="CO9" s="56">
        <f t="shared" si="25"/>
        <v>31232.843340699081</v>
      </c>
      <c r="CP9" s="56">
        <f t="shared" si="25"/>
        <v>29416.905025259894</v>
      </c>
      <c r="CQ9" s="56">
        <f t="shared" si="25"/>
        <v>37344.756760581447</v>
      </c>
      <c r="CR9" s="56">
        <f t="shared" si="25"/>
        <v>31565.156237005864</v>
      </c>
      <c r="CS9" s="56">
        <f t="shared" si="25"/>
        <v>32235.483415592291</v>
      </c>
      <c r="CT9" s="56">
        <f t="shared" si="25"/>
        <v>42643.579945663332</v>
      </c>
      <c r="CU9" s="288">
        <f t="shared" si="25"/>
        <v>42814.554781082545</v>
      </c>
      <c r="CV9" s="56">
        <f t="shared" si="25"/>
        <v>33016.935330156601</v>
      </c>
      <c r="CW9" s="56">
        <f t="shared" si="25"/>
        <v>32262.254514890144</v>
      </c>
      <c r="CX9" s="56">
        <f t="shared" si="25"/>
        <v>36445.771882761976</v>
      </c>
      <c r="CY9" s="56">
        <f t="shared" si="25"/>
        <v>30295.541317513576</v>
      </c>
      <c r="CZ9" s="56">
        <f t="shared" si="25"/>
        <v>32633.32968186701</v>
      </c>
      <c r="DA9" s="56">
        <f t="shared" si="25"/>
        <v>35306.692472094626</v>
      </c>
      <c r="DB9" s="56">
        <f t="shared" si="25"/>
        <v>36404.77884279022</v>
      </c>
      <c r="DC9" s="56">
        <f t="shared" si="25"/>
        <v>42241.935636256065</v>
      </c>
      <c r="DD9" s="56">
        <f t="shared" si="25"/>
        <v>39252.878883971687</v>
      </c>
      <c r="DE9" s="56">
        <f t="shared" si="25"/>
        <v>38250.152882160124</v>
      </c>
      <c r="DF9" s="56">
        <f>DF8+DF7</f>
        <v>48187.815439935723</v>
      </c>
      <c r="DG9" s="56">
        <f>DG8+DG7</f>
        <v>53118.517964969673</v>
      </c>
    </row>
    <row r="10" spans="1:114" hidden="1" x14ac:dyDescent="0.3">
      <c r="B10" s="1"/>
      <c r="C10" s="540"/>
      <c r="D10" s="58"/>
      <c r="E10" s="58"/>
      <c r="F10" s="58"/>
      <c r="G10" s="58"/>
      <c r="H10" s="58"/>
      <c r="I10" s="58"/>
      <c r="J10" s="58"/>
      <c r="K10" s="58"/>
      <c r="L10" s="58"/>
      <c r="M10" s="58"/>
      <c r="N10" s="58"/>
      <c r="O10" s="58"/>
      <c r="P10" s="58"/>
      <c r="Q10" s="58"/>
      <c r="R10" s="58"/>
      <c r="S10" s="58"/>
      <c r="T10" s="58"/>
      <c r="U10" s="58"/>
      <c r="V10" s="58"/>
      <c r="W10" s="58"/>
      <c r="X10" s="58"/>
      <c r="Y10" s="58"/>
      <c r="Z10" s="58"/>
      <c r="AA10" s="58"/>
      <c r="AB10" s="58"/>
      <c r="AC10" s="58"/>
      <c r="AD10" s="58"/>
      <c r="AE10" s="58"/>
      <c r="AF10" s="58"/>
      <c r="AG10" s="58"/>
      <c r="AH10" s="58"/>
      <c r="AI10" s="58"/>
      <c r="AJ10" s="58"/>
      <c r="AK10" s="289"/>
      <c r="AL10" s="58"/>
      <c r="AM10" s="601"/>
      <c r="AN10" s="58"/>
      <c r="AO10" s="58"/>
      <c r="AP10" s="58"/>
      <c r="AQ10" s="58"/>
      <c r="AR10" s="58"/>
      <c r="AS10" s="58"/>
      <c r="AT10" s="58"/>
      <c r="AU10" s="58"/>
      <c r="AV10" s="58"/>
      <c r="AW10" s="58"/>
      <c r="AX10" s="58"/>
      <c r="AY10" s="289"/>
      <c r="AZ10" s="58"/>
      <c r="BA10" s="58"/>
      <c r="BB10" s="58"/>
      <c r="BC10" s="58"/>
      <c r="BD10" s="58"/>
      <c r="BE10" s="58"/>
      <c r="BF10" s="58"/>
      <c r="BG10" s="58"/>
      <c r="BH10" s="58"/>
      <c r="BI10" s="58"/>
      <c r="BJ10" s="58"/>
      <c r="BK10" s="289"/>
      <c r="BL10" s="58"/>
      <c r="BM10" s="58"/>
      <c r="BN10" s="58"/>
      <c r="BO10" s="58"/>
      <c r="BP10" s="58"/>
      <c r="BQ10" s="58"/>
      <c r="BR10" s="58"/>
      <c r="BS10" s="58"/>
      <c r="BT10" s="58"/>
      <c r="BU10" s="58"/>
      <c r="BV10" s="58"/>
      <c r="BW10" s="289"/>
      <c r="BX10" s="58"/>
      <c r="BY10" s="58"/>
      <c r="BZ10" s="58"/>
      <c r="CA10" s="58"/>
      <c r="CB10" s="58"/>
      <c r="CC10" s="58"/>
      <c r="CD10" s="58"/>
      <c r="CE10" s="58"/>
      <c r="CF10" s="58"/>
      <c r="CG10" s="58"/>
      <c r="CH10" s="58"/>
      <c r="CI10" s="289"/>
      <c r="CJ10" s="58"/>
      <c r="CK10" s="58"/>
      <c r="CL10" s="58"/>
      <c r="CM10" s="58"/>
      <c r="CN10" s="58"/>
      <c r="CO10" s="58"/>
      <c r="CP10" s="58"/>
      <c r="CQ10" s="58"/>
      <c r="CR10" s="58"/>
      <c r="CS10" s="58"/>
      <c r="CT10" s="58"/>
      <c r="CU10" s="289"/>
      <c r="CV10" s="58"/>
      <c r="CW10" s="58"/>
      <c r="CX10" s="58"/>
      <c r="CY10" s="58"/>
      <c r="CZ10" s="58"/>
      <c r="DA10" s="58"/>
      <c r="DB10" s="58"/>
      <c r="DC10" s="58"/>
      <c r="DD10" s="58"/>
      <c r="DE10" s="58"/>
      <c r="DF10" s="58"/>
      <c r="DG10" s="58"/>
    </row>
    <row r="11" spans="1:114" s="3" customFormat="1" x14ac:dyDescent="0.3">
      <c r="A11" s="146"/>
      <c r="B11" s="146"/>
      <c r="C11" s="544" t="s">
        <v>280</v>
      </c>
      <c r="D11" s="147"/>
      <c r="E11" s="148">
        <v>12</v>
      </c>
      <c r="F11" s="148">
        <v>8</v>
      </c>
      <c r="G11" s="148">
        <v>7</v>
      </c>
      <c r="H11" s="148">
        <v>10</v>
      </c>
      <c r="I11" s="148">
        <v>13</v>
      </c>
      <c r="J11" s="148">
        <v>11</v>
      </c>
      <c r="K11" s="148">
        <v>5</v>
      </c>
      <c r="L11" s="148">
        <v>9</v>
      </c>
      <c r="M11" s="148">
        <v>17</v>
      </c>
      <c r="N11" s="148">
        <v>11</v>
      </c>
      <c r="O11" s="148">
        <v>7</v>
      </c>
      <c r="P11" s="148">
        <v>12</v>
      </c>
      <c r="Q11" s="148">
        <v>10</v>
      </c>
      <c r="R11" s="148">
        <v>10</v>
      </c>
      <c r="S11" s="148">
        <v>7</v>
      </c>
      <c r="T11" s="148">
        <v>9</v>
      </c>
      <c r="U11" s="148">
        <v>12</v>
      </c>
      <c r="V11" s="148">
        <f>99-24</f>
        <v>75</v>
      </c>
      <c r="W11" s="148">
        <v>177</v>
      </c>
      <c r="X11" s="148">
        <v>191</v>
      </c>
      <c r="Y11" s="148">
        <v>190</v>
      </c>
      <c r="Z11" s="148">
        <v>188</v>
      </c>
      <c r="AA11" s="148">
        <v>207</v>
      </c>
      <c r="AB11" s="148">
        <v>167</v>
      </c>
      <c r="AC11" s="148">
        <v>193</v>
      </c>
      <c r="AD11" s="148">
        <v>215</v>
      </c>
      <c r="AE11" s="148">
        <v>196</v>
      </c>
      <c r="AF11" s="148">
        <v>215</v>
      </c>
      <c r="AG11" s="148">
        <v>231</v>
      </c>
      <c r="AH11" s="148">
        <v>220</v>
      </c>
      <c r="AI11" s="148">
        <v>270</v>
      </c>
      <c r="AJ11" s="148">
        <v>183</v>
      </c>
      <c r="AK11" s="608">
        <v>213</v>
      </c>
      <c r="AL11" s="149">
        <f>+AL12*AL22</f>
        <v>228.47884785850385</v>
      </c>
      <c r="AM11" s="602">
        <f t="shared" ref="AM11:CS11" si="26">+AM12*AM22</f>
        <v>239.65115270353829</v>
      </c>
      <c r="AN11" s="149">
        <f t="shared" si="26"/>
        <v>210.27402200489374</v>
      </c>
      <c r="AO11" s="149">
        <f t="shared" si="26"/>
        <v>179.30342961657607</v>
      </c>
      <c r="AP11" s="149">
        <f t="shared" si="26"/>
        <v>203.7538972915637</v>
      </c>
      <c r="AQ11" s="149">
        <f t="shared" si="26"/>
        <v>169.523242546581</v>
      </c>
      <c r="AR11" s="149">
        <f t="shared" si="26"/>
        <v>198.86380375656617</v>
      </c>
      <c r="AS11" s="149">
        <f t="shared" si="26"/>
        <v>267.3251132465316</v>
      </c>
      <c r="AT11" s="149">
        <f t="shared" si="26"/>
        <v>312.96598623984187</v>
      </c>
      <c r="AU11" s="149">
        <f t="shared" si="26"/>
        <v>345.56660980649201</v>
      </c>
      <c r="AV11" s="149">
        <f t="shared" si="26"/>
        <v>322.74617330983693</v>
      </c>
      <c r="AW11" s="149">
        <f t="shared" si="26"/>
        <v>308.07589270484431</v>
      </c>
      <c r="AX11" s="149">
        <f t="shared" si="26"/>
        <v>347.19664098482451</v>
      </c>
      <c r="AY11" s="150">
        <f t="shared" si="26"/>
        <v>329.26629802316694</v>
      </c>
      <c r="AZ11" s="149">
        <f t="shared" si="26"/>
        <v>275.47526913819416</v>
      </c>
      <c r="BA11" s="149">
        <f t="shared" si="26"/>
        <v>234.72448967988137</v>
      </c>
      <c r="BB11" s="149">
        <f t="shared" si="26"/>
        <v>260.80498853320154</v>
      </c>
      <c r="BC11" s="149">
        <f t="shared" si="26"/>
        <v>221.6842402532213</v>
      </c>
      <c r="BD11" s="149">
        <f t="shared" si="26"/>
        <v>251.02480146320647</v>
      </c>
      <c r="BE11" s="149">
        <f t="shared" si="26"/>
        <v>329.26629802316694</v>
      </c>
      <c r="BF11" s="149">
        <f t="shared" si="26"/>
        <v>383.05732690813977</v>
      </c>
      <c r="BG11" s="149">
        <f t="shared" si="26"/>
        <v>422.17807518811998</v>
      </c>
      <c r="BH11" s="149">
        <f t="shared" si="26"/>
        <v>396.09757633479984</v>
      </c>
      <c r="BI11" s="149">
        <f t="shared" si="26"/>
        <v>379.79726455147477</v>
      </c>
      <c r="BJ11" s="149">
        <f t="shared" si="26"/>
        <v>423.80810636645248</v>
      </c>
      <c r="BK11" s="150">
        <f t="shared" si="26"/>
        <v>402.61770104812985</v>
      </c>
      <c r="BL11" s="149">
        <f t="shared" si="26"/>
        <v>339.046485093162</v>
      </c>
      <c r="BM11" s="149">
        <f t="shared" si="26"/>
        <v>290.14554974318668</v>
      </c>
      <c r="BN11" s="149">
        <f t="shared" si="26"/>
        <v>317.85607977483937</v>
      </c>
      <c r="BO11" s="149">
        <f t="shared" si="26"/>
        <v>272.2152067815291</v>
      </c>
      <c r="BP11" s="149">
        <f t="shared" si="26"/>
        <v>304.8158303481793</v>
      </c>
      <c r="BQ11" s="149">
        <f t="shared" si="26"/>
        <v>392.83751397813484</v>
      </c>
      <c r="BR11" s="149">
        <f t="shared" si="26"/>
        <v>454.77869875477023</v>
      </c>
      <c r="BS11" s="149">
        <f t="shared" si="26"/>
        <v>500.41957174808039</v>
      </c>
      <c r="BT11" s="149">
        <f t="shared" si="26"/>
        <v>471.0790105380953</v>
      </c>
      <c r="BU11" s="149">
        <f t="shared" si="26"/>
        <v>453.14866757643767</v>
      </c>
      <c r="BV11" s="149">
        <f t="shared" si="26"/>
        <v>503.6796341047455</v>
      </c>
      <c r="BW11" s="150">
        <f t="shared" si="26"/>
        <v>480.85919760809031</v>
      </c>
      <c r="BX11" s="149">
        <f t="shared" si="26"/>
        <v>405.87776340479491</v>
      </c>
      <c r="BY11" s="149">
        <f t="shared" si="26"/>
        <v>348.82667216315707</v>
      </c>
      <c r="BZ11" s="149">
        <f t="shared" si="26"/>
        <v>378.16723337314227</v>
      </c>
      <c r="CA11" s="149">
        <f t="shared" si="26"/>
        <v>324.37620448816944</v>
      </c>
      <c r="CB11" s="149">
        <f t="shared" si="26"/>
        <v>360.23689041148464</v>
      </c>
      <c r="CC11" s="149">
        <f t="shared" si="26"/>
        <v>458.03876111143524</v>
      </c>
      <c r="CD11" s="149">
        <f t="shared" si="26"/>
        <v>528.13010177973308</v>
      </c>
      <c r="CE11" s="149">
        <f t="shared" si="26"/>
        <v>578.66106830804097</v>
      </c>
      <c r="CF11" s="149">
        <f t="shared" si="26"/>
        <v>547.69047591972321</v>
      </c>
      <c r="CG11" s="149">
        <f t="shared" si="26"/>
        <v>526.50007060140058</v>
      </c>
      <c r="CH11" s="149">
        <f t="shared" si="26"/>
        <v>583.55116184303836</v>
      </c>
      <c r="CI11" s="150">
        <f t="shared" si="26"/>
        <v>557.47066298971833</v>
      </c>
      <c r="CJ11" s="149">
        <f t="shared" si="26"/>
        <v>472.70904171642775</v>
      </c>
      <c r="CK11" s="149">
        <f t="shared" si="26"/>
        <v>407.50779458312741</v>
      </c>
      <c r="CL11" s="149">
        <f t="shared" si="26"/>
        <v>438.4783869714451</v>
      </c>
      <c r="CM11" s="149">
        <f t="shared" si="26"/>
        <v>378.16723337314227</v>
      </c>
      <c r="CN11" s="149">
        <f t="shared" si="26"/>
        <v>415.65795047478997</v>
      </c>
      <c r="CO11" s="149">
        <f t="shared" si="26"/>
        <v>524.87003942306808</v>
      </c>
      <c r="CP11" s="149">
        <f t="shared" si="26"/>
        <v>601.48150480469599</v>
      </c>
      <c r="CQ11" s="149">
        <f t="shared" si="26"/>
        <v>658.53259604633388</v>
      </c>
      <c r="CR11" s="149">
        <f t="shared" si="26"/>
        <v>624.30194130135123</v>
      </c>
      <c r="CS11" s="149">
        <f t="shared" si="26"/>
        <v>601.48150480469599</v>
      </c>
      <c r="CT11" s="149">
        <f t="shared" ref="CT11:DG11" si="27">+CT12*CT22</f>
        <v>665.052720759664</v>
      </c>
      <c r="CU11" s="150">
        <f t="shared" si="27"/>
        <v>637.34219072801125</v>
      </c>
      <c r="CV11" s="149">
        <f t="shared" si="27"/>
        <v>542.80038238472571</v>
      </c>
      <c r="CW11" s="149">
        <f t="shared" si="27"/>
        <v>467.8189481814303</v>
      </c>
      <c r="CX11" s="149">
        <f t="shared" si="27"/>
        <v>500.41957174808039</v>
      </c>
      <c r="CY11" s="149">
        <f t="shared" si="27"/>
        <v>433.5882934364476</v>
      </c>
      <c r="CZ11" s="149">
        <f t="shared" si="27"/>
        <v>474.33907289476031</v>
      </c>
      <c r="DA11" s="149">
        <f t="shared" si="27"/>
        <v>593.33134891303359</v>
      </c>
      <c r="DB11" s="149">
        <f t="shared" si="27"/>
        <v>678.09297018632401</v>
      </c>
      <c r="DC11" s="149">
        <f t="shared" si="27"/>
        <v>741.66418614129191</v>
      </c>
      <c r="DD11" s="149">
        <f t="shared" si="27"/>
        <v>704.17346903964426</v>
      </c>
      <c r="DE11" s="149">
        <f t="shared" si="27"/>
        <v>679.72300136465651</v>
      </c>
      <c r="DF11" s="149">
        <f t="shared" si="27"/>
        <v>749.81434203295441</v>
      </c>
      <c r="DG11" s="150">
        <f t="shared" si="27"/>
        <v>718.84374964463666</v>
      </c>
    </row>
    <row r="12" spans="1:114" x14ac:dyDescent="0.3">
      <c r="A12" s="35"/>
      <c r="B12" s="35"/>
      <c r="C12" s="545" t="s">
        <v>230</v>
      </c>
      <c r="D12" s="15"/>
      <c r="E12" s="50"/>
      <c r="F12" s="50"/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>
        <v>123</v>
      </c>
      <c r="X12" s="50">
        <v>123</v>
      </c>
      <c r="Y12" s="50">
        <v>129</v>
      </c>
      <c r="Z12" s="50">
        <v>127</v>
      </c>
      <c r="AA12" s="50">
        <v>126</v>
      </c>
      <c r="AB12" s="50">
        <v>117</v>
      </c>
      <c r="AC12" s="50">
        <v>134</v>
      </c>
      <c r="AD12" s="50">
        <v>145</v>
      </c>
      <c r="AE12" s="50">
        <v>141</v>
      </c>
      <c r="AF12" s="50">
        <v>139</v>
      </c>
      <c r="AG12" s="50">
        <v>150</v>
      </c>
      <c r="AH12" s="50">
        <v>146</v>
      </c>
      <c r="AI12" s="50">
        <v>163</v>
      </c>
      <c r="AJ12" s="50">
        <v>125</v>
      </c>
      <c r="AK12" s="609">
        <v>134</v>
      </c>
      <c r="AL12" s="149">
        <f>+AL18*AL21</f>
        <v>154.3447536065425</v>
      </c>
      <c r="AM12" s="602">
        <f t="shared" ref="AM12:CS12" si="28">+AM18*AM21</f>
        <v>145.87461468911027</v>
      </c>
      <c r="AN12" s="149">
        <f t="shared" si="28"/>
        <v>121.405324483195</v>
      </c>
      <c r="AO12" s="149">
        <f t="shared" si="28"/>
        <v>103.52392010194923</v>
      </c>
      <c r="AP12" s="149">
        <f t="shared" si="28"/>
        <v>117.64081829766958</v>
      </c>
      <c r="AQ12" s="149">
        <f t="shared" si="28"/>
        <v>97.877160823661086</v>
      </c>
      <c r="AR12" s="149">
        <f t="shared" si="28"/>
        <v>114.8174386585255</v>
      </c>
      <c r="AS12" s="149">
        <f t="shared" si="28"/>
        <v>154.3447536065425</v>
      </c>
      <c r="AT12" s="149">
        <f t="shared" si="28"/>
        <v>180.69629690522046</v>
      </c>
      <c r="AU12" s="149">
        <f t="shared" si="28"/>
        <v>199.51882783284759</v>
      </c>
      <c r="AV12" s="149">
        <f t="shared" si="28"/>
        <v>186.34305618350862</v>
      </c>
      <c r="AW12" s="149">
        <f t="shared" si="28"/>
        <v>177.8729172660764</v>
      </c>
      <c r="AX12" s="149">
        <f t="shared" si="28"/>
        <v>200.45995437922895</v>
      </c>
      <c r="AY12" s="150">
        <f t="shared" si="28"/>
        <v>190.10756236903404</v>
      </c>
      <c r="AZ12" s="149">
        <f t="shared" si="28"/>
        <v>159.05038633844927</v>
      </c>
      <c r="BA12" s="149">
        <f t="shared" si="28"/>
        <v>135.52222267891534</v>
      </c>
      <c r="BB12" s="149">
        <f t="shared" si="28"/>
        <v>150.58024742101705</v>
      </c>
      <c r="BC12" s="149">
        <f t="shared" si="28"/>
        <v>127.9932103078645</v>
      </c>
      <c r="BD12" s="149">
        <f t="shared" si="28"/>
        <v>144.93348814272892</v>
      </c>
      <c r="BE12" s="149">
        <f t="shared" si="28"/>
        <v>190.10756236903404</v>
      </c>
      <c r="BF12" s="149">
        <f t="shared" si="28"/>
        <v>221.16473839961881</v>
      </c>
      <c r="BG12" s="149">
        <f t="shared" si="28"/>
        <v>243.75177551277136</v>
      </c>
      <c r="BH12" s="149">
        <f t="shared" si="28"/>
        <v>228.69375077066965</v>
      </c>
      <c r="BI12" s="149">
        <f t="shared" si="28"/>
        <v>219.2824853068561</v>
      </c>
      <c r="BJ12" s="149">
        <f t="shared" si="28"/>
        <v>244.69290205915271</v>
      </c>
      <c r="BK12" s="150">
        <f t="shared" si="28"/>
        <v>232.45825695619507</v>
      </c>
      <c r="BL12" s="149">
        <f t="shared" si="28"/>
        <v>195.75432164732217</v>
      </c>
      <c r="BM12" s="149">
        <f t="shared" si="28"/>
        <v>167.52052525588147</v>
      </c>
      <c r="BN12" s="149">
        <f t="shared" si="28"/>
        <v>183.51967654436453</v>
      </c>
      <c r="BO12" s="149">
        <f t="shared" si="28"/>
        <v>157.16813324568656</v>
      </c>
      <c r="BP12" s="149">
        <f t="shared" si="28"/>
        <v>175.99066417331369</v>
      </c>
      <c r="BQ12" s="149">
        <f t="shared" si="28"/>
        <v>226.81149767790694</v>
      </c>
      <c r="BR12" s="149">
        <f t="shared" si="28"/>
        <v>262.57430644039852</v>
      </c>
      <c r="BS12" s="149">
        <f t="shared" si="28"/>
        <v>288.92584973907645</v>
      </c>
      <c r="BT12" s="149">
        <f t="shared" si="28"/>
        <v>271.98557190421207</v>
      </c>
      <c r="BU12" s="149">
        <f t="shared" si="28"/>
        <v>261.63317989401713</v>
      </c>
      <c r="BV12" s="149">
        <f t="shared" si="28"/>
        <v>290.80810283183922</v>
      </c>
      <c r="BW12" s="150">
        <f t="shared" si="28"/>
        <v>277.6323311825002</v>
      </c>
      <c r="BX12" s="149">
        <f t="shared" si="28"/>
        <v>234.34051004895781</v>
      </c>
      <c r="BY12" s="149">
        <f t="shared" si="28"/>
        <v>201.40108092561033</v>
      </c>
      <c r="BZ12" s="149">
        <f t="shared" si="28"/>
        <v>218.34135876047475</v>
      </c>
      <c r="CA12" s="149">
        <f t="shared" si="28"/>
        <v>187.28418272988998</v>
      </c>
      <c r="CB12" s="149">
        <f t="shared" si="28"/>
        <v>207.98896675027981</v>
      </c>
      <c r="CC12" s="149">
        <f t="shared" si="28"/>
        <v>264.45655953316123</v>
      </c>
      <c r="CD12" s="149">
        <f t="shared" si="28"/>
        <v>304.92500102755952</v>
      </c>
      <c r="CE12" s="149">
        <f t="shared" si="28"/>
        <v>334.09992396538161</v>
      </c>
      <c r="CF12" s="149">
        <f t="shared" si="28"/>
        <v>316.21851958413583</v>
      </c>
      <c r="CG12" s="149">
        <f t="shared" si="28"/>
        <v>303.98387448117819</v>
      </c>
      <c r="CH12" s="149">
        <f t="shared" si="28"/>
        <v>336.92330360452564</v>
      </c>
      <c r="CI12" s="150">
        <f t="shared" si="28"/>
        <v>321.86527886242396</v>
      </c>
      <c r="CJ12" s="149">
        <f t="shared" si="28"/>
        <v>272.92669845059339</v>
      </c>
      <c r="CK12" s="149">
        <f t="shared" si="28"/>
        <v>235.28163659533917</v>
      </c>
      <c r="CL12" s="149">
        <f t="shared" si="28"/>
        <v>253.16304097658494</v>
      </c>
      <c r="CM12" s="149">
        <f t="shared" si="28"/>
        <v>218.34135876047475</v>
      </c>
      <c r="CN12" s="149">
        <f t="shared" si="28"/>
        <v>239.98726932724594</v>
      </c>
      <c r="CO12" s="149">
        <f t="shared" si="28"/>
        <v>303.04274793479681</v>
      </c>
      <c r="CP12" s="149">
        <f t="shared" si="28"/>
        <v>347.27569561472058</v>
      </c>
      <c r="CQ12" s="149">
        <f t="shared" si="28"/>
        <v>380.21512473806808</v>
      </c>
      <c r="CR12" s="149">
        <f t="shared" si="28"/>
        <v>360.4514672640596</v>
      </c>
      <c r="CS12" s="149">
        <f t="shared" si="28"/>
        <v>347.27569561472058</v>
      </c>
      <c r="CT12" s="149">
        <f t="shared" ref="CT12:DG12" si="29">+CT18*CT21</f>
        <v>383.9796309235935</v>
      </c>
      <c r="CU12" s="150">
        <f t="shared" si="29"/>
        <v>367.98047963511044</v>
      </c>
      <c r="CV12" s="149">
        <f t="shared" si="29"/>
        <v>313.39513994499174</v>
      </c>
      <c r="CW12" s="149">
        <f t="shared" si="29"/>
        <v>270.10331881144936</v>
      </c>
      <c r="CX12" s="149">
        <f t="shared" si="29"/>
        <v>288.92584973907645</v>
      </c>
      <c r="CY12" s="149">
        <f t="shared" si="29"/>
        <v>250.33966133744087</v>
      </c>
      <c r="CZ12" s="149">
        <f t="shared" si="29"/>
        <v>273.86782499697478</v>
      </c>
      <c r="DA12" s="149">
        <f t="shared" si="29"/>
        <v>342.57006288281383</v>
      </c>
      <c r="DB12" s="149">
        <f t="shared" si="29"/>
        <v>391.50864329464434</v>
      </c>
      <c r="DC12" s="149">
        <f t="shared" si="29"/>
        <v>428.21257860351727</v>
      </c>
      <c r="DD12" s="149">
        <f t="shared" si="29"/>
        <v>406.56666803674608</v>
      </c>
      <c r="DE12" s="149">
        <f t="shared" si="29"/>
        <v>392.44976984102573</v>
      </c>
      <c r="DF12" s="149">
        <f t="shared" si="29"/>
        <v>432.91821133542402</v>
      </c>
      <c r="DG12" s="150">
        <f t="shared" si="29"/>
        <v>415.03680695417825</v>
      </c>
    </row>
    <row r="13" spans="1:114" x14ac:dyDescent="0.3">
      <c r="A13" s="35"/>
      <c r="B13" s="35"/>
      <c r="C13" s="545" t="s">
        <v>283</v>
      </c>
      <c r="D13" s="15"/>
      <c r="E13" s="50"/>
      <c r="F13" s="50"/>
      <c r="G13" s="50"/>
      <c r="H13" s="50"/>
      <c r="I13" s="50"/>
      <c r="J13" s="50"/>
      <c r="K13" s="50"/>
      <c r="L13" s="50"/>
      <c r="M13" s="50"/>
      <c r="N13" s="50"/>
      <c r="O13" s="50"/>
      <c r="P13" s="50"/>
      <c r="Q13" s="50"/>
      <c r="R13" s="50"/>
      <c r="S13" s="50"/>
      <c r="T13" s="50"/>
      <c r="U13" s="50"/>
      <c r="V13" s="50"/>
      <c r="W13" s="50"/>
      <c r="X13" s="50">
        <v>73</v>
      </c>
      <c r="Y13" s="50">
        <v>71</v>
      </c>
      <c r="Z13" s="50">
        <v>72</v>
      </c>
      <c r="AA13" s="50">
        <v>75</v>
      </c>
      <c r="AB13" s="50">
        <v>71</v>
      </c>
      <c r="AC13" s="50">
        <v>71</v>
      </c>
      <c r="AD13" s="50">
        <v>85</v>
      </c>
      <c r="AE13" s="50">
        <v>90</v>
      </c>
      <c r="AF13" s="50">
        <v>91</v>
      </c>
      <c r="AG13" s="50">
        <v>91</v>
      </c>
      <c r="AH13" s="50">
        <v>86</v>
      </c>
      <c r="AI13" s="50">
        <v>96</v>
      </c>
      <c r="AJ13" s="50">
        <v>92</v>
      </c>
      <c r="AK13" s="609">
        <v>79</v>
      </c>
      <c r="AL13" s="149">
        <f>+AK13*(1+AL20)</f>
        <v>90.994295036692961</v>
      </c>
      <c r="AM13" s="602">
        <f t="shared" ref="AM13:CS13" si="30">+AL13*(1+AM20)</f>
        <v>86.000705674923225</v>
      </c>
      <c r="AN13" s="149">
        <f t="shared" si="30"/>
        <v>71.574780852032873</v>
      </c>
      <c r="AO13" s="149">
        <f t="shared" si="30"/>
        <v>61.032758866074545</v>
      </c>
      <c r="AP13" s="149">
        <f t="shared" si="30"/>
        <v>69.355407802357448</v>
      </c>
      <c r="AQ13" s="149">
        <f t="shared" si="30"/>
        <v>57.703699291561392</v>
      </c>
      <c r="AR13" s="149">
        <f t="shared" si="30"/>
        <v>67.690878015100864</v>
      </c>
      <c r="AS13" s="149">
        <f t="shared" si="30"/>
        <v>90.994295036692975</v>
      </c>
      <c r="AT13" s="149">
        <f t="shared" si="30"/>
        <v>106.52990638442104</v>
      </c>
      <c r="AU13" s="149">
        <f t="shared" si="30"/>
        <v>117.62677163279824</v>
      </c>
      <c r="AV13" s="149">
        <f t="shared" si="30"/>
        <v>109.85896595893422</v>
      </c>
      <c r="AW13" s="149">
        <f t="shared" si="30"/>
        <v>104.86537659716447</v>
      </c>
      <c r="AX13" s="149">
        <f t="shared" si="30"/>
        <v>118.18161489521709</v>
      </c>
      <c r="AY13" s="150">
        <f t="shared" si="30"/>
        <v>112.07833900860966</v>
      </c>
      <c r="AZ13" s="149">
        <f t="shared" si="30"/>
        <v>93.768511348787285</v>
      </c>
      <c r="BA13" s="149">
        <f t="shared" si="30"/>
        <v>79.89742978831579</v>
      </c>
      <c r="BB13" s="149">
        <f t="shared" si="30"/>
        <v>88.774921987017549</v>
      </c>
      <c r="BC13" s="149">
        <f t="shared" si="30"/>
        <v>75.458683688964925</v>
      </c>
      <c r="BD13" s="149">
        <f t="shared" si="30"/>
        <v>85.445862412504397</v>
      </c>
      <c r="BE13" s="149">
        <f t="shared" si="30"/>
        <v>112.07833900860967</v>
      </c>
      <c r="BF13" s="149">
        <f t="shared" si="30"/>
        <v>130.38816666843204</v>
      </c>
      <c r="BG13" s="149">
        <f t="shared" si="30"/>
        <v>143.70440496648465</v>
      </c>
      <c r="BH13" s="149">
        <f t="shared" si="30"/>
        <v>134.82691276778289</v>
      </c>
      <c r="BI13" s="149">
        <f t="shared" si="30"/>
        <v>129.27848014359429</v>
      </c>
      <c r="BJ13" s="149">
        <f t="shared" si="30"/>
        <v>144.25924822890349</v>
      </c>
      <c r="BK13" s="150">
        <f t="shared" si="30"/>
        <v>137.04628581745831</v>
      </c>
      <c r="BL13" s="149">
        <f t="shared" si="30"/>
        <v>115.4073985831228</v>
      </c>
      <c r="BM13" s="149">
        <f t="shared" si="30"/>
        <v>98.762100710557007</v>
      </c>
      <c r="BN13" s="149">
        <f t="shared" si="30"/>
        <v>108.19443617167761</v>
      </c>
      <c r="BO13" s="149">
        <f t="shared" si="30"/>
        <v>92.658824823949544</v>
      </c>
      <c r="BP13" s="149">
        <f t="shared" si="30"/>
        <v>103.75569007232674</v>
      </c>
      <c r="BQ13" s="149">
        <f t="shared" si="30"/>
        <v>133.71722624294517</v>
      </c>
      <c r="BR13" s="149">
        <f t="shared" si="30"/>
        <v>154.80127021486186</v>
      </c>
      <c r="BS13" s="149">
        <f t="shared" si="30"/>
        <v>170.33688156258989</v>
      </c>
      <c r="BT13" s="149">
        <f t="shared" si="30"/>
        <v>160.34970283905042</v>
      </c>
      <c r="BU13" s="149">
        <f t="shared" si="30"/>
        <v>154.24642695244296</v>
      </c>
      <c r="BV13" s="149">
        <f t="shared" si="30"/>
        <v>171.44656808742764</v>
      </c>
      <c r="BW13" s="150">
        <f t="shared" si="30"/>
        <v>163.67876241356359</v>
      </c>
      <c r="BX13" s="149">
        <f t="shared" si="30"/>
        <v>138.15597234229605</v>
      </c>
      <c r="BY13" s="149">
        <f t="shared" si="30"/>
        <v>118.73645815763597</v>
      </c>
      <c r="BZ13" s="149">
        <f t="shared" si="30"/>
        <v>128.72363688117542</v>
      </c>
      <c r="CA13" s="149">
        <f t="shared" si="30"/>
        <v>110.41380922135305</v>
      </c>
      <c r="CB13" s="149">
        <f t="shared" si="30"/>
        <v>122.62036099456796</v>
      </c>
      <c r="CC13" s="149">
        <f t="shared" si="30"/>
        <v>155.91095673969954</v>
      </c>
      <c r="CD13" s="149">
        <f t="shared" si="30"/>
        <v>179.76921702371047</v>
      </c>
      <c r="CE13" s="149">
        <f t="shared" si="30"/>
        <v>196.96935815869514</v>
      </c>
      <c r="CF13" s="149">
        <f t="shared" si="30"/>
        <v>186.4273361727368</v>
      </c>
      <c r="CG13" s="149">
        <f t="shared" si="30"/>
        <v>179.21437376129163</v>
      </c>
      <c r="CH13" s="149">
        <f t="shared" si="30"/>
        <v>198.6338879459517</v>
      </c>
      <c r="CI13" s="150">
        <f t="shared" si="30"/>
        <v>189.75639574724997</v>
      </c>
      <c r="CJ13" s="149">
        <f t="shared" si="30"/>
        <v>160.90454610146926</v>
      </c>
      <c r="CK13" s="149">
        <f t="shared" si="30"/>
        <v>138.71081560471492</v>
      </c>
      <c r="CL13" s="149">
        <f t="shared" si="30"/>
        <v>149.25283759067327</v>
      </c>
      <c r="CM13" s="149">
        <f t="shared" si="30"/>
        <v>128.72363688117545</v>
      </c>
      <c r="CN13" s="149">
        <f t="shared" si="30"/>
        <v>141.48503191680922</v>
      </c>
      <c r="CO13" s="149">
        <f t="shared" si="30"/>
        <v>178.65953049887281</v>
      </c>
      <c r="CP13" s="149">
        <f t="shared" si="30"/>
        <v>204.73716383255925</v>
      </c>
      <c r="CQ13" s="149">
        <f t="shared" si="30"/>
        <v>224.15667801721938</v>
      </c>
      <c r="CR13" s="149">
        <f t="shared" si="30"/>
        <v>212.50496950642332</v>
      </c>
      <c r="CS13" s="149">
        <f t="shared" si="30"/>
        <v>204.73716383255928</v>
      </c>
      <c r="CT13" s="149">
        <f t="shared" ref="CT13:DG13" si="31">+CS13*(1+CT20)</f>
        <v>226.3760510668948</v>
      </c>
      <c r="CU13" s="150">
        <f t="shared" si="31"/>
        <v>216.9437156057742</v>
      </c>
      <c r="CV13" s="149">
        <f t="shared" si="31"/>
        <v>184.76280638548033</v>
      </c>
      <c r="CW13" s="149">
        <f t="shared" si="31"/>
        <v>159.24001631421277</v>
      </c>
      <c r="CX13" s="149">
        <f t="shared" si="31"/>
        <v>170.33688156258995</v>
      </c>
      <c r="CY13" s="149">
        <f t="shared" si="31"/>
        <v>147.58830780341674</v>
      </c>
      <c r="CZ13" s="149">
        <f t="shared" si="31"/>
        <v>161.45938936388822</v>
      </c>
      <c r="DA13" s="149">
        <f t="shared" si="31"/>
        <v>201.96294752046498</v>
      </c>
      <c r="DB13" s="149">
        <f t="shared" si="31"/>
        <v>230.81479716624568</v>
      </c>
      <c r="DC13" s="149">
        <f t="shared" si="31"/>
        <v>252.45368440058121</v>
      </c>
      <c r="DD13" s="149">
        <f t="shared" si="31"/>
        <v>239.69228936494744</v>
      </c>
      <c r="DE13" s="149">
        <f t="shared" si="31"/>
        <v>231.36964042866455</v>
      </c>
      <c r="DF13" s="149">
        <f t="shared" si="31"/>
        <v>255.22790071267548</v>
      </c>
      <c r="DG13" s="150">
        <f t="shared" si="31"/>
        <v>244.68587872671714</v>
      </c>
    </row>
    <row r="14" spans="1:114" x14ac:dyDescent="0.3">
      <c r="A14" s="35"/>
      <c r="B14" s="35"/>
      <c r="C14" s="546" t="s">
        <v>336</v>
      </c>
      <c r="D14" s="15"/>
      <c r="E14" s="51">
        <f t="shared" ref="E14:V14" si="32">SUM(E15:E16)</f>
        <v>0</v>
      </c>
      <c r="F14" s="51">
        <f t="shared" si="32"/>
        <v>-4</v>
      </c>
      <c r="G14" s="51">
        <f t="shared" si="32"/>
        <v>-1</v>
      </c>
      <c r="H14" s="51">
        <f t="shared" si="32"/>
        <v>3</v>
      </c>
      <c r="I14" s="51">
        <f t="shared" si="32"/>
        <v>3</v>
      </c>
      <c r="J14" s="51">
        <f t="shared" si="32"/>
        <v>-2</v>
      </c>
      <c r="K14" s="51">
        <f t="shared" si="32"/>
        <v>-6</v>
      </c>
      <c r="L14" s="51">
        <f t="shared" si="32"/>
        <v>4</v>
      </c>
      <c r="M14" s="51">
        <f t="shared" si="32"/>
        <v>8</v>
      </c>
      <c r="N14" s="51">
        <f t="shared" si="32"/>
        <v>-6</v>
      </c>
      <c r="O14" s="51">
        <f t="shared" si="32"/>
        <v>-4</v>
      </c>
      <c r="P14" s="51">
        <f t="shared" si="32"/>
        <v>5</v>
      </c>
      <c r="Q14" s="51">
        <f t="shared" si="32"/>
        <v>-2</v>
      </c>
      <c r="R14" s="51">
        <f t="shared" si="32"/>
        <v>0</v>
      </c>
      <c r="S14" s="51">
        <f t="shared" si="32"/>
        <v>-3</v>
      </c>
      <c r="T14" s="51">
        <f t="shared" si="32"/>
        <v>2</v>
      </c>
      <c r="U14" s="51">
        <f t="shared" si="32"/>
        <v>3</v>
      </c>
      <c r="V14" s="51">
        <f t="shared" si="32"/>
        <v>63</v>
      </c>
      <c r="W14" s="51">
        <f>SUM(W15:W16)</f>
        <v>24</v>
      </c>
      <c r="X14" s="51">
        <f t="shared" ref="X14:CI14" si="33">SUM(X15:X16)</f>
        <v>24</v>
      </c>
      <c r="Y14" s="51">
        <f t="shared" si="33"/>
        <v>3</v>
      </c>
      <c r="Z14" s="51">
        <f t="shared" si="33"/>
        <v>9</v>
      </c>
      <c r="AA14" s="51">
        <f t="shared" si="33"/>
        <v>2</v>
      </c>
      <c r="AB14" s="51">
        <f t="shared" si="33"/>
        <v>-9</v>
      </c>
      <c r="AC14" s="51">
        <f t="shared" si="33"/>
        <v>17</v>
      </c>
      <c r="AD14" s="51">
        <f t="shared" si="33"/>
        <v>11</v>
      </c>
      <c r="AE14" s="51">
        <f t="shared" si="33"/>
        <v>-4</v>
      </c>
      <c r="AF14" s="51">
        <f t="shared" si="33"/>
        <v>-2</v>
      </c>
      <c r="AG14" s="51">
        <f t="shared" ref="AG14:AL14" si="34">SUM(AG15:AG16)</f>
        <v>11</v>
      </c>
      <c r="AH14" s="51">
        <f t="shared" si="34"/>
        <v>-4</v>
      </c>
      <c r="AI14" s="51">
        <f t="shared" si="34"/>
        <v>17</v>
      </c>
      <c r="AJ14" s="51">
        <f t="shared" si="34"/>
        <v>-38</v>
      </c>
      <c r="AK14" s="610">
        <f t="shared" si="34"/>
        <v>15</v>
      </c>
      <c r="AL14" s="61">
        <f t="shared" si="34"/>
        <v>22</v>
      </c>
      <c r="AM14" s="603">
        <f t="shared" si="33"/>
        <v>-9</v>
      </c>
      <c r="AN14" s="61">
        <f t="shared" si="33"/>
        <v>-26</v>
      </c>
      <c r="AO14" s="61">
        <f t="shared" si="33"/>
        <v>-19</v>
      </c>
      <c r="AP14" s="61">
        <f t="shared" si="33"/>
        <v>15</v>
      </c>
      <c r="AQ14" s="61">
        <f t="shared" si="33"/>
        <v>-21</v>
      </c>
      <c r="AR14" s="61">
        <f t="shared" si="33"/>
        <v>18</v>
      </c>
      <c r="AS14" s="61">
        <f t="shared" si="33"/>
        <v>42</v>
      </c>
      <c r="AT14" s="61">
        <f t="shared" si="33"/>
        <v>28</v>
      </c>
      <c r="AU14" s="61">
        <f t="shared" si="33"/>
        <v>20</v>
      </c>
      <c r="AV14" s="61">
        <f t="shared" si="33"/>
        <v>-14</v>
      </c>
      <c r="AW14" s="61">
        <f t="shared" si="33"/>
        <v>-9</v>
      </c>
      <c r="AX14" s="61">
        <f t="shared" si="33"/>
        <v>24</v>
      </c>
      <c r="AY14" s="141">
        <f t="shared" si="33"/>
        <v>-11</v>
      </c>
      <c r="AZ14" s="61">
        <f t="shared" si="33"/>
        <v>-33</v>
      </c>
      <c r="BA14" s="61">
        <f t="shared" si="33"/>
        <v>-25</v>
      </c>
      <c r="BB14" s="61">
        <f t="shared" si="33"/>
        <v>16</v>
      </c>
      <c r="BC14" s="61">
        <f t="shared" si="33"/>
        <v>-24</v>
      </c>
      <c r="BD14" s="61">
        <f t="shared" si="33"/>
        <v>18</v>
      </c>
      <c r="BE14" s="61">
        <f t="shared" si="33"/>
        <v>48</v>
      </c>
      <c r="BF14" s="61">
        <f t="shared" si="33"/>
        <v>33</v>
      </c>
      <c r="BG14" s="61">
        <f t="shared" si="33"/>
        <v>24</v>
      </c>
      <c r="BH14" s="61">
        <f t="shared" si="33"/>
        <v>-16</v>
      </c>
      <c r="BI14" s="61">
        <f t="shared" si="33"/>
        <v>-10</v>
      </c>
      <c r="BJ14" s="61">
        <f t="shared" si="33"/>
        <v>27</v>
      </c>
      <c r="BK14" s="141">
        <f t="shared" si="33"/>
        <v>-13</v>
      </c>
      <c r="BL14" s="61">
        <f t="shared" si="33"/>
        <v>-39</v>
      </c>
      <c r="BM14" s="61">
        <f t="shared" si="33"/>
        <v>-30</v>
      </c>
      <c r="BN14" s="61">
        <f t="shared" si="33"/>
        <v>17</v>
      </c>
      <c r="BO14" s="61">
        <f t="shared" si="33"/>
        <v>-28</v>
      </c>
      <c r="BP14" s="61">
        <f t="shared" si="33"/>
        <v>20</v>
      </c>
      <c r="BQ14" s="61">
        <f t="shared" si="33"/>
        <v>54</v>
      </c>
      <c r="BR14" s="61">
        <f t="shared" si="33"/>
        <v>38</v>
      </c>
      <c r="BS14" s="61">
        <f t="shared" si="33"/>
        <v>28</v>
      </c>
      <c r="BT14" s="61">
        <f t="shared" si="33"/>
        <v>-18</v>
      </c>
      <c r="BU14" s="61">
        <f t="shared" si="33"/>
        <v>-11</v>
      </c>
      <c r="BV14" s="61">
        <f t="shared" si="33"/>
        <v>31</v>
      </c>
      <c r="BW14" s="141">
        <f t="shared" si="33"/>
        <v>-14</v>
      </c>
      <c r="BX14" s="61">
        <f t="shared" si="33"/>
        <v>-46</v>
      </c>
      <c r="BY14" s="61">
        <f t="shared" si="33"/>
        <v>-35</v>
      </c>
      <c r="BZ14" s="61">
        <f t="shared" si="33"/>
        <v>18</v>
      </c>
      <c r="CA14" s="61">
        <f t="shared" si="33"/>
        <v>-33</v>
      </c>
      <c r="CB14" s="61">
        <f t="shared" si="33"/>
        <v>22</v>
      </c>
      <c r="CC14" s="61">
        <f t="shared" si="33"/>
        <v>60</v>
      </c>
      <c r="CD14" s="61">
        <f t="shared" si="33"/>
        <v>43</v>
      </c>
      <c r="CE14" s="61">
        <f t="shared" si="33"/>
        <v>31</v>
      </c>
      <c r="CF14" s="61">
        <f t="shared" si="33"/>
        <v>-19</v>
      </c>
      <c r="CG14" s="61">
        <f t="shared" si="33"/>
        <v>-13</v>
      </c>
      <c r="CH14" s="61">
        <f t="shared" si="33"/>
        <v>35</v>
      </c>
      <c r="CI14" s="141">
        <f t="shared" si="33"/>
        <v>-16</v>
      </c>
      <c r="CJ14" s="61">
        <f t="shared" ref="CJ14:DG14" si="35">SUM(CJ15:CJ16)</f>
        <v>-52</v>
      </c>
      <c r="CK14" s="61">
        <f t="shared" si="35"/>
        <v>-40</v>
      </c>
      <c r="CL14" s="61">
        <f t="shared" si="35"/>
        <v>19</v>
      </c>
      <c r="CM14" s="61">
        <f t="shared" si="35"/>
        <v>-37</v>
      </c>
      <c r="CN14" s="61">
        <f t="shared" si="35"/>
        <v>23</v>
      </c>
      <c r="CO14" s="61">
        <f t="shared" si="35"/>
        <v>67</v>
      </c>
      <c r="CP14" s="61">
        <f t="shared" si="35"/>
        <v>47</v>
      </c>
      <c r="CQ14" s="61">
        <f t="shared" si="35"/>
        <v>35</v>
      </c>
      <c r="CR14" s="61">
        <f t="shared" si="35"/>
        <v>-21</v>
      </c>
      <c r="CS14" s="61">
        <f t="shared" si="35"/>
        <v>-14</v>
      </c>
      <c r="CT14" s="61">
        <f t="shared" si="35"/>
        <v>39</v>
      </c>
      <c r="CU14" s="141">
        <f t="shared" si="35"/>
        <v>-17</v>
      </c>
      <c r="CV14" s="61">
        <f t="shared" si="35"/>
        <v>-58</v>
      </c>
      <c r="CW14" s="61">
        <f t="shared" si="35"/>
        <v>-46</v>
      </c>
      <c r="CX14" s="61">
        <f t="shared" si="35"/>
        <v>20</v>
      </c>
      <c r="CY14" s="61">
        <f t="shared" si="35"/>
        <v>-41</v>
      </c>
      <c r="CZ14" s="61">
        <f t="shared" si="35"/>
        <v>25</v>
      </c>
      <c r="DA14" s="61">
        <f t="shared" si="35"/>
        <v>73</v>
      </c>
      <c r="DB14" s="61">
        <f t="shared" si="35"/>
        <v>52</v>
      </c>
      <c r="DC14" s="61">
        <f t="shared" si="35"/>
        <v>39</v>
      </c>
      <c r="DD14" s="61">
        <f t="shared" si="35"/>
        <v>-23</v>
      </c>
      <c r="DE14" s="61">
        <f t="shared" si="35"/>
        <v>-15</v>
      </c>
      <c r="DF14" s="61">
        <f t="shared" si="35"/>
        <v>43</v>
      </c>
      <c r="DG14" s="141">
        <f t="shared" si="35"/>
        <v>-19</v>
      </c>
    </row>
    <row r="15" spans="1:114" x14ac:dyDescent="0.3">
      <c r="A15" s="35"/>
      <c r="B15" s="35"/>
      <c r="C15" s="546" t="s">
        <v>211</v>
      </c>
      <c r="D15" s="15"/>
      <c r="E15" s="51"/>
      <c r="F15" s="51">
        <f>+IF(F11&gt;E11,F11-E11, 0)</f>
        <v>0</v>
      </c>
      <c r="G15" s="51">
        <f t="shared" ref="G15:V15" si="36">+IF(G11&gt;F11,G11-F11, 0)</f>
        <v>0</v>
      </c>
      <c r="H15" s="51">
        <f t="shared" si="36"/>
        <v>3</v>
      </c>
      <c r="I15" s="51">
        <f t="shared" si="36"/>
        <v>3</v>
      </c>
      <c r="J15" s="51">
        <f>+IF(J11&gt;I11,J11-I11, 0)</f>
        <v>0</v>
      </c>
      <c r="K15" s="51">
        <f t="shared" si="36"/>
        <v>0</v>
      </c>
      <c r="L15" s="51">
        <f t="shared" si="36"/>
        <v>4</v>
      </c>
      <c r="M15" s="51">
        <f t="shared" si="36"/>
        <v>8</v>
      </c>
      <c r="N15" s="51">
        <f t="shared" si="36"/>
        <v>0</v>
      </c>
      <c r="O15" s="51">
        <f t="shared" si="36"/>
        <v>0</v>
      </c>
      <c r="P15" s="51">
        <f>+IF(P11&gt;O11,P11-O11, 0)</f>
        <v>5</v>
      </c>
      <c r="Q15" s="51">
        <f t="shared" si="36"/>
        <v>0</v>
      </c>
      <c r="R15" s="51">
        <f t="shared" si="36"/>
        <v>0</v>
      </c>
      <c r="S15" s="51">
        <f t="shared" si="36"/>
        <v>0</v>
      </c>
      <c r="T15" s="51">
        <f t="shared" si="36"/>
        <v>2</v>
      </c>
      <c r="U15" s="51">
        <f t="shared" si="36"/>
        <v>3</v>
      </c>
      <c r="V15" s="51">
        <f t="shared" si="36"/>
        <v>63</v>
      </c>
      <c r="W15" s="51">
        <v>62</v>
      </c>
      <c r="X15" s="51">
        <v>62</v>
      </c>
      <c r="Y15" s="51">
        <v>56</v>
      </c>
      <c r="Z15" s="51">
        <v>29</v>
      </c>
      <c r="AA15" s="51">
        <v>19</v>
      </c>
      <c r="AB15" s="549">
        <v>46</v>
      </c>
      <c r="AC15" s="549">
        <v>63</v>
      </c>
      <c r="AD15" s="549">
        <v>60</v>
      </c>
      <c r="AE15" s="549">
        <v>51</v>
      </c>
      <c r="AF15" s="549">
        <v>48</v>
      </c>
      <c r="AG15" s="549">
        <v>59</v>
      </c>
      <c r="AH15" s="549">
        <v>40</v>
      </c>
      <c r="AI15" s="549">
        <v>66</v>
      </c>
      <c r="AJ15" s="549">
        <v>30</v>
      </c>
      <c r="AK15" s="611">
        <v>58</v>
      </c>
      <c r="AL15" s="186">
        <f>IF(AL2="Trough",INDEX($H$46:$H$48,MATCH(AL2,$E$46:$E$48,0)),IF(AL2="Shoulder",INDEX($H$46:$H$48,MATCH(AL2,$E$46:$E$48,0)),INDEX($H$46:$H$48,MATCH(AL2,$E$46:$E$48,0))))</f>
        <v>70</v>
      </c>
      <c r="AM15" s="604">
        <f>IF(AM2="Trough",INDEX($H$46:$H$48,MATCH(AM2,$E$46:$E$48,0)),IF(AM2="Shoulder",INDEX($H$46:$H$48,MATCH(AM2,$E$46:$E$48,0)),INDEX($H$46:$H$48,MATCH(AM2,$E$46:$E$48,0))))</f>
        <v>45</v>
      </c>
      <c r="AN15" s="186">
        <f t="shared" ref="AN15:AY15" si="37">IF(AN2="Trough",INDEX($I$46:$I$48,MATCH(AN2,$E$46:$E$48,0)),IF(AN2="Shoulder",INDEX($I$46:$I$48,MATCH(AN2,$E$46:$E$48,0)),INDEX($I$46:$I$48,MATCH(AN2,$E$46:$E$48,0))))</f>
        <v>25</v>
      </c>
      <c r="AO15" s="186">
        <f t="shared" si="37"/>
        <v>25</v>
      </c>
      <c r="AP15" s="186">
        <f t="shared" si="37"/>
        <v>55</v>
      </c>
      <c r="AQ15" s="186">
        <f t="shared" si="37"/>
        <v>25</v>
      </c>
      <c r="AR15" s="186">
        <f t="shared" si="37"/>
        <v>55</v>
      </c>
      <c r="AS15" s="186">
        <f t="shared" si="37"/>
        <v>85</v>
      </c>
      <c r="AT15" s="186">
        <f t="shared" si="37"/>
        <v>85</v>
      </c>
      <c r="AU15" s="186">
        <f t="shared" si="37"/>
        <v>85</v>
      </c>
      <c r="AV15" s="186">
        <f t="shared" si="37"/>
        <v>55</v>
      </c>
      <c r="AW15" s="186">
        <f t="shared" si="37"/>
        <v>55</v>
      </c>
      <c r="AX15" s="186">
        <f t="shared" si="37"/>
        <v>85</v>
      </c>
      <c r="AY15" s="187">
        <f t="shared" si="37"/>
        <v>55</v>
      </c>
      <c r="AZ15" s="186">
        <f t="shared" ref="AZ15:BK15" si="38">IF(AZ2="Trough",INDEX($J$46:$J$48,MATCH(AZ2,$E$46:$E$48,0)),IF(AZ2="Shoulder",INDEX($J$46:$J$48,MATCH(AZ2,$E$46:$E$48,0)),INDEX($J$46:$J$48,MATCH(AZ2,$E$46:$E$48,0))))</f>
        <v>30</v>
      </c>
      <c r="BA15" s="186">
        <f t="shared" si="38"/>
        <v>30</v>
      </c>
      <c r="BB15" s="186">
        <f t="shared" si="38"/>
        <v>65</v>
      </c>
      <c r="BC15" s="186">
        <f t="shared" si="38"/>
        <v>30</v>
      </c>
      <c r="BD15" s="186">
        <f t="shared" si="38"/>
        <v>65</v>
      </c>
      <c r="BE15" s="186">
        <f t="shared" si="38"/>
        <v>100</v>
      </c>
      <c r="BF15" s="186">
        <f t="shared" si="38"/>
        <v>100</v>
      </c>
      <c r="BG15" s="186">
        <f t="shared" si="38"/>
        <v>100</v>
      </c>
      <c r="BH15" s="186">
        <f t="shared" si="38"/>
        <v>65</v>
      </c>
      <c r="BI15" s="186">
        <f t="shared" si="38"/>
        <v>65</v>
      </c>
      <c r="BJ15" s="186">
        <f t="shared" si="38"/>
        <v>100</v>
      </c>
      <c r="BK15" s="187">
        <f t="shared" si="38"/>
        <v>65</v>
      </c>
      <c r="BL15" s="186">
        <f t="shared" ref="BL15:BW15" si="39">+IF(BL2="Trough",INDEX($K$46:$K$48,MATCH(BL2,$E$46:$E$48,0)),IF(BL2="Shoulder",INDEX($K$46:$K$48,MATCH(BL2,$E$46:$E$48,0)),INDEX($K$46:$K$48,MATCH(BL2,$E$46:$E$48,0))))</f>
        <v>35</v>
      </c>
      <c r="BM15" s="186">
        <f t="shared" si="39"/>
        <v>35</v>
      </c>
      <c r="BN15" s="186">
        <f t="shared" si="39"/>
        <v>75</v>
      </c>
      <c r="BO15" s="186">
        <f t="shared" si="39"/>
        <v>35</v>
      </c>
      <c r="BP15" s="186">
        <f t="shared" si="39"/>
        <v>75</v>
      </c>
      <c r="BQ15" s="186">
        <f t="shared" si="39"/>
        <v>115</v>
      </c>
      <c r="BR15" s="186">
        <f t="shared" si="39"/>
        <v>115</v>
      </c>
      <c r="BS15" s="186">
        <f t="shared" si="39"/>
        <v>115</v>
      </c>
      <c r="BT15" s="186">
        <f t="shared" si="39"/>
        <v>75</v>
      </c>
      <c r="BU15" s="186">
        <f t="shared" si="39"/>
        <v>75</v>
      </c>
      <c r="BV15" s="186">
        <f t="shared" si="39"/>
        <v>115</v>
      </c>
      <c r="BW15" s="187">
        <f t="shared" si="39"/>
        <v>75</v>
      </c>
      <c r="BX15" s="186">
        <f t="shared" ref="BX15:CI15" si="40">IF(BX2="Trough",INDEX($L$46:$L$48,MATCH(BX2,$E$46:$E$48,0)),IF(BX2="Shoulder",INDEX($L$46:$L$48,MATCH(BX2,$E$46:$E$48,0)),INDEX($L$46:$L$48,MATCH(BX2,$E$46:$E$48,0))))</f>
        <v>40</v>
      </c>
      <c r="BY15" s="186">
        <f t="shared" si="40"/>
        <v>40</v>
      </c>
      <c r="BZ15" s="186">
        <f t="shared" si="40"/>
        <v>85</v>
      </c>
      <c r="CA15" s="186">
        <f t="shared" si="40"/>
        <v>40</v>
      </c>
      <c r="CB15" s="186">
        <f t="shared" si="40"/>
        <v>85</v>
      </c>
      <c r="CC15" s="186">
        <f t="shared" si="40"/>
        <v>130</v>
      </c>
      <c r="CD15" s="186">
        <f t="shared" si="40"/>
        <v>130</v>
      </c>
      <c r="CE15" s="186">
        <f t="shared" si="40"/>
        <v>130</v>
      </c>
      <c r="CF15" s="186">
        <f t="shared" si="40"/>
        <v>85</v>
      </c>
      <c r="CG15" s="186">
        <f t="shared" si="40"/>
        <v>85</v>
      </c>
      <c r="CH15" s="186">
        <f t="shared" si="40"/>
        <v>130</v>
      </c>
      <c r="CI15" s="187">
        <f t="shared" si="40"/>
        <v>85</v>
      </c>
      <c r="CJ15" s="186">
        <f t="shared" ref="CJ15:CU15" si="41">IF(CJ2="Trough",INDEX($M$46:$M$48,MATCH(CJ2,$E$46:$E$48,0)),IF(CJ2="Shoulder",INDEX($M$46:$M$48,MATCH(CJ2,$E$46:$E$48,0)),INDEX($M$46:$M$48,MATCH(CJ2,$E$46:$E$48,0))))</f>
        <v>45</v>
      </c>
      <c r="CK15" s="186">
        <f t="shared" si="41"/>
        <v>45</v>
      </c>
      <c r="CL15" s="186">
        <f t="shared" si="41"/>
        <v>95</v>
      </c>
      <c r="CM15" s="186">
        <f t="shared" si="41"/>
        <v>45</v>
      </c>
      <c r="CN15" s="186">
        <f t="shared" si="41"/>
        <v>95</v>
      </c>
      <c r="CO15" s="186">
        <f t="shared" si="41"/>
        <v>145</v>
      </c>
      <c r="CP15" s="186">
        <f t="shared" si="41"/>
        <v>145</v>
      </c>
      <c r="CQ15" s="186">
        <f t="shared" si="41"/>
        <v>145</v>
      </c>
      <c r="CR15" s="186">
        <f t="shared" si="41"/>
        <v>95</v>
      </c>
      <c r="CS15" s="186">
        <f t="shared" si="41"/>
        <v>95</v>
      </c>
      <c r="CT15" s="186">
        <f t="shared" si="41"/>
        <v>145</v>
      </c>
      <c r="CU15" s="187">
        <f t="shared" si="41"/>
        <v>95</v>
      </c>
      <c r="CV15" s="186">
        <f t="shared" ref="CV15:DG15" si="42">IF(CV2="Trough",INDEX($N$46:$N$48,MATCH(CV2,$E$46:$E$48,0)),IF(CV2="Shoulder",INDEX($N$46:$N$48,MATCH(CV2,$E$46:$E$48,0)),INDEX($N$46:$N$48,MATCH(CV2,$E$46:$E$48,0))))</f>
        <v>50</v>
      </c>
      <c r="CW15" s="186">
        <f t="shared" si="42"/>
        <v>50</v>
      </c>
      <c r="CX15" s="186">
        <f t="shared" si="42"/>
        <v>105</v>
      </c>
      <c r="CY15" s="186">
        <f t="shared" si="42"/>
        <v>50</v>
      </c>
      <c r="CZ15" s="186">
        <f t="shared" si="42"/>
        <v>105</v>
      </c>
      <c r="DA15" s="186">
        <f t="shared" si="42"/>
        <v>160</v>
      </c>
      <c r="DB15" s="186">
        <f t="shared" si="42"/>
        <v>160</v>
      </c>
      <c r="DC15" s="186">
        <f t="shared" si="42"/>
        <v>160</v>
      </c>
      <c r="DD15" s="186">
        <f t="shared" si="42"/>
        <v>105</v>
      </c>
      <c r="DE15" s="186">
        <f t="shared" si="42"/>
        <v>105</v>
      </c>
      <c r="DF15" s="186">
        <f t="shared" si="42"/>
        <v>160</v>
      </c>
      <c r="DG15" s="187">
        <f t="shared" si="42"/>
        <v>105</v>
      </c>
    </row>
    <row r="16" spans="1:114" x14ac:dyDescent="0.3">
      <c r="A16" s="35"/>
      <c r="B16" s="35"/>
      <c r="C16" s="546" t="s">
        <v>212</v>
      </c>
      <c r="D16" s="15"/>
      <c r="E16" s="51"/>
      <c r="F16" s="51">
        <f>+IF(F11&lt;E11,F11-E11, 0)</f>
        <v>-4</v>
      </c>
      <c r="G16" s="51">
        <f t="shared" ref="G16:V16" si="43">+IF(G11&lt;F11,G11-F11, 0)</f>
        <v>-1</v>
      </c>
      <c r="H16" s="51">
        <f t="shared" si="43"/>
        <v>0</v>
      </c>
      <c r="I16" s="51">
        <f t="shared" si="43"/>
        <v>0</v>
      </c>
      <c r="J16" s="51">
        <f>+IF(J11&lt;I11,J11-I11, 0)</f>
        <v>-2</v>
      </c>
      <c r="K16" s="51">
        <f t="shared" si="43"/>
        <v>-6</v>
      </c>
      <c r="L16" s="51">
        <f t="shared" si="43"/>
        <v>0</v>
      </c>
      <c r="M16" s="51">
        <f t="shared" si="43"/>
        <v>0</v>
      </c>
      <c r="N16" s="51">
        <f t="shared" si="43"/>
        <v>-6</v>
      </c>
      <c r="O16" s="51">
        <f t="shared" si="43"/>
        <v>-4</v>
      </c>
      <c r="P16" s="51">
        <f>+IF(P11&lt;O11,P11-O11, 0)</f>
        <v>0</v>
      </c>
      <c r="Q16" s="51">
        <f t="shared" si="43"/>
        <v>-2</v>
      </c>
      <c r="R16" s="51">
        <f t="shared" si="43"/>
        <v>0</v>
      </c>
      <c r="S16" s="51">
        <f t="shared" si="43"/>
        <v>-3</v>
      </c>
      <c r="T16" s="51">
        <f t="shared" si="43"/>
        <v>0</v>
      </c>
      <c r="U16" s="51">
        <f t="shared" si="43"/>
        <v>0</v>
      </c>
      <c r="V16" s="51">
        <f t="shared" si="43"/>
        <v>0</v>
      </c>
      <c r="W16" s="51">
        <v>-38</v>
      </c>
      <c r="X16" s="51">
        <v>-38</v>
      </c>
      <c r="Y16" s="51">
        <v>-53</v>
      </c>
      <c r="Z16" s="51">
        <v>-20</v>
      </c>
      <c r="AA16" s="51">
        <v>-17</v>
      </c>
      <c r="AB16" s="549">
        <v>-55</v>
      </c>
      <c r="AC16" s="549">
        <v>-46</v>
      </c>
      <c r="AD16" s="549">
        <v>-49</v>
      </c>
      <c r="AE16" s="549">
        <v>-55</v>
      </c>
      <c r="AF16" s="549">
        <v>-50</v>
      </c>
      <c r="AG16" s="549">
        <v>-48</v>
      </c>
      <c r="AH16" s="549">
        <v>-44</v>
      </c>
      <c r="AI16" s="549">
        <v>-49</v>
      </c>
      <c r="AJ16" s="549">
        <v>-68</v>
      </c>
      <c r="AK16" s="611">
        <v>-43</v>
      </c>
      <c r="AL16" s="186">
        <f t="shared" ref="AL16:BL16" si="44">ROUNDUP(AK12*AL32, 0)</f>
        <v>-48</v>
      </c>
      <c r="AM16" s="604">
        <f t="shared" si="44"/>
        <v>-54</v>
      </c>
      <c r="AN16" s="186">
        <f t="shared" si="44"/>
        <v>-51</v>
      </c>
      <c r="AO16" s="186">
        <f t="shared" si="44"/>
        <v>-44</v>
      </c>
      <c r="AP16" s="186">
        <f t="shared" si="44"/>
        <v>-40</v>
      </c>
      <c r="AQ16" s="186">
        <f t="shared" si="44"/>
        <v>-46</v>
      </c>
      <c r="AR16" s="186">
        <f t="shared" si="44"/>
        <v>-37</v>
      </c>
      <c r="AS16" s="186">
        <f t="shared" si="44"/>
        <v>-43</v>
      </c>
      <c r="AT16" s="186">
        <f t="shared" si="44"/>
        <v>-57</v>
      </c>
      <c r="AU16" s="186">
        <f t="shared" si="44"/>
        <v>-65</v>
      </c>
      <c r="AV16" s="186">
        <f t="shared" si="44"/>
        <v>-69</v>
      </c>
      <c r="AW16" s="186">
        <f t="shared" si="44"/>
        <v>-64</v>
      </c>
      <c r="AX16" s="186">
        <f t="shared" si="44"/>
        <v>-61</v>
      </c>
      <c r="AY16" s="187">
        <f t="shared" si="44"/>
        <v>-66</v>
      </c>
      <c r="AZ16" s="186">
        <f t="shared" si="44"/>
        <v>-63</v>
      </c>
      <c r="BA16" s="186">
        <f t="shared" si="44"/>
        <v>-55</v>
      </c>
      <c r="BB16" s="186">
        <f t="shared" si="44"/>
        <v>-49</v>
      </c>
      <c r="BC16" s="186">
        <f t="shared" si="44"/>
        <v>-54</v>
      </c>
      <c r="BD16" s="186">
        <f t="shared" si="44"/>
        <v>-47</v>
      </c>
      <c r="BE16" s="186">
        <f t="shared" si="44"/>
        <v>-52</v>
      </c>
      <c r="BF16" s="186">
        <f t="shared" si="44"/>
        <v>-67</v>
      </c>
      <c r="BG16" s="186">
        <f t="shared" si="44"/>
        <v>-76</v>
      </c>
      <c r="BH16" s="186">
        <f t="shared" si="44"/>
        <v>-81</v>
      </c>
      <c r="BI16" s="186">
        <f t="shared" si="44"/>
        <v>-75</v>
      </c>
      <c r="BJ16" s="186">
        <f t="shared" si="44"/>
        <v>-73</v>
      </c>
      <c r="BK16" s="187">
        <f t="shared" si="44"/>
        <v>-78</v>
      </c>
      <c r="BL16" s="186">
        <f t="shared" si="44"/>
        <v>-74</v>
      </c>
      <c r="BM16" s="186">
        <f t="shared" ref="BM16:CR16" si="45">ROUNDUP(BL12*BM32, 0)</f>
        <v>-65</v>
      </c>
      <c r="BN16" s="186">
        <f t="shared" si="45"/>
        <v>-58</v>
      </c>
      <c r="BO16" s="186">
        <f t="shared" si="45"/>
        <v>-63</v>
      </c>
      <c r="BP16" s="186">
        <f t="shared" si="45"/>
        <v>-55</v>
      </c>
      <c r="BQ16" s="186">
        <f t="shared" si="45"/>
        <v>-61</v>
      </c>
      <c r="BR16" s="186">
        <f t="shared" si="45"/>
        <v>-77</v>
      </c>
      <c r="BS16" s="186">
        <f t="shared" si="45"/>
        <v>-87</v>
      </c>
      <c r="BT16" s="186">
        <f t="shared" si="45"/>
        <v>-93</v>
      </c>
      <c r="BU16" s="186">
        <f t="shared" si="45"/>
        <v>-86</v>
      </c>
      <c r="BV16" s="186">
        <f t="shared" si="45"/>
        <v>-84</v>
      </c>
      <c r="BW16" s="187">
        <f t="shared" si="45"/>
        <v>-89</v>
      </c>
      <c r="BX16" s="186">
        <f t="shared" si="45"/>
        <v>-86</v>
      </c>
      <c r="BY16" s="186">
        <f t="shared" si="45"/>
        <v>-75</v>
      </c>
      <c r="BZ16" s="186">
        <f t="shared" si="45"/>
        <v>-67</v>
      </c>
      <c r="CA16" s="186">
        <f t="shared" si="45"/>
        <v>-73</v>
      </c>
      <c r="CB16" s="186">
        <f t="shared" si="45"/>
        <v>-63</v>
      </c>
      <c r="CC16" s="186">
        <f t="shared" si="45"/>
        <v>-70</v>
      </c>
      <c r="CD16" s="186">
        <f t="shared" si="45"/>
        <v>-87</v>
      </c>
      <c r="CE16" s="186">
        <f t="shared" si="45"/>
        <v>-99</v>
      </c>
      <c r="CF16" s="186">
        <f t="shared" si="45"/>
        <v>-104</v>
      </c>
      <c r="CG16" s="186">
        <f t="shared" si="45"/>
        <v>-98</v>
      </c>
      <c r="CH16" s="186">
        <f t="shared" si="45"/>
        <v>-95</v>
      </c>
      <c r="CI16" s="187">
        <f t="shared" si="45"/>
        <v>-101</v>
      </c>
      <c r="CJ16" s="186">
        <f t="shared" si="45"/>
        <v>-97</v>
      </c>
      <c r="CK16" s="186">
        <f t="shared" si="45"/>
        <v>-85</v>
      </c>
      <c r="CL16" s="186">
        <f t="shared" si="45"/>
        <v>-76</v>
      </c>
      <c r="CM16" s="186">
        <f t="shared" si="45"/>
        <v>-82</v>
      </c>
      <c r="CN16" s="186">
        <f t="shared" si="45"/>
        <v>-72</v>
      </c>
      <c r="CO16" s="186">
        <f t="shared" si="45"/>
        <v>-78</v>
      </c>
      <c r="CP16" s="186">
        <f t="shared" si="45"/>
        <v>-98</v>
      </c>
      <c r="CQ16" s="186">
        <f t="shared" si="45"/>
        <v>-110</v>
      </c>
      <c r="CR16" s="186">
        <f t="shared" si="45"/>
        <v>-116</v>
      </c>
      <c r="CS16" s="186">
        <f t="shared" ref="CS16:DG16" si="46">ROUNDUP(CR12*CS32, 0)</f>
        <v>-109</v>
      </c>
      <c r="CT16" s="186">
        <f t="shared" si="46"/>
        <v>-106</v>
      </c>
      <c r="CU16" s="187">
        <f t="shared" si="46"/>
        <v>-112</v>
      </c>
      <c r="CV16" s="186">
        <f t="shared" si="46"/>
        <v>-108</v>
      </c>
      <c r="CW16" s="186">
        <f t="shared" si="46"/>
        <v>-96</v>
      </c>
      <c r="CX16" s="186">
        <f t="shared" si="46"/>
        <v>-85</v>
      </c>
      <c r="CY16" s="186">
        <f t="shared" si="46"/>
        <v>-91</v>
      </c>
      <c r="CZ16" s="186">
        <f t="shared" si="46"/>
        <v>-80</v>
      </c>
      <c r="DA16" s="186">
        <f t="shared" si="46"/>
        <v>-87</v>
      </c>
      <c r="DB16" s="186">
        <f t="shared" si="46"/>
        <v>-108</v>
      </c>
      <c r="DC16" s="186">
        <f t="shared" si="46"/>
        <v>-121</v>
      </c>
      <c r="DD16" s="186">
        <f t="shared" si="46"/>
        <v>-128</v>
      </c>
      <c r="DE16" s="186">
        <f t="shared" si="46"/>
        <v>-120</v>
      </c>
      <c r="DF16" s="186">
        <f t="shared" si="46"/>
        <v>-117</v>
      </c>
      <c r="DG16" s="187">
        <f t="shared" si="46"/>
        <v>-124</v>
      </c>
    </row>
    <row r="17" spans="1:111" x14ac:dyDescent="0.3">
      <c r="A17" s="35"/>
      <c r="B17" s="35"/>
      <c r="C17" s="545" t="s">
        <v>281</v>
      </c>
      <c r="D17" s="15"/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50">
        <v>21</v>
      </c>
      <c r="Q17" s="50">
        <v>22</v>
      </c>
      <c r="R17" s="50">
        <v>20</v>
      </c>
      <c r="S17" s="50">
        <v>16</v>
      </c>
      <c r="T17" s="50">
        <v>25</v>
      </c>
      <c r="U17" s="50">
        <v>22</v>
      </c>
      <c r="V17" s="50">
        <v>100</v>
      </c>
      <c r="W17" s="50">
        <v>218</v>
      </c>
      <c r="X17" s="50">
        <v>243</v>
      </c>
      <c r="Y17" s="50">
        <v>240</v>
      </c>
      <c r="Z17" s="50">
        <v>237</v>
      </c>
      <c r="AA17" s="50">
        <v>224</v>
      </c>
      <c r="AB17" s="50">
        <v>189</v>
      </c>
      <c r="AC17" s="50">
        <v>219</v>
      </c>
      <c r="AD17" s="50">
        <v>255</v>
      </c>
      <c r="AE17" s="50">
        <v>219</v>
      </c>
      <c r="AF17" s="50">
        <v>236</v>
      </c>
      <c r="AG17" s="50">
        <v>259</v>
      </c>
      <c r="AH17" s="50">
        <v>244</v>
      </c>
      <c r="AI17" s="50">
        <v>310</v>
      </c>
      <c r="AJ17" s="50">
        <v>211</v>
      </c>
      <c r="AK17" s="609">
        <v>241</v>
      </c>
      <c r="AL17" s="149">
        <f>+(AL19*AK11)+AL11</f>
        <v>252.38341424313978</v>
      </c>
      <c r="AM17" s="602">
        <f t="shared" ref="AM17:CT17" si="47">+(AM19*AL11)+AM11</f>
        <v>265.2928793989314</v>
      </c>
      <c r="AN17" s="149">
        <f t="shared" si="47"/>
        <v>234.23913727524757</v>
      </c>
      <c r="AO17" s="149">
        <f t="shared" si="47"/>
        <v>200.33083181706544</v>
      </c>
      <c r="AP17" s="149">
        <f t="shared" si="47"/>
        <v>221.6842402532213</v>
      </c>
      <c r="AQ17" s="149">
        <f t="shared" si="47"/>
        <v>189.89863227573738</v>
      </c>
      <c r="AR17" s="149">
        <f t="shared" si="47"/>
        <v>215.81612801122427</v>
      </c>
      <c r="AS17" s="149">
        <f t="shared" si="47"/>
        <v>287.21149362218824</v>
      </c>
      <c r="AT17" s="149">
        <f t="shared" si="47"/>
        <v>339.69849756449503</v>
      </c>
      <c r="AU17" s="149">
        <f t="shared" si="47"/>
        <v>376.86320843047622</v>
      </c>
      <c r="AV17" s="149">
        <f t="shared" si="47"/>
        <v>357.30283429048615</v>
      </c>
      <c r="AW17" s="149">
        <f t="shared" si="47"/>
        <v>340.35051003582799</v>
      </c>
      <c r="AX17" s="149">
        <f t="shared" si="47"/>
        <v>378.00423025530893</v>
      </c>
      <c r="AY17" s="150">
        <f t="shared" si="47"/>
        <v>363.98596212164938</v>
      </c>
      <c r="AZ17" s="149">
        <f t="shared" si="47"/>
        <v>301.81657298004751</v>
      </c>
      <c r="BA17" s="149">
        <f t="shared" si="47"/>
        <v>256.76251121093691</v>
      </c>
      <c r="BB17" s="149">
        <f t="shared" si="47"/>
        <v>279.58294770759204</v>
      </c>
      <c r="BC17" s="149">
        <f t="shared" si="47"/>
        <v>242.54863933587743</v>
      </c>
      <c r="BD17" s="149">
        <f t="shared" si="47"/>
        <v>268.75954068346419</v>
      </c>
      <c r="BE17" s="149">
        <f t="shared" si="47"/>
        <v>349.34828214022343</v>
      </c>
      <c r="BF17" s="149">
        <f t="shared" si="47"/>
        <v>409.39863074999312</v>
      </c>
      <c r="BG17" s="149">
        <f t="shared" si="47"/>
        <v>452.82266134077116</v>
      </c>
      <c r="BH17" s="149">
        <f t="shared" si="47"/>
        <v>429.87182234984942</v>
      </c>
      <c r="BI17" s="149">
        <f t="shared" si="47"/>
        <v>411.48507065825873</v>
      </c>
      <c r="BJ17" s="149">
        <f t="shared" si="47"/>
        <v>454.19188753057045</v>
      </c>
      <c r="BK17" s="150">
        <f t="shared" si="47"/>
        <v>436.52234955744603</v>
      </c>
      <c r="BL17" s="149">
        <f t="shared" si="47"/>
        <v>359.17737014556849</v>
      </c>
      <c r="BM17" s="149">
        <f t="shared" si="47"/>
        <v>307.09787399784477</v>
      </c>
      <c r="BN17" s="149">
        <f t="shared" si="47"/>
        <v>332.36335726199871</v>
      </c>
      <c r="BO17" s="149">
        <f t="shared" si="47"/>
        <v>288.10801077027105</v>
      </c>
      <c r="BP17" s="149">
        <f t="shared" si="47"/>
        <v>318.42659068725578</v>
      </c>
      <c r="BQ17" s="149">
        <f t="shared" si="47"/>
        <v>408.07830549554382</v>
      </c>
      <c r="BR17" s="149">
        <f t="shared" si="47"/>
        <v>474.42057445367698</v>
      </c>
      <c r="BS17" s="149">
        <f t="shared" si="47"/>
        <v>523.15850668581891</v>
      </c>
      <c r="BT17" s="149">
        <f t="shared" si="47"/>
        <v>496.09998912549935</v>
      </c>
      <c r="BU17" s="149">
        <f t="shared" si="47"/>
        <v>476.70261810334245</v>
      </c>
      <c r="BV17" s="149">
        <f t="shared" si="47"/>
        <v>526.33706748356735</v>
      </c>
      <c r="BW17" s="150">
        <f t="shared" si="47"/>
        <v>506.04317931332758</v>
      </c>
      <c r="BX17" s="149">
        <f t="shared" si="47"/>
        <v>420.30353933303763</v>
      </c>
      <c r="BY17" s="149">
        <f t="shared" si="47"/>
        <v>361.0030050653009</v>
      </c>
      <c r="BZ17" s="149">
        <f t="shared" si="47"/>
        <v>388.63203353803698</v>
      </c>
      <c r="CA17" s="149">
        <f t="shared" si="47"/>
        <v>335.7212214893637</v>
      </c>
      <c r="CB17" s="149">
        <f t="shared" si="47"/>
        <v>369.96817654612971</v>
      </c>
      <c r="CC17" s="149">
        <f t="shared" si="47"/>
        <v>468.84586782377977</v>
      </c>
      <c r="CD17" s="149">
        <f t="shared" si="47"/>
        <v>541.87126461307616</v>
      </c>
      <c r="CE17" s="149">
        <f t="shared" si="47"/>
        <v>594.50497136143292</v>
      </c>
      <c r="CF17" s="149">
        <f t="shared" si="47"/>
        <v>565.05030796896449</v>
      </c>
      <c r="CG17" s="149">
        <f t="shared" si="47"/>
        <v>542.93078487899231</v>
      </c>
      <c r="CH17" s="149">
        <f t="shared" si="47"/>
        <v>599.34616396108038</v>
      </c>
      <c r="CI17" s="150">
        <f t="shared" si="47"/>
        <v>574.97719784500953</v>
      </c>
      <c r="CJ17" s="149">
        <f t="shared" si="47"/>
        <v>489.43316160611931</v>
      </c>
      <c r="CK17" s="149">
        <f t="shared" si="47"/>
        <v>421.68906583462024</v>
      </c>
      <c r="CL17" s="149">
        <f t="shared" si="47"/>
        <v>450.70362080893892</v>
      </c>
      <c r="CM17" s="149">
        <f t="shared" si="47"/>
        <v>391.32158498228563</v>
      </c>
      <c r="CN17" s="149">
        <f t="shared" si="47"/>
        <v>427.00296747598424</v>
      </c>
      <c r="CO17" s="149">
        <f t="shared" si="47"/>
        <v>537.33977793731174</v>
      </c>
      <c r="CP17" s="149">
        <f t="shared" si="47"/>
        <v>617.22760598738807</v>
      </c>
      <c r="CQ17" s="149">
        <f t="shared" si="47"/>
        <v>676.5770411904748</v>
      </c>
      <c r="CR17" s="149">
        <f t="shared" si="47"/>
        <v>644.05791918274122</v>
      </c>
      <c r="CS17" s="149">
        <f t="shared" si="47"/>
        <v>620.21056304373656</v>
      </c>
      <c r="CT17" s="149">
        <f t="shared" si="47"/>
        <v>683.09716590380492</v>
      </c>
      <c r="CU17" s="150">
        <f t="shared" ref="CU17:DG17" si="48">+(CU19*CT11)+CU11</f>
        <v>657.29377235080119</v>
      </c>
      <c r="CV17" s="149">
        <f t="shared" si="48"/>
        <v>561.92064810656609</v>
      </c>
      <c r="CW17" s="149">
        <f t="shared" si="48"/>
        <v>484.10295965297206</v>
      </c>
      <c r="CX17" s="149">
        <f t="shared" si="48"/>
        <v>514.45414019352324</v>
      </c>
      <c r="CY17" s="149">
        <f t="shared" si="48"/>
        <v>448.60088058888999</v>
      </c>
      <c r="CZ17" s="149">
        <f t="shared" si="48"/>
        <v>487.34672169785375</v>
      </c>
      <c r="DA17" s="149">
        <f t="shared" si="48"/>
        <v>607.56152109987636</v>
      </c>
      <c r="DB17" s="149">
        <f t="shared" si="48"/>
        <v>695.89291065371503</v>
      </c>
      <c r="DC17" s="149">
        <f t="shared" si="48"/>
        <v>762.00697524688167</v>
      </c>
      <c r="DD17" s="149">
        <f t="shared" si="48"/>
        <v>726.42339462388304</v>
      </c>
      <c r="DE17" s="149">
        <f t="shared" si="48"/>
        <v>700.84820543584578</v>
      </c>
      <c r="DF17" s="149">
        <f t="shared" si="48"/>
        <v>770.20603207389411</v>
      </c>
      <c r="DG17" s="150">
        <f t="shared" si="48"/>
        <v>741.33817990562534</v>
      </c>
    </row>
    <row r="18" spans="1:111" x14ac:dyDescent="0.3">
      <c r="A18" s="35"/>
      <c r="B18" s="35"/>
      <c r="C18" s="545" t="s">
        <v>284</v>
      </c>
      <c r="D18" s="15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0"/>
      <c r="Q18" s="50"/>
      <c r="R18" s="50"/>
      <c r="S18" s="50"/>
      <c r="T18" s="50"/>
      <c r="U18" s="50"/>
      <c r="V18" s="50"/>
      <c r="W18" s="50">
        <v>135</v>
      </c>
      <c r="X18" s="50">
        <v>139</v>
      </c>
      <c r="Y18" s="50">
        <v>144</v>
      </c>
      <c r="Z18" s="50">
        <v>143</v>
      </c>
      <c r="AA18" s="50">
        <v>135</v>
      </c>
      <c r="AB18" s="50">
        <v>123</v>
      </c>
      <c r="AC18" s="50">
        <v>138</v>
      </c>
      <c r="AD18" s="50">
        <v>158</v>
      </c>
      <c r="AE18" s="50">
        <v>150</v>
      </c>
      <c r="AF18" s="50">
        <v>147</v>
      </c>
      <c r="AG18" s="50">
        <v>156</v>
      </c>
      <c r="AH18" s="50">
        <v>156</v>
      </c>
      <c r="AI18" s="50">
        <v>172</v>
      </c>
      <c r="AJ18" s="50">
        <v>137</v>
      </c>
      <c r="AK18" s="609">
        <v>142</v>
      </c>
      <c r="AL18" s="16">
        <f>+AK18+AL14</f>
        <v>164</v>
      </c>
      <c r="AM18" s="17">
        <f t="shared" ref="AM18:CS18" si="49">+AL18+AM14</f>
        <v>155</v>
      </c>
      <c r="AN18" s="16">
        <f>+AM18+AN14</f>
        <v>129</v>
      </c>
      <c r="AO18" s="16">
        <f t="shared" si="49"/>
        <v>110</v>
      </c>
      <c r="AP18" s="16">
        <f t="shared" si="49"/>
        <v>125</v>
      </c>
      <c r="AQ18" s="16">
        <f t="shared" si="49"/>
        <v>104</v>
      </c>
      <c r="AR18" s="16">
        <f t="shared" si="49"/>
        <v>122</v>
      </c>
      <c r="AS18" s="16">
        <f t="shared" si="49"/>
        <v>164</v>
      </c>
      <c r="AT18" s="16">
        <f t="shared" si="49"/>
        <v>192</v>
      </c>
      <c r="AU18" s="16">
        <f t="shared" si="49"/>
        <v>212</v>
      </c>
      <c r="AV18" s="16">
        <f t="shared" si="49"/>
        <v>198</v>
      </c>
      <c r="AW18" s="16">
        <f t="shared" si="49"/>
        <v>189</v>
      </c>
      <c r="AX18" s="16">
        <f t="shared" si="49"/>
        <v>213</v>
      </c>
      <c r="AY18" s="306">
        <f t="shared" si="49"/>
        <v>202</v>
      </c>
      <c r="AZ18" s="16">
        <f t="shared" si="49"/>
        <v>169</v>
      </c>
      <c r="BA18" s="16">
        <f t="shared" si="49"/>
        <v>144</v>
      </c>
      <c r="BB18" s="16">
        <f t="shared" si="49"/>
        <v>160</v>
      </c>
      <c r="BC18" s="16">
        <f t="shared" si="49"/>
        <v>136</v>
      </c>
      <c r="BD18" s="16">
        <f t="shared" si="49"/>
        <v>154</v>
      </c>
      <c r="BE18" s="16">
        <f t="shared" si="49"/>
        <v>202</v>
      </c>
      <c r="BF18" s="16">
        <f t="shared" si="49"/>
        <v>235</v>
      </c>
      <c r="BG18" s="16">
        <f t="shared" si="49"/>
        <v>259</v>
      </c>
      <c r="BH18" s="16">
        <f t="shared" si="49"/>
        <v>243</v>
      </c>
      <c r="BI18" s="16">
        <f t="shared" si="49"/>
        <v>233</v>
      </c>
      <c r="BJ18" s="16">
        <f t="shared" si="49"/>
        <v>260</v>
      </c>
      <c r="BK18" s="306">
        <f t="shared" si="49"/>
        <v>247</v>
      </c>
      <c r="BL18" s="16">
        <f t="shared" si="49"/>
        <v>208</v>
      </c>
      <c r="BM18" s="16">
        <f t="shared" si="49"/>
        <v>178</v>
      </c>
      <c r="BN18" s="16">
        <f t="shared" si="49"/>
        <v>195</v>
      </c>
      <c r="BO18" s="16">
        <f t="shared" si="49"/>
        <v>167</v>
      </c>
      <c r="BP18" s="16">
        <f t="shared" si="49"/>
        <v>187</v>
      </c>
      <c r="BQ18" s="16">
        <f t="shared" si="49"/>
        <v>241</v>
      </c>
      <c r="BR18" s="16">
        <f t="shared" si="49"/>
        <v>279</v>
      </c>
      <c r="BS18" s="16">
        <f t="shared" si="49"/>
        <v>307</v>
      </c>
      <c r="BT18" s="16">
        <f t="shared" si="49"/>
        <v>289</v>
      </c>
      <c r="BU18" s="16">
        <f t="shared" si="49"/>
        <v>278</v>
      </c>
      <c r="BV18" s="16">
        <f t="shared" si="49"/>
        <v>309</v>
      </c>
      <c r="BW18" s="306">
        <f t="shared" si="49"/>
        <v>295</v>
      </c>
      <c r="BX18" s="16">
        <f t="shared" si="49"/>
        <v>249</v>
      </c>
      <c r="BY18" s="16">
        <f t="shared" si="49"/>
        <v>214</v>
      </c>
      <c r="BZ18" s="16">
        <f t="shared" si="49"/>
        <v>232</v>
      </c>
      <c r="CA18" s="16">
        <f t="shared" si="49"/>
        <v>199</v>
      </c>
      <c r="CB18" s="16">
        <f t="shared" si="49"/>
        <v>221</v>
      </c>
      <c r="CC18" s="16">
        <f t="shared" si="49"/>
        <v>281</v>
      </c>
      <c r="CD18" s="16">
        <f t="shared" si="49"/>
        <v>324</v>
      </c>
      <c r="CE18" s="16">
        <f t="shared" si="49"/>
        <v>355</v>
      </c>
      <c r="CF18" s="16">
        <f t="shared" si="49"/>
        <v>336</v>
      </c>
      <c r="CG18" s="16">
        <f t="shared" si="49"/>
        <v>323</v>
      </c>
      <c r="CH18" s="16">
        <f t="shared" si="49"/>
        <v>358</v>
      </c>
      <c r="CI18" s="306">
        <f t="shared" si="49"/>
        <v>342</v>
      </c>
      <c r="CJ18" s="16">
        <f t="shared" si="49"/>
        <v>290</v>
      </c>
      <c r="CK18" s="16">
        <f t="shared" si="49"/>
        <v>250</v>
      </c>
      <c r="CL18" s="16">
        <f t="shared" si="49"/>
        <v>269</v>
      </c>
      <c r="CM18" s="16">
        <f t="shared" si="49"/>
        <v>232</v>
      </c>
      <c r="CN18" s="16">
        <f t="shared" si="49"/>
        <v>255</v>
      </c>
      <c r="CO18" s="16">
        <f t="shared" si="49"/>
        <v>322</v>
      </c>
      <c r="CP18" s="16">
        <f t="shared" si="49"/>
        <v>369</v>
      </c>
      <c r="CQ18" s="16">
        <f t="shared" si="49"/>
        <v>404</v>
      </c>
      <c r="CR18" s="16">
        <f t="shared" si="49"/>
        <v>383</v>
      </c>
      <c r="CS18" s="16">
        <f t="shared" si="49"/>
        <v>369</v>
      </c>
      <c r="CT18" s="16">
        <f t="shared" ref="CT18:DG18" si="50">+CS18+CT14</f>
        <v>408</v>
      </c>
      <c r="CU18" s="306">
        <f t="shared" si="50"/>
        <v>391</v>
      </c>
      <c r="CV18" s="16">
        <f t="shared" si="50"/>
        <v>333</v>
      </c>
      <c r="CW18" s="16">
        <f t="shared" si="50"/>
        <v>287</v>
      </c>
      <c r="CX18" s="16">
        <f t="shared" si="50"/>
        <v>307</v>
      </c>
      <c r="CY18" s="16">
        <f t="shared" si="50"/>
        <v>266</v>
      </c>
      <c r="CZ18" s="16">
        <f t="shared" si="50"/>
        <v>291</v>
      </c>
      <c r="DA18" s="16">
        <f t="shared" si="50"/>
        <v>364</v>
      </c>
      <c r="DB18" s="16">
        <f t="shared" si="50"/>
        <v>416</v>
      </c>
      <c r="DC18" s="16">
        <f t="shared" si="50"/>
        <v>455</v>
      </c>
      <c r="DD18" s="16">
        <f t="shared" si="50"/>
        <v>432</v>
      </c>
      <c r="DE18" s="16">
        <f t="shared" si="50"/>
        <v>417</v>
      </c>
      <c r="DF18" s="16">
        <f t="shared" si="50"/>
        <v>460</v>
      </c>
      <c r="DG18" s="16">
        <f t="shared" si="50"/>
        <v>441</v>
      </c>
    </row>
    <row r="19" spans="1:111" x14ac:dyDescent="0.3">
      <c r="A19" s="35"/>
      <c r="B19" s="35"/>
      <c r="C19" s="545" t="s">
        <v>282</v>
      </c>
      <c r="D19" s="15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0"/>
      <c r="Q19" s="50"/>
      <c r="R19" s="50"/>
      <c r="S19" s="50"/>
      <c r="T19" s="50"/>
      <c r="U19" s="50"/>
      <c r="V19" s="302">
        <f>+(V17-V11)/V17</f>
        <v>0.25</v>
      </c>
      <c r="W19" s="302">
        <f>+(W17-W11)/W17</f>
        <v>0.18807339449541285</v>
      </c>
      <c r="X19" s="302">
        <f>+(X17-X11)/X17</f>
        <v>0.2139917695473251</v>
      </c>
      <c r="Y19" s="302">
        <f t="shared" ref="Y19:AE19" si="51">+(Y17-Y11)/Y17</f>
        <v>0.20833333333333334</v>
      </c>
      <c r="Z19" s="302">
        <f t="shared" si="51"/>
        <v>0.20675105485232068</v>
      </c>
      <c r="AA19" s="302">
        <f t="shared" si="51"/>
        <v>7.5892857142857137E-2</v>
      </c>
      <c r="AB19" s="302">
        <f t="shared" si="51"/>
        <v>0.1164021164021164</v>
      </c>
      <c r="AC19" s="302">
        <f t="shared" si="51"/>
        <v>0.11872146118721461</v>
      </c>
      <c r="AD19" s="302">
        <f t="shared" si="51"/>
        <v>0.15686274509803921</v>
      </c>
      <c r="AE19" s="302">
        <f t="shared" si="51"/>
        <v>0.1050228310502283</v>
      </c>
      <c r="AF19" s="302">
        <f t="shared" ref="AF19:AK19" si="52">+(AF17-AF11)/AF17</f>
        <v>8.8983050847457626E-2</v>
      </c>
      <c r="AG19" s="302">
        <f t="shared" si="52"/>
        <v>0.10810810810810811</v>
      </c>
      <c r="AH19" s="302">
        <f t="shared" si="52"/>
        <v>9.8360655737704916E-2</v>
      </c>
      <c r="AI19" s="302">
        <f t="shared" si="52"/>
        <v>0.12903225806451613</v>
      </c>
      <c r="AJ19" s="302">
        <f t="shared" si="52"/>
        <v>0.13270142180094788</v>
      </c>
      <c r="AK19" s="612">
        <f t="shared" si="52"/>
        <v>0.11618257261410789</v>
      </c>
      <c r="AL19" s="499">
        <f>+AVERAGE(AF19:AK19)</f>
        <v>0.11222801119547376</v>
      </c>
      <c r="AM19" s="605">
        <f>+AL19</f>
        <v>0.11222801119547376</v>
      </c>
      <c r="AN19" s="301">
        <v>0.1</v>
      </c>
      <c r="AO19" s="303">
        <f>+AN19</f>
        <v>0.1</v>
      </c>
      <c r="AP19" s="303">
        <f t="shared" ref="AP19:DA19" si="53">+AO19</f>
        <v>0.1</v>
      </c>
      <c r="AQ19" s="303">
        <f t="shared" si="53"/>
        <v>0.1</v>
      </c>
      <c r="AR19" s="303">
        <f t="shared" si="53"/>
        <v>0.1</v>
      </c>
      <c r="AS19" s="303">
        <f t="shared" si="53"/>
        <v>0.1</v>
      </c>
      <c r="AT19" s="303">
        <f t="shared" si="53"/>
        <v>0.1</v>
      </c>
      <c r="AU19" s="303">
        <f t="shared" si="53"/>
        <v>0.1</v>
      </c>
      <c r="AV19" s="303">
        <f t="shared" si="53"/>
        <v>0.1</v>
      </c>
      <c r="AW19" s="303">
        <f t="shared" si="53"/>
        <v>0.1</v>
      </c>
      <c r="AX19" s="303">
        <f t="shared" si="53"/>
        <v>0.1</v>
      </c>
      <c r="AY19" s="305">
        <f t="shared" si="53"/>
        <v>0.1</v>
      </c>
      <c r="AZ19" s="301">
        <v>0.08</v>
      </c>
      <c r="BA19" s="303">
        <f t="shared" si="53"/>
        <v>0.08</v>
      </c>
      <c r="BB19" s="303">
        <f t="shared" si="53"/>
        <v>0.08</v>
      </c>
      <c r="BC19" s="303">
        <f t="shared" si="53"/>
        <v>0.08</v>
      </c>
      <c r="BD19" s="303">
        <f t="shared" si="53"/>
        <v>0.08</v>
      </c>
      <c r="BE19" s="303">
        <f t="shared" si="53"/>
        <v>0.08</v>
      </c>
      <c r="BF19" s="303">
        <f t="shared" si="53"/>
        <v>0.08</v>
      </c>
      <c r="BG19" s="303">
        <f t="shared" si="53"/>
        <v>0.08</v>
      </c>
      <c r="BH19" s="303">
        <f t="shared" si="53"/>
        <v>0.08</v>
      </c>
      <c r="BI19" s="303">
        <f t="shared" si="53"/>
        <v>0.08</v>
      </c>
      <c r="BJ19" s="303">
        <f t="shared" si="53"/>
        <v>0.08</v>
      </c>
      <c r="BK19" s="305">
        <f t="shared" si="53"/>
        <v>0.08</v>
      </c>
      <c r="BL19" s="301">
        <v>0.05</v>
      </c>
      <c r="BM19" s="303">
        <f t="shared" si="53"/>
        <v>0.05</v>
      </c>
      <c r="BN19" s="303">
        <f t="shared" si="53"/>
        <v>0.05</v>
      </c>
      <c r="BO19" s="303">
        <f t="shared" si="53"/>
        <v>0.05</v>
      </c>
      <c r="BP19" s="303">
        <f t="shared" si="53"/>
        <v>0.05</v>
      </c>
      <c r="BQ19" s="303">
        <f t="shared" si="53"/>
        <v>0.05</v>
      </c>
      <c r="BR19" s="303">
        <f t="shared" si="53"/>
        <v>0.05</v>
      </c>
      <c r="BS19" s="303">
        <f t="shared" si="53"/>
        <v>0.05</v>
      </c>
      <c r="BT19" s="303">
        <f t="shared" si="53"/>
        <v>0.05</v>
      </c>
      <c r="BU19" s="303">
        <f t="shared" si="53"/>
        <v>0.05</v>
      </c>
      <c r="BV19" s="303">
        <f t="shared" si="53"/>
        <v>0.05</v>
      </c>
      <c r="BW19" s="305">
        <f t="shared" si="53"/>
        <v>0.05</v>
      </c>
      <c r="BX19" s="301">
        <v>0.03</v>
      </c>
      <c r="BY19" s="303">
        <f t="shared" si="53"/>
        <v>0.03</v>
      </c>
      <c r="BZ19" s="303">
        <f t="shared" si="53"/>
        <v>0.03</v>
      </c>
      <c r="CA19" s="303">
        <f t="shared" si="53"/>
        <v>0.03</v>
      </c>
      <c r="CB19" s="303">
        <f t="shared" si="53"/>
        <v>0.03</v>
      </c>
      <c r="CC19" s="303">
        <f t="shared" si="53"/>
        <v>0.03</v>
      </c>
      <c r="CD19" s="303">
        <f t="shared" si="53"/>
        <v>0.03</v>
      </c>
      <c r="CE19" s="303">
        <f t="shared" si="53"/>
        <v>0.03</v>
      </c>
      <c r="CF19" s="303">
        <f t="shared" si="53"/>
        <v>0.03</v>
      </c>
      <c r="CG19" s="303">
        <f t="shared" si="53"/>
        <v>0.03</v>
      </c>
      <c r="CH19" s="303">
        <f t="shared" si="53"/>
        <v>0.03</v>
      </c>
      <c r="CI19" s="305">
        <f t="shared" si="53"/>
        <v>0.03</v>
      </c>
      <c r="CJ19" s="303">
        <f t="shared" si="53"/>
        <v>0.03</v>
      </c>
      <c r="CK19" s="303">
        <f t="shared" si="53"/>
        <v>0.03</v>
      </c>
      <c r="CL19" s="303">
        <f t="shared" si="53"/>
        <v>0.03</v>
      </c>
      <c r="CM19" s="303">
        <f t="shared" si="53"/>
        <v>0.03</v>
      </c>
      <c r="CN19" s="303">
        <f t="shared" si="53"/>
        <v>0.03</v>
      </c>
      <c r="CO19" s="303">
        <f t="shared" si="53"/>
        <v>0.03</v>
      </c>
      <c r="CP19" s="303">
        <f t="shared" si="53"/>
        <v>0.03</v>
      </c>
      <c r="CQ19" s="303">
        <f t="shared" si="53"/>
        <v>0.03</v>
      </c>
      <c r="CR19" s="303">
        <f t="shared" si="53"/>
        <v>0.03</v>
      </c>
      <c r="CS19" s="303">
        <f t="shared" si="53"/>
        <v>0.03</v>
      </c>
      <c r="CT19" s="303">
        <f t="shared" si="53"/>
        <v>0.03</v>
      </c>
      <c r="CU19" s="305">
        <f t="shared" si="53"/>
        <v>0.03</v>
      </c>
      <c r="CV19" s="303">
        <f t="shared" si="53"/>
        <v>0.03</v>
      </c>
      <c r="CW19" s="303">
        <f t="shared" si="53"/>
        <v>0.03</v>
      </c>
      <c r="CX19" s="303">
        <f t="shared" si="53"/>
        <v>0.03</v>
      </c>
      <c r="CY19" s="303">
        <f t="shared" si="53"/>
        <v>0.03</v>
      </c>
      <c r="CZ19" s="303">
        <f t="shared" si="53"/>
        <v>0.03</v>
      </c>
      <c r="DA19" s="303">
        <f t="shared" si="53"/>
        <v>0.03</v>
      </c>
      <c r="DB19" s="303">
        <f t="shared" ref="DB19:DG19" si="54">+DA19</f>
        <v>0.03</v>
      </c>
      <c r="DC19" s="303">
        <f t="shared" si="54"/>
        <v>0.03</v>
      </c>
      <c r="DD19" s="303">
        <f t="shared" si="54"/>
        <v>0.03</v>
      </c>
      <c r="DE19" s="303">
        <f t="shared" si="54"/>
        <v>0.03</v>
      </c>
      <c r="DF19" s="303">
        <f t="shared" si="54"/>
        <v>0.03</v>
      </c>
      <c r="DG19" s="303">
        <f t="shared" si="54"/>
        <v>0.03</v>
      </c>
    </row>
    <row r="20" spans="1:111" s="348" customFormat="1" x14ac:dyDescent="0.3">
      <c r="A20" s="35"/>
      <c r="B20" s="35"/>
      <c r="C20" s="545" t="s">
        <v>288</v>
      </c>
      <c r="D20" s="15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0"/>
      <c r="Q20" s="50"/>
      <c r="R20" s="50"/>
      <c r="S20" s="50"/>
      <c r="T20" s="50"/>
      <c r="U20" s="50"/>
      <c r="V20" s="345"/>
      <c r="W20" s="345"/>
      <c r="X20" s="345">
        <f>+(X12/W12)-1</f>
        <v>0</v>
      </c>
      <c r="Y20" s="345">
        <f t="shared" ref="Y20:CJ20" si="55">+(Y12/X12)-1</f>
        <v>4.8780487804878092E-2</v>
      </c>
      <c r="Z20" s="345">
        <f t="shared" si="55"/>
        <v>-1.5503875968992276E-2</v>
      </c>
      <c r="AA20" s="345">
        <f t="shared" si="55"/>
        <v>-7.8740157480314821E-3</v>
      </c>
      <c r="AB20" s="345">
        <f t="shared" si="55"/>
        <v>-7.1428571428571397E-2</v>
      </c>
      <c r="AC20" s="345">
        <f t="shared" si="55"/>
        <v>0.14529914529914523</v>
      </c>
      <c r="AD20" s="345">
        <f t="shared" si="55"/>
        <v>8.2089552238805874E-2</v>
      </c>
      <c r="AE20" s="345">
        <f t="shared" si="55"/>
        <v>-2.7586206896551779E-2</v>
      </c>
      <c r="AF20" s="345">
        <f t="shared" si="55"/>
        <v>-1.4184397163120588E-2</v>
      </c>
      <c r="AG20" s="345">
        <f t="shared" ref="AG20:AL20" si="56">+(AG12/AF12)-1</f>
        <v>7.9136690647481966E-2</v>
      </c>
      <c r="AH20" s="345">
        <f t="shared" si="56"/>
        <v>-2.6666666666666616E-2</v>
      </c>
      <c r="AI20" s="345">
        <f t="shared" si="56"/>
        <v>0.11643835616438358</v>
      </c>
      <c r="AJ20" s="345">
        <f t="shared" si="56"/>
        <v>-0.23312883435582821</v>
      </c>
      <c r="AK20" s="613">
        <f t="shared" si="56"/>
        <v>7.2000000000000064E-2</v>
      </c>
      <c r="AL20" s="346">
        <f t="shared" si="56"/>
        <v>0.15182651945180958</v>
      </c>
      <c r="AM20" s="606">
        <f t="shared" si="55"/>
        <v>-5.4878048780487854E-2</v>
      </c>
      <c r="AN20" s="203">
        <f>+(AN12/AM12)-1</f>
        <v>-0.16774193548387095</v>
      </c>
      <c r="AO20" s="346">
        <f t="shared" si="55"/>
        <v>-0.14728682170542629</v>
      </c>
      <c r="AP20" s="346">
        <f t="shared" si="55"/>
        <v>0.13636363636363646</v>
      </c>
      <c r="AQ20" s="346">
        <f t="shared" si="55"/>
        <v>-0.16800000000000004</v>
      </c>
      <c r="AR20" s="346">
        <f t="shared" si="55"/>
        <v>0.17307692307692313</v>
      </c>
      <c r="AS20" s="346">
        <f t="shared" si="55"/>
        <v>0.34426229508196737</v>
      </c>
      <c r="AT20" s="346">
        <f t="shared" si="55"/>
        <v>0.1707317073170731</v>
      </c>
      <c r="AU20" s="346">
        <f t="shared" si="55"/>
        <v>0.10416666666666674</v>
      </c>
      <c r="AV20" s="346">
        <f t="shared" si="55"/>
        <v>-6.6037735849056478E-2</v>
      </c>
      <c r="AW20" s="346">
        <f t="shared" si="55"/>
        <v>-4.5454545454545525E-2</v>
      </c>
      <c r="AX20" s="346">
        <f t="shared" si="55"/>
        <v>0.12698412698412698</v>
      </c>
      <c r="AY20" s="347">
        <f t="shared" si="55"/>
        <v>-5.1643192488262768E-2</v>
      </c>
      <c r="AZ20" s="346">
        <f t="shared" si="55"/>
        <v>-0.1633663366336634</v>
      </c>
      <c r="BA20" s="346">
        <f t="shared" si="55"/>
        <v>-0.14792899408284033</v>
      </c>
      <c r="BB20" s="346">
        <f t="shared" si="55"/>
        <v>0.11111111111111116</v>
      </c>
      <c r="BC20" s="346">
        <f t="shared" si="55"/>
        <v>-0.14999999999999991</v>
      </c>
      <c r="BD20" s="346">
        <f t="shared" si="55"/>
        <v>0.13235294117647056</v>
      </c>
      <c r="BE20" s="346">
        <f t="shared" si="55"/>
        <v>0.31168831168831179</v>
      </c>
      <c r="BF20" s="346">
        <f t="shared" si="55"/>
        <v>0.16336633663366329</v>
      </c>
      <c r="BG20" s="346">
        <f t="shared" si="55"/>
        <v>0.10212765957446801</v>
      </c>
      <c r="BH20" s="346">
        <f t="shared" si="55"/>
        <v>-6.1776061776061764E-2</v>
      </c>
      <c r="BI20" s="346">
        <f t="shared" si="55"/>
        <v>-4.115226337448552E-2</v>
      </c>
      <c r="BJ20" s="346">
        <f t="shared" si="55"/>
        <v>0.11587982832618016</v>
      </c>
      <c r="BK20" s="347">
        <f t="shared" si="55"/>
        <v>-5.0000000000000044E-2</v>
      </c>
      <c r="BL20" s="346">
        <f t="shared" si="55"/>
        <v>-0.1578947368421052</v>
      </c>
      <c r="BM20" s="346">
        <f t="shared" si="55"/>
        <v>-0.14423076923076927</v>
      </c>
      <c r="BN20" s="346">
        <f t="shared" si="55"/>
        <v>9.550561797752799E-2</v>
      </c>
      <c r="BO20" s="346">
        <f t="shared" si="55"/>
        <v>-0.14358974358974352</v>
      </c>
      <c r="BP20" s="346">
        <f t="shared" si="55"/>
        <v>0.11976047904191622</v>
      </c>
      <c r="BQ20" s="346">
        <f t="shared" si="55"/>
        <v>0.28877005347593587</v>
      </c>
      <c r="BR20" s="346">
        <f t="shared" si="55"/>
        <v>0.15767634854771795</v>
      </c>
      <c r="BS20" s="346">
        <f t="shared" si="55"/>
        <v>0.10035842293906794</v>
      </c>
      <c r="BT20" s="346">
        <f t="shared" si="55"/>
        <v>-5.863192182410415E-2</v>
      </c>
      <c r="BU20" s="346">
        <f t="shared" si="55"/>
        <v>-3.8062283737024249E-2</v>
      </c>
      <c r="BV20" s="346">
        <f t="shared" si="55"/>
        <v>0.11151079136690667</v>
      </c>
      <c r="BW20" s="347">
        <f t="shared" si="55"/>
        <v>-4.5307443365695921E-2</v>
      </c>
      <c r="BX20" s="346">
        <f t="shared" si="55"/>
        <v>-0.15593220338983049</v>
      </c>
      <c r="BY20" s="346">
        <f t="shared" si="55"/>
        <v>-0.14056224899598391</v>
      </c>
      <c r="BZ20" s="346">
        <f t="shared" si="55"/>
        <v>8.4112149532710179E-2</v>
      </c>
      <c r="CA20" s="346">
        <f t="shared" si="55"/>
        <v>-0.14224137931034486</v>
      </c>
      <c r="CB20" s="346">
        <f t="shared" si="55"/>
        <v>0.11055276381909551</v>
      </c>
      <c r="CC20" s="346">
        <f t="shared" si="55"/>
        <v>0.2714932126696834</v>
      </c>
      <c r="CD20" s="346">
        <f t="shared" si="55"/>
        <v>0.15302491103202831</v>
      </c>
      <c r="CE20" s="346">
        <f t="shared" si="55"/>
        <v>9.5679012345679215E-2</v>
      </c>
      <c r="CF20" s="346">
        <f t="shared" si="55"/>
        <v>-5.352112676056342E-2</v>
      </c>
      <c r="CG20" s="346">
        <f t="shared" si="55"/>
        <v>-3.8690476190476164E-2</v>
      </c>
      <c r="CH20" s="346">
        <f t="shared" si="55"/>
        <v>0.1083591331269349</v>
      </c>
      <c r="CI20" s="347">
        <f t="shared" si="55"/>
        <v>-4.4692737430167551E-2</v>
      </c>
      <c r="CJ20" s="346">
        <f t="shared" si="55"/>
        <v>-0.1520467836257311</v>
      </c>
      <c r="CK20" s="346">
        <f t="shared" ref="CK20:DG20" si="57">+(CK12/CJ12)-1</f>
        <v>-0.13793103448275845</v>
      </c>
      <c r="CL20" s="346">
        <f t="shared" si="57"/>
        <v>7.6000000000000068E-2</v>
      </c>
      <c r="CM20" s="346">
        <f t="shared" si="57"/>
        <v>-0.13754646840148699</v>
      </c>
      <c r="CN20" s="346">
        <f t="shared" si="57"/>
        <v>9.9137931034482651E-2</v>
      </c>
      <c r="CO20" s="346">
        <f t="shared" si="57"/>
        <v>0.26274509803921564</v>
      </c>
      <c r="CP20" s="346">
        <f t="shared" si="57"/>
        <v>0.14596273291925477</v>
      </c>
      <c r="CQ20" s="346">
        <f t="shared" si="57"/>
        <v>9.4850948509485278E-2</v>
      </c>
      <c r="CR20" s="346">
        <f t="shared" si="57"/>
        <v>-5.1980198019801915E-2</v>
      </c>
      <c r="CS20" s="346">
        <f t="shared" si="57"/>
        <v>-3.6553524804177617E-2</v>
      </c>
      <c r="CT20" s="346">
        <f t="shared" si="57"/>
        <v>0.10569105691056913</v>
      </c>
      <c r="CU20" s="347">
        <f t="shared" si="57"/>
        <v>-4.166666666666663E-2</v>
      </c>
      <c r="CV20" s="346">
        <f t="shared" si="57"/>
        <v>-0.14833759590792839</v>
      </c>
      <c r="CW20" s="346">
        <f t="shared" si="57"/>
        <v>-0.13813813813813813</v>
      </c>
      <c r="CX20" s="346">
        <f t="shared" si="57"/>
        <v>6.9686411149825656E-2</v>
      </c>
      <c r="CY20" s="346">
        <f t="shared" si="57"/>
        <v>-0.13355048859934837</v>
      </c>
      <c r="CZ20" s="346">
        <f t="shared" si="57"/>
        <v>9.3984962406014949E-2</v>
      </c>
      <c r="DA20" s="346">
        <f t="shared" si="57"/>
        <v>0.25085910652920962</v>
      </c>
      <c r="DB20" s="346">
        <f t="shared" si="57"/>
        <v>0.14285714285714279</v>
      </c>
      <c r="DC20" s="346">
        <f t="shared" si="57"/>
        <v>9.375E-2</v>
      </c>
      <c r="DD20" s="346">
        <f t="shared" si="57"/>
        <v>-5.0549450549450481E-2</v>
      </c>
      <c r="DE20" s="346">
        <f t="shared" si="57"/>
        <v>-3.472222222222221E-2</v>
      </c>
      <c r="DF20" s="346">
        <f t="shared" si="57"/>
        <v>0.10311750599520364</v>
      </c>
      <c r="DG20" s="346">
        <f t="shared" si="57"/>
        <v>-4.130434782608694E-2</v>
      </c>
    </row>
    <row r="21" spans="1:111" s="348" customFormat="1" x14ac:dyDescent="0.3">
      <c r="A21" s="35"/>
      <c r="B21" s="35"/>
      <c r="C21" s="545" t="s">
        <v>289</v>
      </c>
      <c r="D21" s="15"/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0"/>
      <c r="Q21" s="50"/>
      <c r="R21" s="50"/>
      <c r="S21" s="50"/>
      <c r="T21" s="50"/>
      <c r="U21" s="50"/>
      <c r="V21" s="345"/>
      <c r="W21" s="345">
        <f>+(W12/W18)</f>
        <v>0.91111111111111109</v>
      </c>
      <c r="X21" s="345">
        <f>+(X12/X18)</f>
        <v>0.8848920863309353</v>
      </c>
      <c r="Y21" s="345">
        <f t="shared" ref="Y21:AF21" si="58">+(Y12/Y18)</f>
        <v>0.89583333333333337</v>
      </c>
      <c r="Z21" s="345">
        <f t="shared" si="58"/>
        <v>0.88811188811188813</v>
      </c>
      <c r="AA21" s="345">
        <f t="shared" si="58"/>
        <v>0.93333333333333335</v>
      </c>
      <c r="AB21" s="345">
        <f t="shared" si="58"/>
        <v>0.95121951219512191</v>
      </c>
      <c r="AC21" s="345">
        <f t="shared" si="58"/>
        <v>0.97101449275362317</v>
      </c>
      <c r="AD21" s="345">
        <f t="shared" si="58"/>
        <v>0.91772151898734178</v>
      </c>
      <c r="AE21" s="345">
        <f t="shared" si="58"/>
        <v>0.94</v>
      </c>
      <c r="AF21" s="345">
        <f t="shared" si="58"/>
        <v>0.94557823129251706</v>
      </c>
      <c r="AG21" s="345">
        <f>+(AG12/AG18)</f>
        <v>0.96153846153846156</v>
      </c>
      <c r="AH21" s="345">
        <f>+(AH12/AH18)</f>
        <v>0.9358974358974359</v>
      </c>
      <c r="AI21" s="345">
        <f>+(AI12/AI18)</f>
        <v>0.94767441860465118</v>
      </c>
      <c r="AJ21" s="345">
        <f>+(AJ12/AJ18)</f>
        <v>0.91240875912408759</v>
      </c>
      <c r="AK21" s="613">
        <f>+(AK12/AK18)</f>
        <v>0.94366197183098588</v>
      </c>
      <c r="AL21" s="500">
        <f>+AVERAGE(AF21:AK21)</f>
        <v>0.94112654638135662</v>
      </c>
      <c r="AM21" s="606">
        <f t="shared" ref="AM21:CT21" si="59">+AL21</f>
        <v>0.94112654638135662</v>
      </c>
      <c r="AN21" s="203">
        <f t="shared" si="59"/>
        <v>0.94112654638135662</v>
      </c>
      <c r="AO21" s="346">
        <f t="shared" si="59"/>
        <v>0.94112654638135662</v>
      </c>
      <c r="AP21" s="346">
        <f t="shared" si="59"/>
        <v>0.94112654638135662</v>
      </c>
      <c r="AQ21" s="346">
        <f t="shared" si="59"/>
        <v>0.94112654638135662</v>
      </c>
      <c r="AR21" s="346">
        <f t="shared" si="59"/>
        <v>0.94112654638135662</v>
      </c>
      <c r="AS21" s="346">
        <f t="shared" si="59"/>
        <v>0.94112654638135662</v>
      </c>
      <c r="AT21" s="346">
        <f t="shared" si="59"/>
        <v>0.94112654638135662</v>
      </c>
      <c r="AU21" s="346">
        <f t="shared" si="59"/>
        <v>0.94112654638135662</v>
      </c>
      <c r="AV21" s="346">
        <f t="shared" si="59"/>
        <v>0.94112654638135662</v>
      </c>
      <c r="AW21" s="346">
        <f t="shared" si="59"/>
        <v>0.94112654638135662</v>
      </c>
      <c r="AX21" s="346">
        <f t="shared" si="59"/>
        <v>0.94112654638135662</v>
      </c>
      <c r="AY21" s="347">
        <f t="shared" si="59"/>
        <v>0.94112654638135662</v>
      </c>
      <c r="AZ21" s="346">
        <f t="shared" si="59"/>
        <v>0.94112654638135662</v>
      </c>
      <c r="BA21" s="346">
        <f t="shared" si="59"/>
        <v>0.94112654638135662</v>
      </c>
      <c r="BB21" s="346">
        <f t="shared" si="59"/>
        <v>0.94112654638135662</v>
      </c>
      <c r="BC21" s="346">
        <f t="shared" si="59"/>
        <v>0.94112654638135662</v>
      </c>
      <c r="BD21" s="346">
        <f t="shared" si="59"/>
        <v>0.94112654638135662</v>
      </c>
      <c r="BE21" s="346">
        <f t="shared" si="59"/>
        <v>0.94112654638135662</v>
      </c>
      <c r="BF21" s="346">
        <f t="shared" si="59"/>
        <v>0.94112654638135662</v>
      </c>
      <c r="BG21" s="346">
        <f t="shared" si="59"/>
        <v>0.94112654638135662</v>
      </c>
      <c r="BH21" s="346">
        <f t="shared" si="59"/>
        <v>0.94112654638135662</v>
      </c>
      <c r="BI21" s="346">
        <f t="shared" si="59"/>
        <v>0.94112654638135662</v>
      </c>
      <c r="BJ21" s="346">
        <f t="shared" si="59"/>
        <v>0.94112654638135662</v>
      </c>
      <c r="BK21" s="347">
        <f t="shared" si="59"/>
        <v>0.94112654638135662</v>
      </c>
      <c r="BL21" s="346">
        <f t="shared" si="59"/>
        <v>0.94112654638135662</v>
      </c>
      <c r="BM21" s="346">
        <f t="shared" si="59"/>
        <v>0.94112654638135662</v>
      </c>
      <c r="BN21" s="346">
        <f t="shared" si="59"/>
        <v>0.94112654638135662</v>
      </c>
      <c r="BO21" s="346">
        <f t="shared" si="59"/>
        <v>0.94112654638135662</v>
      </c>
      <c r="BP21" s="346">
        <f t="shared" si="59"/>
        <v>0.94112654638135662</v>
      </c>
      <c r="BQ21" s="346">
        <f t="shared" si="59"/>
        <v>0.94112654638135662</v>
      </c>
      <c r="BR21" s="346">
        <f t="shared" si="59"/>
        <v>0.94112654638135662</v>
      </c>
      <c r="BS21" s="346">
        <f t="shared" si="59"/>
        <v>0.94112654638135662</v>
      </c>
      <c r="BT21" s="346">
        <f t="shared" si="59"/>
        <v>0.94112654638135662</v>
      </c>
      <c r="BU21" s="346">
        <f t="shared" si="59"/>
        <v>0.94112654638135662</v>
      </c>
      <c r="BV21" s="346">
        <f t="shared" si="59"/>
        <v>0.94112654638135662</v>
      </c>
      <c r="BW21" s="347">
        <f t="shared" si="59"/>
        <v>0.94112654638135662</v>
      </c>
      <c r="BX21" s="346">
        <f t="shared" si="59"/>
        <v>0.94112654638135662</v>
      </c>
      <c r="BY21" s="346">
        <f t="shared" si="59"/>
        <v>0.94112654638135662</v>
      </c>
      <c r="BZ21" s="346">
        <f t="shared" si="59"/>
        <v>0.94112654638135662</v>
      </c>
      <c r="CA21" s="346">
        <f t="shared" si="59"/>
        <v>0.94112654638135662</v>
      </c>
      <c r="CB21" s="346">
        <f t="shared" si="59"/>
        <v>0.94112654638135662</v>
      </c>
      <c r="CC21" s="346">
        <f t="shared" si="59"/>
        <v>0.94112654638135662</v>
      </c>
      <c r="CD21" s="346">
        <f t="shared" si="59"/>
        <v>0.94112654638135662</v>
      </c>
      <c r="CE21" s="346">
        <f t="shared" si="59"/>
        <v>0.94112654638135662</v>
      </c>
      <c r="CF21" s="346">
        <f t="shared" si="59"/>
        <v>0.94112654638135662</v>
      </c>
      <c r="CG21" s="346">
        <f t="shared" si="59"/>
        <v>0.94112654638135662</v>
      </c>
      <c r="CH21" s="346">
        <f t="shared" si="59"/>
        <v>0.94112654638135662</v>
      </c>
      <c r="CI21" s="347">
        <f t="shared" si="59"/>
        <v>0.94112654638135662</v>
      </c>
      <c r="CJ21" s="346">
        <f t="shared" si="59"/>
        <v>0.94112654638135662</v>
      </c>
      <c r="CK21" s="346">
        <f t="shared" si="59"/>
        <v>0.94112654638135662</v>
      </c>
      <c r="CL21" s="346">
        <f t="shared" si="59"/>
        <v>0.94112654638135662</v>
      </c>
      <c r="CM21" s="346">
        <f t="shared" si="59"/>
        <v>0.94112654638135662</v>
      </c>
      <c r="CN21" s="346">
        <f t="shared" si="59"/>
        <v>0.94112654638135662</v>
      </c>
      <c r="CO21" s="346">
        <f t="shared" si="59"/>
        <v>0.94112654638135662</v>
      </c>
      <c r="CP21" s="346">
        <f t="shared" si="59"/>
        <v>0.94112654638135662</v>
      </c>
      <c r="CQ21" s="346">
        <f t="shared" si="59"/>
        <v>0.94112654638135662</v>
      </c>
      <c r="CR21" s="346">
        <f t="shared" si="59"/>
        <v>0.94112654638135662</v>
      </c>
      <c r="CS21" s="346">
        <f t="shared" si="59"/>
        <v>0.94112654638135662</v>
      </c>
      <c r="CT21" s="346">
        <f t="shared" si="59"/>
        <v>0.94112654638135662</v>
      </c>
      <c r="CU21" s="347">
        <f t="shared" ref="CU21:DG21" si="60">+CT21</f>
        <v>0.94112654638135662</v>
      </c>
      <c r="CV21" s="346">
        <f t="shared" si="60"/>
        <v>0.94112654638135662</v>
      </c>
      <c r="CW21" s="346">
        <f t="shared" si="60"/>
        <v>0.94112654638135662</v>
      </c>
      <c r="CX21" s="346">
        <f t="shared" si="60"/>
        <v>0.94112654638135662</v>
      </c>
      <c r="CY21" s="346">
        <f t="shared" si="60"/>
        <v>0.94112654638135662</v>
      </c>
      <c r="CZ21" s="346">
        <f t="shared" si="60"/>
        <v>0.94112654638135662</v>
      </c>
      <c r="DA21" s="346">
        <f t="shared" si="60"/>
        <v>0.94112654638135662</v>
      </c>
      <c r="DB21" s="346">
        <f t="shared" si="60"/>
        <v>0.94112654638135662</v>
      </c>
      <c r="DC21" s="346">
        <f t="shared" si="60"/>
        <v>0.94112654638135662</v>
      </c>
      <c r="DD21" s="346">
        <f t="shared" si="60"/>
        <v>0.94112654638135662</v>
      </c>
      <c r="DE21" s="346">
        <f t="shared" si="60"/>
        <v>0.94112654638135662</v>
      </c>
      <c r="DF21" s="346">
        <f t="shared" si="60"/>
        <v>0.94112654638135662</v>
      </c>
      <c r="DG21" s="346">
        <f t="shared" si="60"/>
        <v>0.94112654638135662</v>
      </c>
    </row>
    <row r="22" spans="1:111" ht="18" x14ac:dyDescent="0.3">
      <c r="A22" s="37"/>
      <c r="B22" s="37"/>
      <c r="C22" s="547" t="s">
        <v>291</v>
      </c>
      <c r="D22" s="27"/>
      <c r="E22" s="27"/>
      <c r="F22" s="27"/>
      <c r="G22" s="27"/>
      <c r="H22" s="27"/>
      <c r="I22" s="27"/>
      <c r="J22" s="27"/>
      <c r="K22" s="195"/>
      <c r="L22" s="195"/>
      <c r="M22" s="195"/>
      <c r="N22" s="195"/>
      <c r="O22" s="195"/>
      <c r="P22" s="195"/>
      <c r="Q22" s="195"/>
      <c r="R22" s="195"/>
      <c r="S22" s="195"/>
      <c r="T22" s="195"/>
      <c r="U22" s="196"/>
      <c r="V22" s="199"/>
      <c r="W22" s="196">
        <f t="shared" ref="W22:AF22" si="61">+W11/W12</f>
        <v>1.4390243902439024</v>
      </c>
      <c r="X22" s="196">
        <f t="shared" si="61"/>
        <v>1.5528455284552845</v>
      </c>
      <c r="Y22" s="196">
        <f t="shared" si="61"/>
        <v>1.4728682170542635</v>
      </c>
      <c r="Z22" s="196">
        <f t="shared" si="61"/>
        <v>1.4803149606299213</v>
      </c>
      <c r="AA22" s="196">
        <f t="shared" si="61"/>
        <v>1.6428571428571428</v>
      </c>
      <c r="AB22" s="196">
        <f t="shared" si="61"/>
        <v>1.4273504273504274</v>
      </c>
      <c r="AC22" s="196">
        <f t="shared" si="61"/>
        <v>1.4402985074626866</v>
      </c>
      <c r="AD22" s="196">
        <f t="shared" si="61"/>
        <v>1.4827586206896552</v>
      </c>
      <c r="AE22" s="196">
        <f t="shared" si="61"/>
        <v>1.3900709219858156</v>
      </c>
      <c r="AF22" s="196">
        <f t="shared" si="61"/>
        <v>1.5467625899280575</v>
      </c>
      <c r="AG22" s="196">
        <f>+AG11/AG12</f>
        <v>1.54</v>
      </c>
      <c r="AH22" s="196">
        <f>+AH11/AH12</f>
        <v>1.5068493150684932</v>
      </c>
      <c r="AI22" s="196">
        <f>+AI11/AI12</f>
        <v>1.656441717791411</v>
      </c>
      <c r="AJ22" s="196">
        <f>+AJ11/AJ12</f>
        <v>1.464</v>
      </c>
      <c r="AK22" s="614">
        <f>+AK11/AK12</f>
        <v>1.5895522388059702</v>
      </c>
      <c r="AL22" s="501">
        <f>+Z22</f>
        <v>1.4803149606299213</v>
      </c>
      <c r="AM22" s="198">
        <f t="shared" ref="AM22" si="62">+AA22</f>
        <v>1.6428571428571428</v>
      </c>
      <c r="AN22" s="501">
        <f>4.33/2.5</f>
        <v>1.732</v>
      </c>
      <c r="AO22" s="197">
        <f t="shared" ref="AO22:CT22" si="63">+AN22</f>
        <v>1.732</v>
      </c>
      <c r="AP22" s="197">
        <f t="shared" si="63"/>
        <v>1.732</v>
      </c>
      <c r="AQ22" s="197">
        <f t="shared" si="63"/>
        <v>1.732</v>
      </c>
      <c r="AR22" s="197">
        <f t="shared" si="63"/>
        <v>1.732</v>
      </c>
      <c r="AS22" s="197">
        <f t="shared" si="63"/>
        <v>1.732</v>
      </c>
      <c r="AT22" s="197">
        <f t="shared" si="63"/>
        <v>1.732</v>
      </c>
      <c r="AU22" s="197">
        <f t="shared" si="63"/>
        <v>1.732</v>
      </c>
      <c r="AV22" s="197">
        <f t="shared" si="63"/>
        <v>1.732</v>
      </c>
      <c r="AW22" s="197">
        <f t="shared" si="63"/>
        <v>1.732</v>
      </c>
      <c r="AX22" s="197">
        <f t="shared" si="63"/>
        <v>1.732</v>
      </c>
      <c r="AY22" s="315">
        <f t="shared" si="63"/>
        <v>1.732</v>
      </c>
      <c r="AZ22" s="197">
        <f t="shared" si="63"/>
        <v>1.732</v>
      </c>
      <c r="BA22" s="197">
        <f t="shared" si="63"/>
        <v>1.732</v>
      </c>
      <c r="BB22" s="197">
        <f t="shared" si="63"/>
        <v>1.732</v>
      </c>
      <c r="BC22" s="197">
        <f t="shared" si="63"/>
        <v>1.732</v>
      </c>
      <c r="BD22" s="197">
        <f t="shared" si="63"/>
        <v>1.732</v>
      </c>
      <c r="BE22" s="197">
        <f t="shared" si="63"/>
        <v>1.732</v>
      </c>
      <c r="BF22" s="197">
        <f t="shared" si="63"/>
        <v>1.732</v>
      </c>
      <c r="BG22" s="197">
        <f t="shared" si="63"/>
        <v>1.732</v>
      </c>
      <c r="BH22" s="197">
        <f t="shared" si="63"/>
        <v>1.732</v>
      </c>
      <c r="BI22" s="197">
        <f t="shared" si="63"/>
        <v>1.732</v>
      </c>
      <c r="BJ22" s="197">
        <f t="shared" si="63"/>
        <v>1.732</v>
      </c>
      <c r="BK22" s="315">
        <f t="shared" si="63"/>
        <v>1.732</v>
      </c>
      <c r="BL22" s="197">
        <f t="shared" si="63"/>
        <v>1.732</v>
      </c>
      <c r="BM22" s="197">
        <f t="shared" si="63"/>
        <v>1.732</v>
      </c>
      <c r="BN22" s="197">
        <f t="shared" si="63"/>
        <v>1.732</v>
      </c>
      <c r="BO22" s="197">
        <f t="shared" si="63"/>
        <v>1.732</v>
      </c>
      <c r="BP22" s="197">
        <f t="shared" si="63"/>
        <v>1.732</v>
      </c>
      <c r="BQ22" s="197">
        <f t="shared" si="63"/>
        <v>1.732</v>
      </c>
      <c r="BR22" s="197">
        <f t="shared" si="63"/>
        <v>1.732</v>
      </c>
      <c r="BS22" s="197">
        <f t="shared" si="63"/>
        <v>1.732</v>
      </c>
      <c r="BT22" s="197">
        <f t="shared" si="63"/>
        <v>1.732</v>
      </c>
      <c r="BU22" s="197">
        <f t="shared" si="63"/>
        <v>1.732</v>
      </c>
      <c r="BV22" s="197">
        <f t="shared" si="63"/>
        <v>1.732</v>
      </c>
      <c r="BW22" s="315">
        <f t="shared" si="63"/>
        <v>1.732</v>
      </c>
      <c r="BX22" s="197">
        <f t="shared" si="63"/>
        <v>1.732</v>
      </c>
      <c r="BY22" s="197">
        <f t="shared" si="63"/>
        <v>1.732</v>
      </c>
      <c r="BZ22" s="197">
        <f t="shared" si="63"/>
        <v>1.732</v>
      </c>
      <c r="CA22" s="197">
        <f t="shared" si="63"/>
        <v>1.732</v>
      </c>
      <c r="CB22" s="197">
        <f t="shared" si="63"/>
        <v>1.732</v>
      </c>
      <c r="CC22" s="197">
        <f t="shared" si="63"/>
        <v>1.732</v>
      </c>
      <c r="CD22" s="197">
        <f t="shared" si="63"/>
        <v>1.732</v>
      </c>
      <c r="CE22" s="197">
        <f t="shared" si="63"/>
        <v>1.732</v>
      </c>
      <c r="CF22" s="197">
        <f t="shared" si="63"/>
        <v>1.732</v>
      </c>
      <c r="CG22" s="197">
        <f t="shared" si="63"/>
        <v>1.732</v>
      </c>
      <c r="CH22" s="197">
        <f t="shared" si="63"/>
        <v>1.732</v>
      </c>
      <c r="CI22" s="315">
        <f t="shared" si="63"/>
        <v>1.732</v>
      </c>
      <c r="CJ22" s="197">
        <f t="shared" si="63"/>
        <v>1.732</v>
      </c>
      <c r="CK22" s="197">
        <f t="shared" si="63"/>
        <v>1.732</v>
      </c>
      <c r="CL22" s="197">
        <f t="shared" si="63"/>
        <v>1.732</v>
      </c>
      <c r="CM22" s="197">
        <f t="shared" si="63"/>
        <v>1.732</v>
      </c>
      <c r="CN22" s="197">
        <f t="shared" si="63"/>
        <v>1.732</v>
      </c>
      <c r="CO22" s="197">
        <f t="shared" si="63"/>
        <v>1.732</v>
      </c>
      <c r="CP22" s="197">
        <f t="shared" si="63"/>
        <v>1.732</v>
      </c>
      <c r="CQ22" s="197">
        <f t="shared" si="63"/>
        <v>1.732</v>
      </c>
      <c r="CR22" s="197">
        <f t="shared" si="63"/>
        <v>1.732</v>
      </c>
      <c r="CS22" s="197">
        <f t="shared" si="63"/>
        <v>1.732</v>
      </c>
      <c r="CT22" s="197">
        <f t="shared" si="63"/>
        <v>1.732</v>
      </c>
      <c r="CU22" s="315">
        <f t="shared" ref="CU22:DG22" si="64">+CT22</f>
        <v>1.732</v>
      </c>
      <c r="CV22" s="197">
        <f t="shared" si="64"/>
        <v>1.732</v>
      </c>
      <c r="CW22" s="197">
        <f t="shared" si="64"/>
        <v>1.732</v>
      </c>
      <c r="CX22" s="197">
        <f t="shared" si="64"/>
        <v>1.732</v>
      </c>
      <c r="CY22" s="197">
        <f t="shared" si="64"/>
        <v>1.732</v>
      </c>
      <c r="CZ22" s="197">
        <f t="shared" si="64"/>
        <v>1.732</v>
      </c>
      <c r="DA22" s="197">
        <f t="shared" si="64"/>
        <v>1.732</v>
      </c>
      <c r="DB22" s="197">
        <f t="shared" si="64"/>
        <v>1.732</v>
      </c>
      <c r="DC22" s="197">
        <f t="shared" si="64"/>
        <v>1.732</v>
      </c>
      <c r="DD22" s="197">
        <f t="shared" si="64"/>
        <v>1.732</v>
      </c>
      <c r="DE22" s="197">
        <f t="shared" si="64"/>
        <v>1.732</v>
      </c>
      <c r="DF22" s="197">
        <f t="shared" si="64"/>
        <v>1.732</v>
      </c>
      <c r="DG22" s="198">
        <f t="shared" si="64"/>
        <v>1.732</v>
      </c>
    </row>
    <row r="23" spans="1:111" x14ac:dyDescent="0.3">
      <c r="A23" s="35"/>
      <c r="B23" s="112" t="s">
        <v>161</v>
      </c>
      <c r="C23" s="546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615"/>
      <c r="AL23" s="16"/>
      <c r="AM23" s="17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306"/>
      <c r="AZ23" s="16"/>
      <c r="BA23" s="16"/>
      <c r="BB23" s="16"/>
      <c r="BC23" s="16"/>
      <c r="BD23" s="16"/>
      <c r="BE23" s="16"/>
      <c r="BF23" s="16"/>
      <c r="BG23" s="16"/>
      <c r="BH23" s="16"/>
      <c r="BI23" s="16"/>
      <c r="BJ23" s="16"/>
      <c r="BK23" s="306"/>
      <c r="BL23" s="16"/>
      <c r="BM23" s="16"/>
      <c r="BN23" s="16"/>
      <c r="BO23" s="16"/>
      <c r="BP23" s="16"/>
      <c r="BQ23" s="16"/>
      <c r="BR23" s="16"/>
      <c r="BS23" s="16"/>
      <c r="BT23" s="16"/>
      <c r="BU23" s="16"/>
      <c r="BV23" s="16"/>
      <c r="BW23" s="306"/>
      <c r="BX23" s="16"/>
      <c r="BY23" s="16"/>
      <c r="BZ23" s="16"/>
      <c r="CA23" s="16"/>
      <c r="CB23" s="16"/>
      <c r="CC23" s="16"/>
      <c r="CD23" s="16"/>
      <c r="CE23" s="16"/>
      <c r="CF23" s="16"/>
      <c r="CG23" s="16"/>
      <c r="CH23" s="16"/>
      <c r="CI23" s="306"/>
      <c r="CJ23" s="16"/>
      <c r="CK23" s="16"/>
      <c r="CL23" s="16"/>
      <c r="CM23" s="16"/>
      <c r="CN23" s="16"/>
      <c r="CO23" s="16"/>
      <c r="CP23" s="16"/>
      <c r="CQ23" s="16"/>
      <c r="CR23" s="16"/>
      <c r="CS23" s="16"/>
      <c r="CT23" s="16"/>
      <c r="CU23" s="306"/>
      <c r="CV23" s="16"/>
      <c r="CW23" s="16"/>
      <c r="CX23" s="16"/>
      <c r="CY23" s="16"/>
      <c r="CZ23" s="16"/>
      <c r="DA23" s="16"/>
      <c r="DB23" s="16"/>
      <c r="DC23" s="16"/>
      <c r="DD23" s="16"/>
      <c r="DE23" s="16"/>
      <c r="DF23" s="16"/>
      <c r="DG23" s="17"/>
    </row>
    <row r="24" spans="1:111" x14ac:dyDescent="0.3">
      <c r="A24" s="36"/>
      <c r="B24" s="113">
        <v>260</v>
      </c>
      <c r="C24" s="547" t="s">
        <v>50</v>
      </c>
      <c r="D24" s="18"/>
      <c r="E24" s="18">
        <f>NETWORKDAYS(D4+1,E4,Holidays!$B$3:$B$62)</f>
        <v>19</v>
      </c>
      <c r="F24" s="18">
        <f>NETWORKDAYS(E4+1,F4,Holidays!$B$3:$B$62)</f>
        <v>23</v>
      </c>
      <c r="G24" s="18">
        <f>NETWORKDAYS(F4+1,G4,Holidays!$B$3:$B$62)</f>
        <v>21</v>
      </c>
      <c r="H24" s="18">
        <f>NETWORKDAYS(G4+1,H4,Holidays!$B$3:$B$62)</f>
        <v>21</v>
      </c>
      <c r="I24" s="18">
        <f>NETWORKDAYS(H4+1,I4,Holidays!$B$3:$B$62)</f>
        <v>22</v>
      </c>
      <c r="J24" s="18">
        <f>NETWORKDAYS(I4+1,J4,Holidays!$B$3:$B$62)</f>
        <v>20</v>
      </c>
      <c r="K24" s="18">
        <f>NETWORKDAYS(J4+1,K4,Holidays!$B$3:$B$62)</f>
        <v>23</v>
      </c>
      <c r="L24" s="18">
        <f>NETWORKDAYS(K4+1,L4,Holidays!$B$3:$B$62)</f>
        <v>21</v>
      </c>
      <c r="M24" s="18">
        <f>NETWORKDAYS(L4+1,M4,Holidays!$B$3:$B$62)</f>
        <v>21</v>
      </c>
      <c r="N24" s="18">
        <f>NETWORKDAYS(M4+1,N4,Holidays!$B$3:$B$62)</f>
        <v>21</v>
      </c>
      <c r="O24" s="18">
        <f>NETWORKDAYS(N4+1,O4,Holidays!$B$3:$B$62)</f>
        <v>21</v>
      </c>
      <c r="P24" s="18">
        <f>NETWORKDAYS(O4+1,P4,Holidays!$B$3:$B$62)</f>
        <v>21</v>
      </c>
      <c r="Q24" s="18">
        <f>NETWORKDAYS(P4+1,Q4,Holidays!$B$3:$B$62)</f>
        <v>19</v>
      </c>
      <c r="R24" s="18">
        <f>NETWORKDAYS(Q4+1,R4,Holidays!$B$3:$B$62)</f>
        <v>23</v>
      </c>
      <c r="S24" s="18">
        <f>NETWORKDAYS(R4+1,S4,Holidays!$B$3:$B$62)</f>
        <v>20</v>
      </c>
      <c r="T24" s="18">
        <f>NETWORKDAYS(S4+1,T4,Holidays!$B$3:$B$62)</f>
        <v>22</v>
      </c>
      <c r="U24" s="18">
        <f>NETWORKDAYS(T4+1,U4,Holidays!$B$3:$B$62)</f>
        <v>22</v>
      </c>
      <c r="V24" s="18">
        <f>NETWORKDAYS(U4+1,V4,Holidays!$B$3:$B$62)</f>
        <v>20</v>
      </c>
      <c r="W24" s="18">
        <f>NETWORKDAYS(V4+1,W4,Holidays!$B$3:$B$62)</f>
        <v>23</v>
      </c>
      <c r="X24" s="18">
        <f>NETWORKDAYS(W4+1,X4,Holidays!$B$3:$B$62)</f>
        <v>20</v>
      </c>
      <c r="Y24" s="18">
        <f>NETWORKDAYS(X4+1,Y4,Holidays!$B$3:$B$62)</f>
        <v>22</v>
      </c>
      <c r="Z24" s="18">
        <f>NETWORKDAYS(Y4+1,Z4,Holidays!$B$3:$B$62)</f>
        <v>20</v>
      </c>
      <c r="AA24" s="18">
        <f>NETWORKDAYS(Z4+1,AA4,Holidays!$B$3:$B$62)</f>
        <v>19</v>
      </c>
      <c r="AB24" s="18">
        <f>NETWORKDAYS(AA4+1,AB4,Holidays!$B$3:$B$62)</f>
        <v>22</v>
      </c>
      <c r="AC24" s="18">
        <f>NETWORKDAYS(AB4+1,AC4,Holidays!$B$3:$B$62)</f>
        <v>21</v>
      </c>
      <c r="AD24" s="18">
        <f>NETWORKDAYS(AC4+1,AD4,Holidays!$B$3:$B$62)</f>
        <v>21</v>
      </c>
      <c r="AE24" s="18">
        <f>NETWORKDAYS(AD4+1,AE4,Holidays!$B$3:$B$62)</f>
        <v>22</v>
      </c>
      <c r="AF24" s="18">
        <f>NETWORKDAYS(AE4+1,AF4,Holidays!$B$3:$B$62)</f>
        <v>23</v>
      </c>
      <c r="AG24" s="18">
        <f>NETWORKDAYS(AF4+1,AG4,Holidays!$B$3:$B$62)</f>
        <v>20</v>
      </c>
      <c r="AH24" s="18">
        <f>NETWORKDAYS(AG4+1,AH4,Holidays!$B$3:$B$62)</f>
        <v>22</v>
      </c>
      <c r="AI24" s="18">
        <f>NETWORKDAYS(AH4+1,AI4,Holidays!$B$3:$B$62)</f>
        <v>22</v>
      </c>
      <c r="AJ24" s="18">
        <f>NETWORKDAYS(AI4+1,AJ4,Holidays!$B$3:$B$62)</f>
        <v>21</v>
      </c>
      <c r="AK24" s="616">
        <f>NETWORKDAYS(AJ4+1,AK4,Holidays!$B$3:$B$62)</f>
        <v>23</v>
      </c>
      <c r="AL24" s="19">
        <f>NETWORKDAYS(AK4+1,AL4,Holidays!$B$3:$B$62)</f>
        <v>19</v>
      </c>
      <c r="AM24" s="20">
        <f>NETWORKDAYS(AL4+1,AM4,Holidays!$B$3:$B$62)</f>
        <v>19</v>
      </c>
      <c r="AN24" s="19">
        <f>NETWORKDAYS(AM4+1,AN4,Holidays!$B$3:$B$62)</f>
        <v>23</v>
      </c>
      <c r="AO24" s="19">
        <f>NETWORKDAYS(AN4+1,AO4,Holidays!$B$3:$B$62)</f>
        <v>20</v>
      </c>
      <c r="AP24" s="19">
        <f>NETWORKDAYS(AO4+1,AP4,Holidays!$B$3:$B$62)</f>
        <v>21</v>
      </c>
      <c r="AQ24" s="19">
        <f>NETWORKDAYS(AP4+1,AQ4,Holidays!$B$3:$B$62)</f>
        <v>22</v>
      </c>
      <c r="AR24" s="19">
        <f>NETWORKDAYS(AQ4+1,AR4,Holidays!$B$3:$B$62)</f>
        <v>22</v>
      </c>
      <c r="AS24" s="19">
        <f>NETWORKDAYS(AR4+1,AS4,Holidays!$B$3:$B$62)</f>
        <v>21</v>
      </c>
      <c r="AT24" s="19">
        <f>NETWORKDAYS(AS4+1,AT4,Holidays!$B$3:$B$62)</f>
        <v>22</v>
      </c>
      <c r="AU24" s="19">
        <f>NETWORKDAYS(AT4+1,AU4,Holidays!$B$3:$B$62)</f>
        <v>21</v>
      </c>
      <c r="AV24" s="19">
        <f>NETWORKDAYS(AU4+1,AV4,Holidays!$B$3:$B$62)</f>
        <v>22</v>
      </c>
      <c r="AW24" s="19">
        <f>NETWORKDAYS(AV4+1,AW4,Holidays!$B$3:$B$62)</f>
        <v>23</v>
      </c>
      <c r="AX24" s="19">
        <f>NETWORKDAYS(AW4+1,AX4,Holidays!$B$3:$B$62)</f>
        <v>18</v>
      </c>
      <c r="AY24" s="307">
        <f>NETWORKDAYS(AX4+1,AY4,Holidays!$B$3:$B$62)</f>
        <v>21</v>
      </c>
      <c r="AZ24" s="19">
        <f>NETWORKDAYS(AY4+1,AZ4,Holidays!$B$3:$B$62)</f>
        <v>22</v>
      </c>
      <c r="BA24" s="19">
        <f>NETWORKDAYS(AZ4+1,BA4,Holidays!$B$3:$B$62)</f>
        <v>20</v>
      </c>
      <c r="BB24" s="19">
        <f>NETWORKDAYS(BA4+1,BB4,Holidays!$B$3:$B$62)</f>
        <v>22</v>
      </c>
      <c r="BC24" s="19">
        <f>NETWORKDAYS(BB4+1,BC4,Holidays!$B$3:$B$62)</f>
        <v>22</v>
      </c>
      <c r="BD24" s="19">
        <f>NETWORKDAYS(BC4+1,BD4,Holidays!$B$3:$B$62)</f>
        <v>21</v>
      </c>
      <c r="BE24" s="19">
        <f>NETWORKDAYS(BD4+1,BE4,Holidays!$B$3:$B$62)</f>
        <v>22</v>
      </c>
      <c r="BF24" s="19">
        <f>NETWORKDAYS(BE4+1,BF4,Holidays!$B$3:$B$62)</f>
        <v>23</v>
      </c>
      <c r="BG24" s="19">
        <f>NETWORKDAYS(BF4+1,BG4,Holidays!$B$3:$B$62)</f>
        <v>21</v>
      </c>
      <c r="BH24" s="19">
        <f>NETWORKDAYS(BG4+1,BH4,Holidays!$B$3:$B$62)</f>
        <v>22</v>
      </c>
      <c r="BI24" s="19">
        <f>NETWORKDAYS(BH4+1,BI4,Holidays!$B$3:$B$62)</f>
        <v>22</v>
      </c>
      <c r="BJ24" s="19">
        <f>NETWORKDAYS(BI4+1,BJ4,Holidays!$B$3:$B$62)</f>
        <v>21</v>
      </c>
      <c r="BK24" s="307">
        <f>NETWORKDAYS(BJ4+1,BK4,Holidays!$B$3:$B$62)</f>
        <v>23</v>
      </c>
      <c r="BL24" s="19">
        <f>NETWORKDAYS(BK4+1,BL4,Holidays!$B$3:$B$62)</f>
        <v>21</v>
      </c>
      <c r="BM24" s="19">
        <f>NETWORKDAYS(BL4+1,BM4,Holidays!$B$3:$B$62)</f>
        <v>20</v>
      </c>
      <c r="BN24" s="19">
        <f>NETWORKDAYS(BM4+1,BN4,Holidays!$B$3:$B$62)</f>
        <v>23</v>
      </c>
      <c r="BO24" s="19">
        <f>NETWORKDAYS(BN4+1,BO4,Holidays!$B$3:$B$62)</f>
        <v>22</v>
      </c>
      <c r="BP24" s="19">
        <f>NETWORKDAYS(BO4+1,BP4,Holidays!$B$3:$B$62)</f>
        <v>21</v>
      </c>
      <c r="BQ24" s="19">
        <f>NETWORKDAYS(BP4+1,BQ4,Holidays!$B$3:$B$62)</f>
        <v>22</v>
      </c>
      <c r="BR24" s="19">
        <f>NETWORKDAYS(BQ4+1,BR4,Holidays!$B$3:$B$62)</f>
        <v>22</v>
      </c>
      <c r="BS24" s="19">
        <f>NETWORKDAYS(BR4+1,BS4,Holidays!$B$3:$B$62)</f>
        <v>22</v>
      </c>
      <c r="BT24" s="19">
        <f>NETWORKDAYS(BS4+1,BT4,Holidays!$B$3:$B$62)</f>
        <v>22</v>
      </c>
      <c r="BU24" s="19">
        <f>NETWORKDAYS(BT4+1,BU4,Holidays!$B$3:$B$62)</f>
        <v>21</v>
      </c>
      <c r="BV24" s="19">
        <f>NETWORKDAYS(BU4+1,BV4,Holidays!$B$3:$B$62)</f>
        <v>22</v>
      </c>
      <c r="BW24" s="307">
        <f>NETWORKDAYS(BV4+1,BW4,Holidays!$B$3:$B$62)</f>
        <v>23</v>
      </c>
      <c r="BX24" s="19">
        <f>NETWORKDAYS(BW4+1,BX4,Holidays!$B$3:$B$62)</f>
        <v>21</v>
      </c>
      <c r="BY24" s="19">
        <f>NETWORKDAYS(BX4+1,BY4,Holidays!$B$3:$B$62)</f>
        <v>21</v>
      </c>
      <c r="BZ24" s="19">
        <f>NETWORKDAYS(BY4+1,BZ4,Holidays!$B$3:$B$62)</f>
        <v>23</v>
      </c>
      <c r="CA24" s="19">
        <f>NETWORKDAYS(BZ4+1,CA4,Holidays!$B$3:$B$62)</f>
        <v>20</v>
      </c>
      <c r="CB24" s="19">
        <f>NETWORKDAYS(CA4+1,CB4,Holidays!$B$3:$B$62)</f>
        <v>23</v>
      </c>
      <c r="CC24" s="19">
        <f>NETWORKDAYS(CB4+1,CC4,Holidays!$B$3:$B$62)</f>
        <v>22</v>
      </c>
      <c r="CD24" s="19">
        <f>NETWORKDAYS(CC4+1,CD4,Holidays!$B$3:$B$62)</f>
        <v>21</v>
      </c>
      <c r="CE24" s="19">
        <f>NETWORKDAYS(CD4+1,CE4,Holidays!$B$3:$B$62)</f>
        <v>23</v>
      </c>
      <c r="CF24" s="19">
        <f>NETWORKDAYS(CE4+1,CF4,Holidays!$B$3:$B$62)</f>
        <v>21</v>
      </c>
      <c r="CG24" s="19">
        <f>NETWORKDAYS(CF4+1,CG4,Holidays!$B$3:$B$62)</f>
        <v>22</v>
      </c>
      <c r="CH24" s="19">
        <f>NETWORKDAYS(CG4+1,CH4,Holidays!$B$3:$B$62)</f>
        <v>22</v>
      </c>
      <c r="CI24" s="307">
        <f>NETWORKDAYS(CH4+1,CI4,Holidays!$B$3:$B$62)</f>
        <v>21</v>
      </c>
      <c r="CJ24" s="19">
        <f>NETWORKDAYS(CI4+1,CJ4,Holidays!$B$3:$B$62)</f>
        <v>23</v>
      </c>
      <c r="CK24" s="19">
        <f>NETWORKDAYS(CJ4+1,CK4,Holidays!$B$3:$B$62)</f>
        <v>20</v>
      </c>
      <c r="CL24" s="19">
        <f>NETWORKDAYS(CK4+1,CL4,Holidays!$B$3:$B$62)</f>
        <v>22</v>
      </c>
      <c r="CM24" s="19">
        <f>NETWORKDAYS(CL4+1,CM4,Holidays!$B$3:$B$62)</f>
        <v>21</v>
      </c>
      <c r="CN24" s="19">
        <f>NETWORKDAYS(CM4+1,CN4,Holidays!$B$3:$B$62)</f>
        <v>23</v>
      </c>
      <c r="CO24" s="19">
        <f>NETWORKDAYS(CN4+1,CO4,Holidays!$B$3:$B$62)</f>
        <v>21</v>
      </c>
      <c r="CP24" s="19">
        <f>NETWORKDAYS(CO4+1,CP4,Holidays!$B$3:$B$62)</f>
        <v>22</v>
      </c>
      <c r="CQ24" s="19">
        <f>NETWORKDAYS(CP4+1,CQ4,Holidays!$B$3:$B$62)</f>
        <v>23</v>
      </c>
      <c r="CR24" s="19">
        <f>NETWORKDAYS(CQ4+1,CR4,Holidays!$B$3:$B$62)</f>
        <v>20</v>
      </c>
      <c r="CS24" s="19">
        <f>NETWORKDAYS(CR4+1,CS4,Holidays!$B$3:$B$62)</f>
        <v>23</v>
      </c>
      <c r="CT24" s="19">
        <f>NETWORKDAYS(CS4+1,CT4,Holidays!$B$3:$B$62)</f>
        <v>22</v>
      </c>
      <c r="CU24" s="307">
        <f>NETWORKDAYS(CT4+1,CU4,Holidays!$B$3:$B$62)</f>
        <v>21</v>
      </c>
      <c r="CV24" s="19">
        <f>NETWORKDAYS(CU4+1,CV4,Holidays!$B$3:$B$62)</f>
        <v>23</v>
      </c>
      <c r="CW24" s="19">
        <f>NETWORKDAYS(CV4+1,CW4,Holidays!$B$3:$B$62)</f>
        <v>20</v>
      </c>
      <c r="CX24" s="19">
        <f>NETWORKDAYS(CW4+1,CX4,Holidays!$B$3:$B$62)</f>
        <v>21</v>
      </c>
      <c r="CY24" s="19">
        <f>NETWORKDAYS(CX4+1,CY4,Holidays!$B$3:$B$62)</f>
        <v>22</v>
      </c>
      <c r="CZ24" s="19">
        <f>NETWORKDAYS(CY4+1,CZ4,Holidays!$B$3:$B$62)</f>
        <v>23</v>
      </c>
      <c r="DA24" s="19">
        <f>NETWORKDAYS(CZ4+1,DA4,Holidays!$B$3:$B$62)</f>
        <v>20</v>
      </c>
      <c r="DB24" s="19">
        <f>NETWORKDAYS(DA4+1,DB4,Holidays!$B$3:$B$62)</f>
        <v>23</v>
      </c>
      <c r="DC24" s="19">
        <f>NETWORKDAYS(DB4+1,DC4,Holidays!$B$3:$B$62)</f>
        <v>22</v>
      </c>
      <c r="DD24" s="19">
        <f>NETWORKDAYS(DC4+1,DD4,Holidays!$B$3:$B$62)</f>
        <v>21</v>
      </c>
      <c r="DE24" s="19">
        <f>NETWORKDAYS(DD4+1,DE4,Holidays!$B$3:$B$62)</f>
        <v>23</v>
      </c>
      <c r="DF24" s="19">
        <f>NETWORKDAYS(DE4+1,DF4,Holidays!$B$3:$B$62)</f>
        <v>21</v>
      </c>
      <c r="DG24" s="20">
        <f>NETWORKDAYS(DF4+1,DG4,Holidays!$B$3:$B$62)</f>
        <v>22</v>
      </c>
    </row>
    <row r="25" spans="1:111" ht="18" x14ac:dyDescent="0.3">
      <c r="A25" s="37"/>
      <c r="B25" s="37"/>
      <c r="C25" s="547" t="s">
        <v>228</v>
      </c>
      <c r="D25" s="21"/>
      <c r="E25" s="21">
        <f t="shared" ref="E25:AF25" si="65">+E26/E24/E11</f>
        <v>4.3859649122807015E-3</v>
      </c>
      <c r="F25" s="21">
        <f t="shared" si="65"/>
        <v>5.434782608695652E-3</v>
      </c>
      <c r="G25" s="21">
        <f t="shared" si="65"/>
        <v>6.8027210884353739E-3</v>
      </c>
      <c r="H25" s="21">
        <f t="shared" si="65"/>
        <v>4.7619047619047615E-3</v>
      </c>
      <c r="I25" s="21">
        <f t="shared" si="65"/>
        <v>3.4965034965034965E-3</v>
      </c>
      <c r="J25" s="21">
        <f t="shared" si="65"/>
        <v>4.5454545454545461E-3</v>
      </c>
      <c r="K25" s="21">
        <f t="shared" si="65"/>
        <v>6.5217391304347824E-2</v>
      </c>
      <c r="L25" s="21">
        <f t="shared" si="65"/>
        <v>0.10846560846560846</v>
      </c>
      <c r="M25" s="21">
        <f t="shared" si="65"/>
        <v>0.16036414565826332</v>
      </c>
      <c r="N25" s="21">
        <f t="shared" si="65"/>
        <v>0.13419913419913421</v>
      </c>
      <c r="O25" s="21">
        <f t="shared" si="65"/>
        <v>0.10204081632653061</v>
      </c>
      <c r="P25" s="21">
        <f t="shared" si="65"/>
        <v>0.10448412698412697</v>
      </c>
      <c r="Q25" s="21">
        <f t="shared" si="65"/>
        <v>0.1118421052631579</v>
      </c>
      <c r="R25" s="21">
        <f t="shared" si="65"/>
        <v>8.5869565217391308E-2</v>
      </c>
      <c r="S25" s="21">
        <f t="shared" si="65"/>
        <v>0.13035714285714287</v>
      </c>
      <c r="T25" s="21">
        <f t="shared" si="65"/>
        <v>0.20833333333333334</v>
      </c>
      <c r="U25" s="21">
        <f t="shared" si="65"/>
        <v>0.1571969696969697</v>
      </c>
      <c r="V25" s="21">
        <f t="shared" si="65"/>
        <v>2.1500000000000002E-2</v>
      </c>
      <c r="W25" s="21">
        <f t="shared" si="65"/>
        <v>2.8309997543601081E-2</v>
      </c>
      <c r="X25" s="21">
        <f t="shared" si="65"/>
        <v>3.2264397905759162E-2</v>
      </c>
      <c r="Y25" s="21">
        <f t="shared" si="65"/>
        <v>2.8827751196172251E-2</v>
      </c>
      <c r="Z25" s="21">
        <f t="shared" si="65"/>
        <v>3.2247340425531915E-2</v>
      </c>
      <c r="AA25" s="21">
        <f t="shared" si="65"/>
        <v>3.2926519196542083E-2</v>
      </c>
      <c r="AB25" s="21">
        <f t="shared" si="65"/>
        <v>2.5925421883505714E-2</v>
      </c>
      <c r="AC25" s="21">
        <f t="shared" si="65"/>
        <v>3.3802121885023441E-2</v>
      </c>
      <c r="AD25" s="21">
        <f t="shared" si="65"/>
        <v>3.3997785160575854E-2</v>
      </c>
      <c r="AE25" s="21">
        <f t="shared" si="65"/>
        <v>3.1134044526901671E-2</v>
      </c>
      <c r="AF25" s="21">
        <f t="shared" si="65"/>
        <v>2.9322548028311423E-2</v>
      </c>
      <c r="AG25" s="21">
        <f>+AG26/AG24/AG11</f>
        <v>2.9166666666666667E-2</v>
      </c>
      <c r="AH25" s="21">
        <f>+AH26/AH24/AH11</f>
        <v>2.2882231404958677E-2</v>
      </c>
      <c r="AI25" s="21">
        <f>+AI26/AI24/AI11</f>
        <v>2.5378787878787879E-2</v>
      </c>
      <c r="AJ25" s="21">
        <f>+AJ26/AJ24/AJ11</f>
        <v>2.6021337496747333E-2</v>
      </c>
      <c r="AK25" s="617">
        <f>+AK26/AK24/AK11</f>
        <v>2.3984486629924473E-2</v>
      </c>
      <c r="AL25" s="502">
        <v>0.03</v>
      </c>
      <c r="AM25" s="24">
        <f t="shared" ref="AM25:CT25" si="66">+AA25</f>
        <v>3.2926519196542083E-2</v>
      </c>
      <c r="AN25" s="23">
        <f t="shared" si="66"/>
        <v>2.5925421883505714E-2</v>
      </c>
      <c r="AO25" s="23">
        <f t="shared" si="66"/>
        <v>3.3802121885023441E-2</v>
      </c>
      <c r="AP25" s="23">
        <f t="shared" si="66"/>
        <v>3.3997785160575854E-2</v>
      </c>
      <c r="AQ25" s="23">
        <f t="shared" si="66"/>
        <v>3.1134044526901671E-2</v>
      </c>
      <c r="AR25" s="23">
        <f t="shared" si="66"/>
        <v>2.9322548028311423E-2</v>
      </c>
      <c r="AS25" s="23">
        <f t="shared" si="66"/>
        <v>2.9166666666666667E-2</v>
      </c>
      <c r="AT25" s="23">
        <f t="shared" si="66"/>
        <v>2.2882231404958677E-2</v>
      </c>
      <c r="AU25" s="23">
        <f t="shared" si="66"/>
        <v>2.5378787878787879E-2</v>
      </c>
      <c r="AV25" s="23">
        <f t="shared" si="66"/>
        <v>2.6021337496747333E-2</v>
      </c>
      <c r="AW25" s="23">
        <f t="shared" si="66"/>
        <v>2.3984486629924473E-2</v>
      </c>
      <c r="AX25" s="23">
        <f t="shared" si="66"/>
        <v>0.03</v>
      </c>
      <c r="AY25" s="308">
        <f t="shared" si="66"/>
        <v>3.2926519196542083E-2</v>
      </c>
      <c r="AZ25" s="23">
        <f t="shared" si="66"/>
        <v>2.5925421883505714E-2</v>
      </c>
      <c r="BA25" s="23">
        <f t="shared" si="66"/>
        <v>3.3802121885023441E-2</v>
      </c>
      <c r="BB25" s="23">
        <f t="shared" si="66"/>
        <v>3.3997785160575854E-2</v>
      </c>
      <c r="BC25" s="23">
        <f t="shared" si="66"/>
        <v>3.1134044526901671E-2</v>
      </c>
      <c r="BD25" s="23">
        <f t="shared" si="66"/>
        <v>2.9322548028311423E-2</v>
      </c>
      <c r="BE25" s="23">
        <f t="shared" si="66"/>
        <v>2.9166666666666667E-2</v>
      </c>
      <c r="BF25" s="23">
        <f t="shared" si="66"/>
        <v>2.2882231404958677E-2</v>
      </c>
      <c r="BG25" s="23">
        <f t="shared" si="66"/>
        <v>2.5378787878787879E-2</v>
      </c>
      <c r="BH25" s="23">
        <f t="shared" si="66"/>
        <v>2.6021337496747333E-2</v>
      </c>
      <c r="BI25" s="23">
        <f t="shared" si="66"/>
        <v>2.3984486629924473E-2</v>
      </c>
      <c r="BJ25" s="23">
        <f t="shared" si="66"/>
        <v>0.03</v>
      </c>
      <c r="BK25" s="308">
        <f t="shared" si="66"/>
        <v>3.2926519196542083E-2</v>
      </c>
      <c r="BL25" s="23">
        <f t="shared" si="66"/>
        <v>2.5925421883505714E-2</v>
      </c>
      <c r="BM25" s="23">
        <f t="shared" si="66"/>
        <v>3.3802121885023441E-2</v>
      </c>
      <c r="BN25" s="23">
        <f t="shared" si="66"/>
        <v>3.3997785160575854E-2</v>
      </c>
      <c r="BO25" s="23">
        <f t="shared" si="66"/>
        <v>3.1134044526901671E-2</v>
      </c>
      <c r="BP25" s="23">
        <f t="shared" si="66"/>
        <v>2.9322548028311423E-2</v>
      </c>
      <c r="BQ25" s="23">
        <f t="shared" si="66"/>
        <v>2.9166666666666667E-2</v>
      </c>
      <c r="BR25" s="23">
        <f t="shared" si="66"/>
        <v>2.2882231404958677E-2</v>
      </c>
      <c r="BS25" s="23">
        <f t="shared" si="66"/>
        <v>2.5378787878787879E-2</v>
      </c>
      <c r="BT25" s="23">
        <f t="shared" si="66"/>
        <v>2.6021337496747333E-2</v>
      </c>
      <c r="BU25" s="23">
        <f t="shared" si="66"/>
        <v>2.3984486629924473E-2</v>
      </c>
      <c r="BV25" s="23">
        <f t="shared" si="66"/>
        <v>0.03</v>
      </c>
      <c r="BW25" s="308">
        <f t="shared" si="66"/>
        <v>3.2926519196542083E-2</v>
      </c>
      <c r="BX25" s="23">
        <f t="shared" si="66"/>
        <v>2.5925421883505714E-2</v>
      </c>
      <c r="BY25" s="23">
        <f t="shared" si="66"/>
        <v>3.3802121885023441E-2</v>
      </c>
      <c r="BZ25" s="23">
        <f t="shared" si="66"/>
        <v>3.3997785160575854E-2</v>
      </c>
      <c r="CA25" s="23">
        <f t="shared" si="66"/>
        <v>3.1134044526901671E-2</v>
      </c>
      <c r="CB25" s="23">
        <f t="shared" si="66"/>
        <v>2.9322548028311423E-2</v>
      </c>
      <c r="CC25" s="23">
        <f t="shared" si="66"/>
        <v>2.9166666666666667E-2</v>
      </c>
      <c r="CD25" s="23">
        <f t="shared" si="66"/>
        <v>2.2882231404958677E-2</v>
      </c>
      <c r="CE25" s="23">
        <f t="shared" si="66"/>
        <v>2.5378787878787879E-2</v>
      </c>
      <c r="CF25" s="23">
        <f t="shared" si="66"/>
        <v>2.6021337496747333E-2</v>
      </c>
      <c r="CG25" s="23">
        <f t="shared" si="66"/>
        <v>2.3984486629924473E-2</v>
      </c>
      <c r="CH25" s="23">
        <f t="shared" si="66"/>
        <v>0.03</v>
      </c>
      <c r="CI25" s="308">
        <f t="shared" si="66"/>
        <v>3.2926519196542083E-2</v>
      </c>
      <c r="CJ25" s="23">
        <f t="shared" si="66"/>
        <v>2.5925421883505714E-2</v>
      </c>
      <c r="CK25" s="23">
        <f t="shared" si="66"/>
        <v>3.3802121885023441E-2</v>
      </c>
      <c r="CL25" s="23">
        <f t="shared" si="66"/>
        <v>3.3997785160575854E-2</v>
      </c>
      <c r="CM25" s="23">
        <f t="shared" si="66"/>
        <v>3.1134044526901671E-2</v>
      </c>
      <c r="CN25" s="23">
        <f t="shared" si="66"/>
        <v>2.9322548028311423E-2</v>
      </c>
      <c r="CO25" s="23">
        <f t="shared" si="66"/>
        <v>2.9166666666666667E-2</v>
      </c>
      <c r="CP25" s="23">
        <f t="shared" si="66"/>
        <v>2.2882231404958677E-2</v>
      </c>
      <c r="CQ25" s="23">
        <f t="shared" si="66"/>
        <v>2.5378787878787879E-2</v>
      </c>
      <c r="CR25" s="23">
        <f t="shared" si="66"/>
        <v>2.6021337496747333E-2</v>
      </c>
      <c r="CS25" s="23">
        <f t="shared" si="66"/>
        <v>2.3984486629924473E-2</v>
      </c>
      <c r="CT25" s="23">
        <f t="shared" si="66"/>
        <v>0.03</v>
      </c>
      <c r="CU25" s="308">
        <f t="shared" ref="CU25:DG25" si="67">+CI25</f>
        <v>3.2926519196542083E-2</v>
      </c>
      <c r="CV25" s="23">
        <f t="shared" si="67"/>
        <v>2.5925421883505714E-2</v>
      </c>
      <c r="CW25" s="23">
        <f t="shared" si="67"/>
        <v>3.3802121885023441E-2</v>
      </c>
      <c r="CX25" s="23">
        <f t="shared" si="67"/>
        <v>3.3997785160575854E-2</v>
      </c>
      <c r="CY25" s="23">
        <f t="shared" si="67"/>
        <v>3.1134044526901671E-2</v>
      </c>
      <c r="CZ25" s="23">
        <f t="shared" si="67"/>
        <v>2.9322548028311423E-2</v>
      </c>
      <c r="DA25" s="23">
        <f t="shared" si="67"/>
        <v>2.9166666666666667E-2</v>
      </c>
      <c r="DB25" s="23">
        <f t="shared" si="67"/>
        <v>2.2882231404958677E-2</v>
      </c>
      <c r="DC25" s="23">
        <f t="shared" si="67"/>
        <v>2.5378787878787879E-2</v>
      </c>
      <c r="DD25" s="23">
        <f t="shared" si="67"/>
        <v>2.6021337496747333E-2</v>
      </c>
      <c r="DE25" s="23">
        <f t="shared" si="67"/>
        <v>2.3984486629924473E-2</v>
      </c>
      <c r="DF25" s="23">
        <f t="shared" si="67"/>
        <v>0.03</v>
      </c>
      <c r="DG25" s="24">
        <f t="shared" si="67"/>
        <v>3.2926519196542083E-2</v>
      </c>
    </row>
    <row r="26" spans="1:111" ht="18" x14ac:dyDescent="0.3">
      <c r="A26" s="37"/>
      <c r="B26" s="37"/>
      <c r="C26" s="547" t="s">
        <v>259</v>
      </c>
      <c r="D26" s="15"/>
      <c r="E26" s="15">
        <v>1</v>
      </c>
      <c r="F26" s="15">
        <v>1</v>
      </c>
      <c r="G26" s="15">
        <v>1</v>
      </c>
      <c r="H26" s="15">
        <v>1</v>
      </c>
      <c r="I26" s="15">
        <v>1</v>
      </c>
      <c r="J26" s="15">
        <v>1</v>
      </c>
      <c r="K26" s="50">
        <v>7.5</v>
      </c>
      <c r="L26" s="50">
        <f>20.5</f>
        <v>20.5</v>
      </c>
      <c r="M26" s="50">
        <v>57.25</v>
      </c>
      <c r="N26" s="50">
        <v>31</v>
      </c>
      <c r="O26" s="50">
        <v>15</v>
      </c>
      <c r="P26" s="50">
        <v>26.33</v>
      </c>
      <c r="Q26" s="50">
        <v>21.25</v>
      </c>
      <c r="R26" s="50">
        <v>19.75</v>
      </c>
      <c r="S26" s="50">
        <v>18.25</v>
      </c>
      <c r="T26" s="50">
        <v>41.25</v>
      </c>
      <c r="U26" s="50">
        <v>41.5</v>
      </c>
      <c r="V26" s="50">
        <v>32.25</v>
      </c>
      <c r="W26" s="50">
        <v>115.25</v>
      </c>
      <c r="X26" s="50">
        <v>123.25</v>
      </c>
      <c r="Y26" s="50">
        <v>120.5</v>
      </c>
      <c r="Z26" s="50">
        <v>121.25</v>
      </c>
      <c r="AA26" s="50">
        <v>129.5</v>
      </c>
      <c r="AB26" s="50">
        <v>95.25</v>
      </c>
      <c r="AC26" s="50">
        <v>137</v>
      </c>
      <c r="AD26" s="50">
        <v>153.5</v>
      </c>
      <c r="AE26" s="50">
        <v>134.25</v>
      </c>
      <c r="AF26" s="50">
        <v>145</v>
      </c>
      <c r="AG26" s="50">
        <v>134.75</v>
      </c>
      <c r="AH26" s="50">
        <v>110.75</v>
      </c>
      <c r="AI26" s="50">
        <v>150.75</v>
      </c>
      <c r="AJ26" s="50">
        <v>100</v>
      </c>
      <c r="AK26" s="609">
        <v>117.5</v>
      </c>
      <c r="AL26" s="25">
        <f>+AL11*AL24*AL25</f>
        <v>130.23294327934718</v>
      </c>
      <c r="AM26" s="26">
        <f t="shared" ref="AM26:BL26" si="68">+AM11*AM24*AM25</f>
        <v>149.92668731936334</v>
      </c>
      <c r="AN26" s="25">
        <f t="shared" si="68"/>
        <v>125.38318282722399</v>
      </c>
      <c r="AO26" s="25">
        <f t="shared" si="68"/>
        <v>121.21672764604452</v>
      </c>
      <c r="AP26" s="25">
        <f t="shared" si="68"/>
        <v>145.47080574072106</v>
      </c>
      <c r="AQ26" s="25">
        <f t="shared" si="68"/>
        <v>116.1147719993801</v>
      </c>
      <c r="AR26" s="25">
        <f t="shared" si="68"/>
        <v>128.2862556083814</v>
      </c>
      <c r="AS26" s="25">
        <f t="shared" si="68"/>
        <v>163.73663186350063</v>
      </c>
      <c r="AT26" s="25">
        <f t="shared" si="68"/>
        <v>157.54992261846584</v>
      </c>
      <c r="AU26" s="25">
        <f t="shared" si="68"/>
        <v>184.17129545368721</v>
      </c>
      <c r="AV26" s="25">
        <f t="shared" si="68"/>
        <v>184.76231623253742</v>
      </c>
      <c r="AW26" s="25">
        <f t="shared" si="68"/>
        <v>169.94796898037185</v>
      </c>
      <c r="AX26" s="25">
        <f t="shared" si="68"/>
        <v>187.48618613180523</v>
      </c>
      <c r="AY26" s="309">
        <f t="shared" si="68"/>
        <v>227.67345473531719</v>
      </c>
      <c r="AZ26" s="25">
        <f t="shared" si="68"/>
        <v>157.11987655935923</v>
      </c>
      <c r="BA26" s="25">
        <f t="shared" si="68"/>
        <v>158.68371619118554</v>
      </c>
      <c r="BB26" s="25">
        <f t="shared" si="68"/>
        <v>195.06942331708117</v>
      </c>
      <c r="BC26" s="25">
        <f t="shared" si="68"/>
        <v>151.84239415303551</v>
      </c>
      <c r="BD26" s="25">
        <f t="shared" si="68"/>
        <v>154.57442274124645</v>
      </c>
      <c r="BE26" s="25">
        <f t="shared" si="68"/>
        <v>211.27920789819879</v>
      </c>
      <c r="BF26" s="25">
        <f t="shared" si="68"/>
        <v>201.59974710057003</v>
      </c>
      <c r="BG26" s="25">
        <f t="shared" si="68"/>
        <v>225.00172416275939</v>
      </c>
      <c r="BH26" s="25">
        <f t="shared" si="68"/>
        <v>226.75375173993226</v>
      </c>
      <c r="BI26" s="25">
        <f t="shared" si="68"/>
        <v>200.40333310176814</v>
      </c>
      <c r="BJ26" s="25">
        <f t="shared" si="68"/>
        <v>266.99910701086503</v>
      </c>
      <c r="BK26" s="309">
        <f t="shared" si="68"/>
        <v>304.90638763586441</v>
      </c>
      <c r="BL26" s="25">
        <f t="shared" si="68"/>
        <v>184.58838644735906</v>
      </c>
      <c r="BM26" s="25">
        <f t="shared" ref="BM26:CR26" si="69">+BM11*BM24*BM25</f>
        <v>196.15070473632656</v>
      </c>
      <c r="BN26" s="25">
        <f t="shared" si="69"/>
        <v>248.54726237986051</v>
      </c>
      <c r="BO26" s="25">
        <f t="shared" si="69"/>
        <v>186.4535281143892</v>
      </c>
      <c r="BP26" s="25">
        <f t="shared" si="69"/>
        <v>187.69751332865638</v>
      </c>
      <c r="BQ26" s="25">
        <f t="shared" si="69"/>
        <v>252.07073813596986</v>
      </c>
      <c r="BR26" s="25">
        <f t="shared" si="69"/>
        <v>228.93973130495817</v>
      </c>
      <c r="BS26" s="25">
        <f t="shared" si="69"/>
        <v>279.40092755934489</v>
      </c>
      <c r="BT26" s="25">
        <f t="shared" si="69"/>
        <v>269.67833025860256</v>
      </c>
      <c r="BU26" s="25">
        <f t="shared" si="69"/>
        <v>228.23930133595832</v>
      </c>
      <c r="BV26" s="25">
        <f t="shared" si="69"/>
        <v>332.42855850913202</v>
      </c>
      <c r="BW26" s="309">
        <f t="shared" si="69"/>
        <v>364.15945082016196</v>
      </c>
      <c r="BX26" s="25">
        <f t="shared" si="69"/>
        <v>220.97359723746354</v>
      </c>
      <c r="BY26" s="25">
        <f t="shared" si="69"/>
        <v>247.61271547332913</v>
      </c>
      <c r="BZ26" s="25">
        <f t="shared" si="69"/>
        <v>295.70751216475713</v>
      </c>
      <c r="CA26" s="25">
        <f t="shared" si="69"/>
        <v>201.98286388004058</v>
      </c>
      <c r="CB26" s="25">
        <f t="shared" si="69"/>
        <v>242.9504609751873</v>
      </c>
      <c r="CC26" s="25">
        <f t="shared" si="69"/>
        <v>293.90820504650429</v>
      </c>
      <c r="CD26" s="25">
        <f t="shared" si="69"/>
        <v>253.78069921781284</v>
      </c>
      <c r="CE26" s="25">
        <f t="shared" si="69"/>
        <v>337.77147964495873</v>
      </c>
      <c r="CF26" s="25">
        <f t="shared" si="69"/>
        <v>299.28441307088701</v>
      </c>
      <c r="CG26" s="25">
        <f t="shared" si="69"/>
        <v>277.81234588785884</v>
      </c>
      <c r="CH26" s="25">
        <f t="shared" si="69"/>
        <v>385.14376681640528</v>
      </c>
      <c r="CI26" s="309">
        <f t="shared" si="69"/>
        <v>385.46693821524008</v>
      </c>
      <c r="CJ26" s="25">
        <f t="shared" si="69"/>
        <v>281.86917069686007</v>
      </c>
      <c r="CK26" s="25">
        <f t="shared" si="69"/>
        <v>275.49256283191937</v>
      </c>
      <c r="CL26" s="25">
        <f t="shared" si="69"/>
        <v>327.96046795184276</v>
      </c>
      <c r="CM26" s="25">
        <f t="shared" si="69"/>
        <v>247.25138513154718</v>
      </c>
      <c r="CN26" s="25">
        <f t="shared" si="69"/>
        <v>280.32745497137</v>
      </c>
      <c r="CO26" s="25">
        <f t="shared" si="69"/>
        <v>321.48289914662917</v>
      </c>
      <c r="CP26" s="25">
        <f t="shared" si="69"/>
        <v>302.791257532364</v>
      </c>
      <c r="CQ26" s="25">
        <f t="shared" si="69"/>
        <v>384.39345852553049</v>
      </c>
      <c r="CR26" s="25">
        <f t="shared" si="69"/>
        <v>324.90343028954004</v>
      </c>
      <c r="CS26" s="25">
        <f t="shared" ref="CS26:DG26" si="70">+CS11*CS24*CS25</f>
        <v>331.80317753310692</v>
      </c>
      <c r="CT26" s="25">
        <f t="shared" si="70"/>
        <v>438.93479570137822</v>
      </c>
      <c r="CU26" s="309">
        <f t="shared" si="70"/>
        <v>440.69465743321302</v>
      </c>
      <c r="CV26" s="25">
        <f t="shared" si="70"/>
        <v>323.66356497260148</v>
      </c>
      <c r="CW26" s="25">
        <f t="shared" si="70"/>
        <v>316.26546213104342</v>
      </c>
      <c r="CX26" s="25">
        <f t="shared" si="70"/>
        <v>357.27629889921081</v>
      </c>
      <c r="CY26" s="25">
        <f t="shared" si="70"/>
        <v>296.98585915226067</v>
      </c>
      <c r="CZ26" s="25">
        <f t="shared" si="70"/>
        <v>319.90309567321037</v>
      </c>
      <c r="DA26" s="25">
        <f t="shared" si="70"/>
        <v>346.10995353260296</v>
      </c>
      <c r="DB26" s="25">
        <f t="shared" si="70"/>
        <v>356.87444593122183</v>
      </c>
      <c r="DC26" s="25">
        <f t="shared" si="70"/>
        <v>414.09583726222132</v>
      </c>
      <c r="DD26" s="25">
        <f t="shared" si="70"/>
        <v>384.7942453768548</v>
      </c>
      <c r="DE26" s="25">
        <f t="shared" si="70"/>
        <v>374.96456648050298</v>
      </c>
      <c r="DF26" s="25">
        <f t="shared" si="70"/>
        <v>472.38303548076124</v>
      </c>
      <c r="DG26" s="26">
        <f t="shared" si="70"/>
        <v>520.7184954837453</v>
      </c>
    </row>
    <row r="27" spans="1:111" ht="18" x14ac:dyDescent="0.3">
      <c r="A27" s="37"/>
      <c r="B27" s="37"/>
      <c r="C27" s="547" t="s">
        <v>258</v>
      </c>
      <c r="D27" s="15"/>
      <c r="E27" s="15"/>
      <c r="F27" s="15"/>
      <c r="G27" s="15"/>
      <c r="H27" s="15"/>
      <c r="I27" s="15"/>
      <c r="J27" s="15"/>
      <c r="K27" s="50"/>
      <c r="L27" s="50">
        <v>3.75</v>
      </c>
      <c r="M27" s="50">
        <v>14.75</v>
      </c>
      <c r="N27" s="50">
        <v>13.5</v>
      </c>
      <c r="O27" s="50">
        <v>14</v>
      </c>
      <c r="P27" s="50">
        <v>14</v>
      </c>
      <c r="Q27" s="50">
        <v>14</v>
      </c>
      <c r="R27" s="50">
        <v>5.5</v>
      </c>
      <c r="S27" s="50">
        <v>4.5</v>
      </c>
      <c r="T27" s="50">
        <v>5</v>
      </c>
      <c r="U27" s="50">
        <v>25.75</v>
      </c>
      <c r="V27" s="50">
        <v>11.75</v>
      </c>
      <c r="W27" s="50">
        <v>26.75</v>
      </c>
      <c r="X27" s="50">
        <v>33.75</v>
      </c>
      <c r="Y27" s="50">
        <v>32.5</v>
      </c>
      <c r="Z27" s="50">
        <v>31.5</v>
      </c>
      <c r="AA27" s="50">
        <v>10.75</v>
      </c>
      <c r="AB27" s="50">
        <v>12.75</v>
      </c>
      <c r="AC27" s="50">
        <v>18.25</v>
      </c>
      <c r="AD27" s="50">
        <v>28.75</v>
      </c>
      <c r="AE27" s="50">
        <v>16.25</v>
      </c>
      <c r="AF27" s="50">
        <v>14.25</v>
      </c>
      <c r="AG27" s="50">
        <v>15.25</v>
      </c>
      <c r="AH27" s="50">
        <v>12.75</v>
      </c>
      <c r="AI27" s="50">
        <v>23.5</v>
      </c>
      <c r="AJ27" s="50">
        <v>17</v>
      </c>
      <c r="AK27" s="609">
        <v>14</v>
      </c>
      <c r="AL27" s="25">
        <f>+AL29*(AL17-AL11)</f>
        <v>13.741568444025088</v>
      </c>
      <c r="AM27" s="26">
        <f t="shared" ref="AM27:BL27" si="71">+AM29*(AM17-AM11)</f>
        <v>14.740177116711848</v>
      </c>
      <c r="AN27" s="25">
        <f t="shared" si="71"/>
        <v>13.776375043062034</v>
      </c>
      <c r="AO27" s="25">
        <f t="shared" si="71"/>
        <v>12.087627187572986</v>
      </c>
      <c r="AP27" s="25">
        <f t="shared" si="71"/>
        <v>10.307278997155255</v>
      </c>
      <c r="AQ27" s="25">
        <f t="shared" si="71"/>
        <v>11.712817042221891</v>
      </c>
      <c r="AR27" s="25">
        <f t="shared" si="71"/>
        <v>9.7450637791286034</v>
      </c>
      <c r="AS27" s="25">
        <f t="shared" si="71"/>
        <v>11.431709433208573</v>
      </c>
      <c r="AT27" s="25">
        <f t="shared" si="71"/>
        <v>15.367215959395113</v>
      </c>
      <c r="AU27" s="25">
        <f t="shared" si="71"/>
        <v>17.990886976852828</v>
      </c>
      <c r="AV27" s="25">
        <f t="shared" si="71"/>
        <v>19.864937703608319</v>
      </c>
      <c r="AW27" s="25">
        <f t="shared" si="71"/>
        <v>18.553102194879461</v>
      </c>
      <c r="AX27" s="25">
        <f t="shared" si="71"/>
        <v>17.709779367839477</v>
      </c>
      <c r="AY27" s="309">
        <f t="shared" si="71"/>
        <v>19.958640239946082</v>
      </c>
      <c r="AZ27" s="25">
        <f t="shared" si="71"/>
        <v>15.142329872184446</v>
      </c>
      <c r="BA27" s="25">
        <f t="shared" si="71"/>
        <v>12.668582912867192</v>
      </c>
      <c r="BB27" s="25">
        <f t="shared" si="71"/>
        <v>10.794532186111685</v>
      </c>
      <c r="BC27" s="25">
        <f t="shared" si="71"/>
        <v>11.993924651235208</v>
      </c>
      <c r="BD27" s="25">
        <f t="shared" si="71"/>
        <v>10.194835953549939</v>
      </c>
      <c r="BE27" s="25">
        <f t="shared" si="71"/>
        <v>11.544152476813874</v>
      </c>
      <c r="BF27" s="25">
        <f t="shared" si="71"/>
        <v>15.142329872184446</v>
      </c>
      <c r="BG27" s="25">
        <f t="shared" si="71"/>
        <v>17.616076831501715</v>
      </c>
      <c r="BH27" s="25">
        <f t="shared" si="71"/>
        <v>19.415165529186986</v>
      </c>
      <c r="BI27" s="25">
        <f t="shared" si="71"/>
        <v>18.215773064063463</v>
      </c>
      <c r="BJ27" s="25">
        <f t="shared" si="71"/>
        <v>17.466152773361273</v>
      </c>
      <c r="BK27" s="309">
        <f t="shared" si="71"/>
        <v>19.490127558257207</v>
      </c>
      <c r="BL27" s="25">
        <f t="shared" si="71"/>
        <v>11.572263237715216</v>
      </c>
      <c r="BM27" s="25">
        <f t="shared" ref="BM27:CR27" si="72">+BM29*(BM17-BM11)</f>
        <v>9.7450637791286034</v>
      </c>
      <c r="BN27" s="25">
        <f t="shared" si="72"/>
        <v>8.3395257340619846</v>
      </c>
      <c r="BO27" s="25">
        <f t="shared" si="72"/>
        <v>9.1359972929330571</v>
      </c>
      <c r="BP27" s="25">
        <f t="shared" si="72"/>
        <v>7.8241617842042315</v>
      </c>
      <c r="BQ27" s="25">
        <f t="shared" si="72"/>
        <v>8.7611871475819783</v>
      </c>
      <c r="BR27" s="25">
        <f t="shared" si="72"/>
        <v>11.291155628701897</v>
      </c>
      <c r="BS27" s="25">
        <f t="shared" si="72"/>
        <v>13.071503819119629</v>
      </c>
      <c r="BT27" s="25">
        <f t="shared" si="72"/>
        <v>14.383339327848486</v>
      </c>
      <c r="BU27" s="25">
        <f t="shared" si="72"/>
        <v>13.540016500808502</v>
      </c>
      <c r="BV27" s="25">
        <f t="shared" si="72"/>
        <v>13.024652550950716</v>
      </c>
      <c r="BW27" s="309">
        <f t="shared" si="72"/>
        <v>14.477041864186248</v>
      </c>
      <c r="BX27" s="25">
        <f t="shared" si="72"/>
        <v>8.2926744658931053</v>
      </c>
      <c r="BY27" s="25">
        <f t="shared" si="72"/>
        <v>6.9995794644317861</v>
      </c>
      <c r="BZ27" s="25">
        <f t="shared" si="72"/>
        <v>6.0157028328851592</v>
      </c>
      <c r="CA27" s="25">
        <f t="shared" si="72"/>
        <v>6.5216965291091435</v>
      </c>
      <c r="CB27" s="25">
        <f t="shared" si="72"/>
        <v>5.5940414193651673</v>
      </c>
      <c r="CC27" s="25">
        <f t="shared" si="72"/>
        <v>6.2124781591944851</v>
      </c>
      <c r="CD27" s="25">
        <f t="shared" si="72"/>
        <v>7.8991238132744535</v>
      </c>
      <c r="CE27" s="25">
        <f t="shared" si="72"/>
        <v>9.1078865320317153</v>
      </c>
      <c r="CF27" s="25">
        <f t="shared" si="72"/>
        <v>9.9793201199730728</v>
      </c>
      <c r="CG27" s="25">
        <f t="shared" si="72"/>
        <v>9.4452156628477475</v>
      </c>
      <c r="CH27" s="25">
        <f t="shared" si="72"/>
        <v>9.0797757711304055</v>
      </c>
      <c r="CI27" s="309">
        <f t="shared" si="72"/>
        <v>10.063652402677066</v>
      </c>
      <c r="CJ27" s="25">
        <f t="shared" si="72"/>
        <v>9.6138802282557307</v>
      </c>
      <c r="CK27" s="25">
        <f t="shared" si="72"/>
        <v>8.1521206613864301</v>
      </c>
      <c r="CL27" s="25">
        <f t="shared" si="72"/>
        <v>7.0276902253331279</v>
      </c>
      <c r="CM27" s="25">
        <f t="shared" si="72"/>
        <v>7.5617946824584532</v>
      </c>
      <c r="CN27" s="25">
        <f t="shared" si="72"/>
        <v>6.5216965291091435</v>
      </c>
      <c r="CO27" s="25">
        <f t="shared" si="72"/>
        <v>7.1682440298397703</v>
      </c>
      <c r="CP27" s="25">
        <f t="shared" si="72"/>
        <v>9.0516650102290974</v>
      </c>
      <c r="CQ27" s="25">
        <f t="shared" si="72"/>
        <v>10.372870772591725</v>
      </c>
      <c r="CR27" s="25">
        <f t="shared" si="72"/>
        <v>11.356747404138318</v>
      </c>
      <c r="CS27" s="25">
        <f t="shared" ref="CS27:DG27" si="73">+CS29*(CS17-CS11)</f>
        <v>10.766421425210375</v>
      </c>
      <c r="CT27" s="25">
        <f t="shared" si="73"/>
        <v>10.372870772591725</v>
      </c>
      <c r="CU27" s="309">
        <f t="shared" si="73"/>
        <v>11.469190447743685</v>
      </c>
      <c r="CV27" s="25">
        <f t="shared" si="73"/>
        <v>10.991307512421042</v>
      </c>
      <c r="CW27" s="25">
        <f t="shared" si="73"/>
        <v>9.3608833801437239</v>
      </c>
      <c r="CX27" s="25">
        <f t="shared" si="73"/>
        <v>8.0677883786824047</v>
      </c>
      <c r="CY27" s="25">
        <f t="shared" si="73"/>
        <v>8.6300035967090718</v>
      </c>
      <c r="CZ27" s="25">
        <f t="shared" si="73"/>
        <v>7.4774623997544616</v>
      </c>
      <c r="DA27" s="25">
        <f t="shared" si="73"/>
        <v>8.1802314222877381</v>
      </c>
      <c r="DB27" s="25">
        <f t="shared" si="73"/>
        <v>10.232316968085049</v>
      </c>
      <c r="DC27" s="25">
        <f t="shared" si="73"/>
        <v>11.694076534954352</v>
      </c>
      <c r="DD27" s="25">
        <f t="shared" si="73"/>
        <v>12.790396210106312</v>
      </c>
      <c r="DE27" s="25">
        <f t="shared" si="73"/>
        <v>12.14384870937562</v>
      </c>
      <c r="DF27" s="25">
        <f t="shared" si="73"/>
        <v>11.72218729585566</v>
      </c>
      <c r="DG27" s="26">
        <f t="shared" si="73"/>
        <v>12.930950014612986</v>
      </c>
    </row>
    <row r="28" spans="1:111" s="3" customFormat="1" ht="18" x14ac:dyDescent="0.3">
      <c r="A28" s="37"/>
      <c r="B28" s="37"/>
      <c r="C28" s="547" t="s">
        <v>51</v>
      </c>
      <c r="D28" s="27"/>
      <c r="E28" s="27">
        <f t="shared" ref="E28:AF28" si="74">+E9/(E26+E27)</f>
        <v>0</v>
      </c>
      <c r="F28" s="27">
        <f t="shared" si="74"/>
        <v>0</v>
      </c>
      <c r="G28" s="27">
        <f t="shared" si="74"/>
        <v>0</v>
      </c>
      <c r="H28" s="27">
        <f t="shared" si="74"/>
        <v>0</v>
      </c>
      <c r="I28" s="27">
        <f t="shared" si="74"/>
        <v>0</v>
      </c>
      <c r="J28" s="27">
        <f t="shared" si="74"/>
        <v>0</v>
      </c>
      <c r="K28" s="27">
        <f t="shared" si="74"/>
        <v>0</v>
      </c>
      <c r="L28" s="27">
        <f t="shared" si="74"/>
        <v>0</v>
      </c>
      <c r="M28" s="27">
        <f t="shared" si="74"/>
        <v>0</v>
      </c>
      <c r="N28" s="27">
        <f t="shared" si="74"/>
        <v>0</v>
      </c>
      <c r="O28" s="27">
        <f t="shared" si="74"/>
        <v>0</v>
      </c>
      <c r="P28" s="27">
        <f t="shared" si="74"/>
        <v>0</v>
      </c>
      <c r="Q28" s="27">
        <f t="shared" si="74"/>
        <v>0</v>
      </c>
      <c r="R28" s="27">
        <f t="shared" si="74"/>
        <v>0</v>
      </c>
      <c r="S28" s="27">
        <f t="shared" si="74"/>
        <v>0</v>
      </c>
      <c r="T28" s="27">
        <f t="shared" si="74"/>
        <v>0</v>
      </c>
      <c r="U28" s="27">
        <f t="shared" si="74"/>
        <v>0</v>
      </c>
      <c r="V28" s="27">
        <f t="shared" si="74"/>
        <v>0</v>
      </c>
      <c r="W28" s="27">
        <f t="shared" si="74"/>
        <v>14.186338028169015</v>
      </c>
      <c r="X28" s="27">
        <f t="shared" si="74"/>
        <v>56.478726114649682</v>
      </c>
      <c r="Y28" s="27">
        <f t="shared" si="74"/>
        <v>54.599019607843132</v>
      </c>
      <c r="Z28" s="27">
        <f t="shared" si="74"/>
        <v>59.150965630114563</v>
      </c>
      <c r="AA28" s="27">
        <f t="shared" si="74"/>
        <v>75.515864527629233</v>
      </c>
      <c r="AB28" s="27">
        <f t="shared" si="74"/>
        <v>50.577129629629631</v>
      </c>
      <c r="AC28" s="27">
        <f t="shared" si="74"/>
        <v>46.112785829307569</v>
      </c>
      <c r="AD28" s="27">
        <f t="shared" si="74"/>
        <v>56.218710562414266</v>
      </c>
      <c r="AE28" s="27">
        <f t="shared" si="74"/>
        <v>76.519468438538212</v>
      </c>
      <c r="AF28" s="27">
        <f t="shared" si="74"/>
        <v>68.189827315541592</v>
      </c>
      <c r="AG28" s="27">
        <f>+AG9/(AG26+AG27)</f>
        <v>81.525466666666659</v>
      </c>
      <c r="AH28" s="27">
        <f>+AH9/(AH26+AH27)</f>
        <v>98.922591093117418</v>
      </c>
      <c r="AI28" s="27">
        <f>+AI9/(AI26+AI27)</f>
        <v>69.286025824964128</v>
      </c>
      <c r="AJ28" s="27">
        <f>+AJ9/(AJ26+AJ27)</f>
        <v>77.36726495726495</v>
      </c>
      <c r="AK28" s="618">
        <f>+AK9/(AK26+AK27)</f>
        <v>84.274068441064642</v>
      </c>
      <c r="AL28" s="503">
        <f>+AVERAGE(AF28:AK28)</f>
        <v>79.927540716436567</v>
      </c>
      <c r="AM28" s="29">
        <f t="shared" ref="AM28:CC29" si="75">+AL28</f>
        <v>79.927540716436567</v>
      </c>
      <c r="AN28" s="23">
        <f>+AM28</f>
        <v>79.927540716436567</v>
      </c>
      <c r="AO28" s="28">
        <f t="shared" si="75"/>
        <v>79.927540716436567</v>
      </c>
      <c r="AP28" s="28">
        <f t="shared" si="75"/>
        <v>79.927540716436567</v>
      </c>
      <c r="AQ28" s="28">
        <f t="shared" si="75"/>
        <v>79.927540716436567</v>
      </c>
      <c r="AR28" s="28">
        <f t="shared" si="75"/>
        <v>79.927540716436567</v>
      </c>
      <c r="AS28" s="28">
        <f t="shared" si="75"/>
        <v>79.927540716436567</v>
      </c>
      <c r="AT28" s="28">
        <f t="shared" si="75"/>
        <v>79.927540716436567</v>
      </c>
      <c r="AU28" s="28">
        <f t="shared" si="75"/>
        <v>79.927540716436567</v>
      </c>
      <c r="AV28" s="28">
        <f t="shared" si="75"/>
        <v>79.927540716436567</v>
      </c>
      <c r="AW28" s="28">
        <f t="shared" si="75"/>
        <v>79.927540716436567</v>
      </c>
      <c r="AX28" s="28">
        <f t="shared" si="75"/>
        <v>79.927540716436567</v>
      </c>
      <c r="AY28" s="310">
        <f t="shared" si="75"/>
        <v>79.927540716436567</v>
      </c>
      <c r="AZ28" s="22">
        <f>+IF(AZ1&lt;&gt;AY1, AY28*1.05, AY28)</f>
        <v>83.923917752258404</v>
      </c>
      <c r="BA28" s="28">
        <f t="shared" ref="BA28:DG28" si="76">+IF(BA1&lt;&gt;AZ1, AZ28*1.05, AZ28)</f>
        <v>83.923917752258404</v>
      </c>
      <c r="BB28" s="28">
        <f t="shared" si="76"/>
        <v>83.923917752258404</v>
      </c>
      <c r="BC28" s="28">
        <f t="shared" si="76"/>
        <v>83.923917752258404</v>
      </c>
      <c r="BD28" s="28">
        <f t="shared" si="76"/>
        <v>83.923917752258404</v>
      </c>
      <c r="BE28" s="28">
        <f t="shared" si="76"/>
        <v>83.923917752258404</v>
      </c>
      <c r="BF28" s="28">
        <f t="shared" si="76"/>
        <v>83.923917752258404</v>
      </c>
      <c r="BG28" s="28">
        <f t="shared" si="76"/>
        <v>83.923917752258404</v>
      </c>
      <c r="BH28" s="28">
        <f t="shared" si="76"/>
        <v>83.923917752258404</v>
      </c>
      <c r="BI28" s="28">
        <f t="shared" si="76"/>
        <v>83.923917752258404</v>
      </c>
      <c r="BJ28" s="28">
        <f t="shared" si="76"/>
        <v>83.923917752258404</v>
      </c>
      <c r="BK28" s="310">
        <f t="shared" si="76"/>
        <v>83.923917752258404</v>
      </c>
      <c r="BL28" s="28">
        <f t="shared" si="76"/>
        <v>88.120113639871334</v>
      </c>
      <c r="BM28" s="28">
        <f t="shared" si="76"/>
        <v>88.120113639871334</v>
      </c>
      <c r="BN28" s="28">
        <f t="shared" si="76"/>
        <v>88.120113639871334</v>
      </c>
      <c r="BO28" s="28">
        <f t="shared" si="76"/>
        <v>88.120113639871334</v>
      </c>
      <c r="BP28" s="28">
        <f t="shared" si="76"/>
        <v>88.120113639871334</v>
      </c>
      <c r="BQ28" s="28">
        <f t="shared" si="76"/>
        <v>88.120113639871334</v>
      </c>
      <c r="BR28" s="28">
        <f t="shared" si="76"/>
        <v>88.120113639871334</v>
      </c>
      <c r="BS28" s="28">
        <f t="shared" si="76"/>
        <v>88.120113639871334</v>
      </c>
      <c r="BT28" s="28">
        <f t="shared" si="76"/>
        <v>88.120113639871334</v>
      </c>
      <c r="BU28" s="28">
        <f t="shared" si="76"/>
        <v>88.120113639871334</v>
      </c>
      <c r="BV28" s="28">
        <f t="shared" si="76"/>
        <v>88.120113639871334</v>
      </c>
      <c r="BW28" s="310">
        <f t="shared" si="76"/>
        <v>88.120113639871334</v>
      </c>
      <c r="BX28" s="28">
        <f t="shared" si="76"/>
        <v>92.526119321864911</v>
      </c>
      <c r="BY28" s="28">
        <f t="shared" si="76"/>
        <v>92.526119321864911</v>
      </c>
      <c r="BZ28" s="28">
        <f t="shared" si="76"/>
        <v>92.526119321864911</v>
      </c>
      <c r="CA28" s="28">
        <f t="shared" si="76"/>
        <v>92.526119321864911</v>
      </c>
      <c r="CB28" s="28">
        <f t="shared" si="76"/>
        <v>92.526119321864911</v>
      </c>
      <c r="CC28" s="28">
        <f t="shared" si="76"/>
        <v>92.526119321864911</v>
      </c>
      <c r="CD28" s="28">
        <f t="shared" si="76"/>
        <v>92.526119321864911</v>
      </c>
      <c r="CE28" s="28">
        <f t="shared" si="76"/>
        <v>92.526119321864911</v>
      </c>
      <c r="CF28" s="28">
        <f t="shared" si="76"/>
        <v>92.526119321864911</v>
      </c>
      <c r="CG28" s="28">
        <f t="shared" si="76"/>
        <v>92.526119321864911</v>
      </c>
      <c r="CH28" s="28">
        <f t="shared" si="76"/>
        <v>92.526119321864911</v>
      </c>
      <c r="CI28" s="310">
        <f t="shared" si="76"/>
        <v>92.526119321864911</v>
      </c>
      <c r="CJ28" s="28">
        <f t="shared" si="76"/>
        <v>97.152425287958167</v>
      </c>
      <c r="CK28" s="28">
        <f t="shared" si="76"/>
        <v>97.152425287958167</v>
      </c>
      <c r="CL28" s="28">
        <f t="shared" si="76"/>
        <v>97.152425287958167</v>
      </c>
      <c r="CM28" s="28">
        <f t="shared" si="76"/>
        <v>97.152425287958167</v>
      </c>
      <c r="CN28" s="28">
        <f t="shared" si="76"/>
        <v>97.152425287958167</v>
      </c>
      <c r="CO28" s="28">
        <f t="shared" si="76"/>
        <v>97.152425287958167</v>
      </c>
      <c r="CP28" s="28">
        <f t="shared" si="76"/>
        <v>97.152425287958167</v>
      </c>
      <c r="CQ28" s="28">
        <f t="shared" si="76"/>
        <v>97.152425287958167</v>
      </c>
      <c r="CR28" s="28">
        <f t="shared" si="76"/>
        <v>97.152425287958167</v>
      </c>
      <c r="CS28" s="28">
        <f t="shared" si="76"/>
        <v>97.152425287958167</v>
      </c>
      <c r="CT28" s="28">
        <f t="shared" si="76"/>
        <v>97.152425287958167</v>
      </c>
      <c r="CU28" s="310">
        <f t="shared" si="76"/>
        <v>97.152425287958167</v>
      </c>
      <c r="CV28" s="28">
        <f t="shared" si="76"/>
        <v>102.01004655235607</v>
      </c>
      <c r="CW28" s="28">
        <f t="shared" si="76"/>
        <v>102.01004655235607</v>
      </c>
      <c r="CX28" s="28">
        <f t="shared" si="76"/>
        <v>102.01004655235607</v>
      </c>
      <c r="CY28" s="28">
        <f t="shared" si="76"/>
        <v>102.01004655235607</v>
      </c>
      <c r="CZ28" s="28">
        <f t="shared" si="76"/>
        <v>102.01004655235607</v>
      </c>
      <c r="DA28" s="28">
        <f t="shared" si="76"/>
        <v>102.01004655235607</v>
      </c>
      <c r="DB28" s="28">
        <f t="shared" si="76"/>
        <v>102.01004655235607</v>
      </c>
      <c r="DC28" s="28">
        <f t="shared" si="76"/>
        <v>102.01004655235607</v>
      </c>
      <c r="DD28" s="28">
        <f t="shared" si="76"/>
        <v>102.01004655235607</v>
      </c>
      <c r="DE28" s="28">
        <f t="shared" si="76"/>
        <v>102.01004655235607</v>
      </c>
      <c r="DF28" s="28">
        <f t="shared" si="76"/>
        <v>102.01004655235607</v>
      </c>
      <c r="DG28" s="29">
        <f t="shared" si="76"/>
        <v>102.01004655235607</v>
      </c>
    </row>
    <row r="29" spans="1:111" ht="18" x14ac:dyDescent="0.3">
      <c r="A29" s="37"/>
      <c r="B29" s="37"/>
      <c r="C29" s="547" t="s">
        <v>287</v>
      </c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349">
        <f t="shared" ref="W29:AF29" si="77">+(W27/(W17-W11))</f>
        <v>0.65243902439024393</v>
      </c>
      <c r="X29" s="349">
        <f t="shared" si="77"/>
        <v>0.64903846153846156</v>
      </c>
      <c r="Y29" s="349">
        <f t="shared" si="77"/>
        <v>0.65</v>
      </c>
      <c r="Z29" s="349">
        <f t="shared" si="77"/>
        <v>0.6428571428571429</v>
      </c>
      <c r="AA29" s="349">
        <f t="shared" si="77"/>
        <v>0.63235294117647056</v>
      </c>
      <c r="AB29" s="476">
        <f t="shared" si="77"/>
        <v>0.57954545454545459</v>
      </c>
      <c r="AC29" s="476">
        <f t="shared" si="77"/>
        <v>0.70192307692307687</v>
      </c>
      <c r="AD29" s="476">
        <f t="shared" si="77"/>
        <v>0.71875</v>
      </c>
      <c r="AE29" s="476">
        <f t="shared" si="77"/>
        <v>0.70652173913043481</v>
      </c>
      <c r="AF29" s="476">
        <f t="shared" si="77"/>
        <v>0.6785714285714286</v>
      </c>
      <c r="AG29" s="476">
        <f>+(AG27/(AG17-AG11))</f>
        <v>0.5446428571428571</v>
      </c>
      <c r="AH29" s="476">
        <f>+(AH27/(AH17-AH11))</f>
        <v>0.53125</v>
      </c>
      <c r="AI29" s="476">
        <f>+(AI27/(AI17-AI11))</f>
        <v>0.58750000000000002</v>
      </c>
      <c r="AJ29" s="476">
        <f>+(AJ27/(AJ17-AJ11))</f>
        <v>0.6071428571428571</v>
      </c>
      <c r="AK29" s="619">
        <f>+(AK27/(AK17-AK11))</f>
        <v>0.5</v>
      </c>
      <c r="AL29" s="479">
        <f>+AVERAGE(AF29:AK29)</f>
        <v>0.57485119047619049</v>
      </c>
      <c r="AM29" s="480">
        <f t="shared" si="75"/>
        <v>0.57485119047619049</v>
      </c>
      <c r="AN29" s="477">
        <f>+AM29</f>
        <v>0.57485119047619049</v>
      </c>
      <c r="AO29" s="477">
        <f t="shared" si="75"/>
        <v>0.57485119047619049</v>
      </c>
      <c r="AP29" s="477">
        <f t="shared" si="75"/>
        <v>0.57485119047619049</v>
      </c>
      <c r="AQ29" s="477">
        <f t="shared" si="75"/>
        <v>0.57485119047619049</v>
      </c>
      <c r="AR29" s="477">
        <f t="shared" si="75"/>
        <v>0.57485119047619049</v>
      </c>
      <c r="AS29" s="477">
        <f t="shared" si="75"/>
        <v>0.57485119047619049</v>
      </c>
      <c r="AT29" s="477">
        <f t="shared" si="75"/>
        <v>0.57485119047619049</v>
      </c>
      <c r="AU29" s="477">
        <f t="shared" si="75"/>
        <v>0.57485119047619049</v>
      </c>
      <c r="AV29" s="477">
        <f t="shared" si="75"/>
        <v>0.57485119047619049</v>
      </c>
      <c r="AW29" s="477">
        <f t="shared" si="75"/>
        <v>0.57485119047619049</v>
      </c>
      <c r="AX29" s="477">
        <f t="shared" si="75"/>
        <v>0.57485119047619049</v>
      </c>
      <c r="AY29" s="478">
        <f t="shared" si="75"/>
        <v>0.57485119047619049</v>
      </c>
      <c r="AZ29" s="479">
        <f>+AY29</f>
        <v>0.57485119047619049</v>
      </c>
      <c r="BA29" s="477">
        <f t="shared" si="75"/>
        <v>0.57485119047619049</v>
      </c>
      <c r="BB29" s="477">
        <f t="shared" si="75"/>
        <v>0.57485119047619049</v>
      </c>
      <c r="BC29" s="477">
        <f t="shared" si="75"/>
        <v>0.57485119047619049</v>
      </c>
      <c r="BD29" s="477">
        <f t="shared" si="75"/>
        <v>0.57485119047619049</v>
      </c>
      <c r="BE29" s="477">
        <f t="shared" si="75"/>
        <v>0.57485119047619049</v>
      </c>
      <c r="BF29" s="477">
        <f t="shared" si="75"/>
        <v>0.57485119047619049</v>
      </c>
      <c r="BG29" s="477">
        <f t="shared" si="75"/>
        <v>0.57485119047619049</v>
      </c>
      <c r="BH29" s="477">
        <f t="shared" si="75"/>
        <v>0.57485119047619049</v>
      </c>
      <c r="BI29" s="477">
        <f t="shared" si="75"/>
        <v>0.57485119047619049</v>
      </c>
      <c r="BJ29" s="477">
        <f t="shared" si="75"/>
        <v>0.57485119047619049</v>
      </c>
      <c r="BK29" s="478">
        <f t="shared" si="75"/>
        <v>0.57485119047619049</v>
      </c>
      <c r="BL29" s="477">
        <f t="shared" si="75"/>
        <v>0.57485119047619049</v>
      </c>
      <c r="BM29" s="477">
        <f t="shared" si="75"/>
        <v>0.57485119047619049</v>
      </c>
      <c r="BN29" s="477">
        <f t="shared" si="75"/>
        <v>0.57485119047619049</v>
      </c>
      <c r="BO29" s="477">
        <f t="shared" si="75"/>
        <v>0.57485119047619049</v>
      </c>
      <c r="BP29" s="477">
        <f t="shared" si="75"/>
        <v>0.57485119047619049</v>
      </c>
      <c r="BQ29" s="477">
        <f t="shared" si="75"/>
        <v>0.57485119047619049</v>
      </c>
      <c r="BR29" s="477">
        <f t="shared" si="75"/>
        <v>0.57485119047619049</v>
      </c>
      <c r="BS29" s="477">
        <f t="shared" si="75"/>
        <v>0.57485119047619049</v>
      </c>
      <c r="BT29" s="477">
        <f t="shared" si="75"/>
        <v>0.57485119047619049</v>
      </c>
      <c r="BU29" s="477">
        <f t="shared" si="75"/>
        <v>0.57485119047619049</v>
      </c>
      <c r="BV29" s="477">
        <f t="shared" si="75"/>
        <v>0.57485119047619049</v>
      </c>
      <c r="BW29" s="478">
        <f t="shared" si="75"/>
        <v>0.57485119047619049</v>
      </c>
      <c r="BX29" s="477">
        <f t="shared" si="75"/>
        <v>0.57485119047619049</v>
      </c>
      <c r="BY29" s="477">
        <f t="shared" si="75"/>
        <v>0.57485119047619049</v>
      </c>
      <c r="BZ29" s="477">
        <f t="shared" si="75"/>
        <v>0.57485119047619049</v>
      </c>
      <c r="CA29" s="477">
        <f t="shared" si="75"/>
        <v>0.57485119047619049</v>
      </c>
      <c r="CB29" s="477">
        <f t="shared" si="75"/>
        <v>0.57485119047619049</v>
      </c>
      <c r="CC29" s="477">
        <f t="shared" si="75"/>
        <v>0.57485119047619049</v>
      </c>
      <c r="CD29" s="477">
        <f t="shared" ref="CD29:DG29" si="78">+CC29</f>
        <v>0.57485119047619049</v>
      </c>
      <c r="CE29" s="477">
        <f t="shared" si="78"/>
        <v>0.57485119047619049</v>
      </c>
      <c r="CF29" s="477">
        <f t="shared" si="78"/>
        <v>0.57485119047619049</v>
      </c>
      <c r="CG29" s="477">
        <f t="shared" si="78"/>
        <v>0.57485119047619049</v>
      </c>
      <c r="CH29" s="477">
        <f t="shared" si="78"/>
        <v>0.57485119047619049</v>
      </c>
      <c r="CI29" s="478">
        <f t="shared" si="78"/>
        <v>0.57485119047619049</v>
      </c>
      <c r="CJ29" s="477">
        <f t="shared" si="78"/>
        <v>0.57485119047619049</v>
      </c>
      <c r="CK29" s="477">
        <f t="shared" si="78"/>
        <v>0.57485119047619049</v>
      </c>
      <c r="CL29" s="477">
        <f t="shared" si="78"/>
        <v>0.57485119047619049</v>
      </c>
      <c r="CM29" s="477">
        <f t="shared" si="78"/>
        <v>0.57485119047619049</v>
      </c>
      <c r="CN29" s="477">
        <f t="shared" si="78"/>
        <v>0.57485119047619049</v>
      </c>
      <c r="CO29" s="477">
        <f t="shared" si="78"/>
        <v>0.57485119047619049</v>
      </c>
      <c r="CP29" s="477">
        <f t="shared" si="78"/>
        <v>0.57485119047619049</v>
      </c>
      <c r="CQ29" s="477">
        <f t="shared" si="78"/>
        <v>0.57485119047619049</v>
      </c>
      <c r="CR29" s="477">
        <f t="shared" si="78"/>
        <v>0.57485119047619049</v>
      </c>
      <c r="CS29" s="477">
        <f t="shared" si="78"/>
        <v>0.57485119047619049</v>
      </c>
      <c r="CT29" s="477">
        <f t="shared" si="78"/>
        <v>0.57485119047619049</v>
      </c>
      <c r="CU29" s="478">
        <f t="shared" si="78"/>
        <v>0.57485119047619049</v>
      </c>
      <c r="CV29" s="477">
        <f t="shared" si="78"/>
        <v>0.57485119047619049</v>
      </c>
      <c r="CW29" s="477">
        <f t="shared" si="78"/>
        <v>0.57485119047619049</v>
      </c>
      <c r="CX29" s="477">
        <f t="shared" si="78"/>
        <v>0.57485119047619049</v>
      </c>
      <c r="CY29" s="477">
        <f t="shared" si="78"/>
        <v>0.57485119047619049</v>
      </c>
      <c r="CZ29" s="477">
        <f t="shared" si="78"/>
        <v>0.57485119047619049</v>
      </c>
      <c r="DA29" s="477">
        <f t="shared" si="78"/>
        <v>0.57485119047619049</v>
      </c>
      <c r="DB29" s="477">
        <f t="shared" si="78"/>
        <v>0.57485119047619049</v>
      </c>
      <c r="DC29" s="477">
        <f t="shared" si="78"/>
        <v>0.57485119047619049</v>
      </c>
      <c r="DD29" s="477">
        <f t="shared" si="78"/>
        <v>0.57485119047619049</v>
      </c>
      <c r="DE29" s="477">
        <f t="shared" si="78"/>
        <v>0.57485119047619049</v>
      </c>
      <c r="DF29" s="477">
        <f t="shared" si="78"/>
        <v>0.57485119047619049</v>
      </c>
      <c r="DG29" s="480">
        <f t="shared" si="78"/>
        <v>0.57485119047619049</v>
      </c>
    </row>
    <row r="30" spans="1:111" ht="18" x14ac:dyDescent="0.3">
      <c r="A30" s="37"/>
      <c r="B30" s="37"/>
      <c r="C30" s="547" t="s">
        <v>272</v>
      </c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184">
        <f t="shared" ref="V30:AF30" si="79">+V26/(V26+V27)</f>
        <v>0.73295454545454541</v>
      </c>
      <c r="W30" s="184">
        <f t="shared" si="79"/>
        <v>0.81161971830985913</v>
      </c>
      <c r="X30" s="184">
        <f t="shared" si="79"/>
        <v>0.78503184713375795</v>
      </c>
      <c r="Y30" s="184">
        <f t="shared" si="79"/>
        <v>0.78758169934640521</v>
      </c>
      <c r="Z30" s="184">
        <f t="shared" si="79"/>
        <v>0.79378068739770868</v>
      </c>
      <c r="AA30" s="184">
        <f t="shared" si="79"/>
        <v>0.92335115864527628</v>
      </c>
      <c r="AB30" s="184">
        <f t="shared" si="79"/>
        <v>0.88194444444444442</v>
      </c>
      <c r="AC30" s="184">
        <f t="shared" si="79"/>
        <v>0.88244766505636074</v>
      </c>
      <c r="AD30" s="184">
        <f t="shared" si="79"/>
        <v>0.84224965706447186</v>
      </c>
      <c r="AE30" s="184">
        <f t="shared" si="79"/>
        <v>0.89202657807308972</v>
      </c>
      <c r="AF30" s="184">
        <f t="shared" si="79"/>
        <v>0.9105180533751962</v>
      </c>
      <c r="AG30" s="184">
        <f t="shared" ref="AG30:AL30" si="80">+AG26/(AG26+AG27)</f>
        <v>0.89833333333333332</v>
      </c>
      <c r="AH30" s="184">
        <f t="shared" si="80"/>
        <v>0.89676113360323884</v>
      </c>
      <c r="AI30" s="184">
        <f t="shared" si="80"/>
        <v>0.86513629842180773</v>
      </c>
      <c r="AJ30" s="184">
        <f t="shared" si="80"/>
        <v>0.85470085470085466</v>
      </c>
      <c r="AK30" s="620">
        <f t="shared" si="80"/>
        <v>0.89353612167300378</v>
      </c>
      <c r="AL30" s="504">
        <f t="shared" si="80"/>
        <v>0.90455554750949474</v>
      </c>
      <c r="AM30" s="194">
        <f t="shared" ref="AM30:CR30" si="81">+AM26/(AM26+AM27)</f>
        <v>0.91048486186221111</v>
      </c>
      <c r="AN30" s="193">
        <f t="shared" si="81"/>
        <v>0.90100302664152376</v>
      </c>
      <c r="AO30" s="193">
        <f t="shared" si="81"/>
        <v>0.90932308848679366</v>
      </c>
      <c r="AP30" s="193">
        <f t="shared" si="81"/>
        <v>0.93383357476438966</v>
      </c>
      <c r="AQ30" s="193">
        <f t="shared" si="81"/>
        <v>0.90837019511953787</v>
      </c>
      <c r="AR30" s="193">
        <f t="shared" si="81"/>
        <v>0.92939961870703958</v>
      </c>
      <c r="AS30" s="193">
        <f t="shared" si="81"/>
        <v>0.93473872419762805</v>
      </c>
      <c r="AT30" s="193">
        <f t="shared" si="81"/>
        <v>0.91112959602627486</v>
      </c>
      <c r="AU30" s="193">
        <f t="shared" si="81"/>
        <v>0.91100765355541091</v>
      </c>
      <c r="AV30" s="193">
        <f t="shared" si="81"/>
        <v>0.90292134932423418</v>
      </c>
      <c r="AW30" s="193">
        <f t="shared" si="81"/>
        <v>0.9015756139781802</v>
      </c>
      <c r="AX30" s="193">
        <f t="shared" si="81"/>
        <v>0.91369333541857511</v>
      </c>
      <c r="AY30" s="311">
        <f t="shared" si="81"/>
        <v>0.9194020458376374</v>
      </c>
      <c r="AZ30" s="193">
        <f t="shared" si="81"/>
        <v>0.91209720236457126</v>
      </c>
      <c r="BA30" s="193">
        <f t="shared" si="81"/>
        <v>0.92606703861513839</v>
      </c>
      <c r="BB30" s="193">
        <f t="shared" si="81"/>
        <v>0.94756472953350845</v>
      </c>
      <c r="BC30" s="193">
        <f t="shared" si="81"/>
        <v>0.9267932486595728</v>
      </c>
      <c r="BD30" s="193">
        <f t="shared" si="81"/>
        <v>0.93812658966662033</v>
      </c>
      <c r="BE30" s="193">
        <f t="shared" si="81"/>
        <v>0.94819146225339646</v>
      </c>
      <c r="BF30" s="193">
        <f t="shared" si="81"/>
        <v>0.93013663943947578</v>
      </c>
      <c r="BG30" s="193">
        <f t="shared" si="81"/>
        <v>0.92739165568515558</v>
      </c>
      <c r="BH30" s="193">
        <f t="shared" si="81"/>
        <v>0.9211307189202862</v>
      </c>
      <c r="BI30" s="193">
        <f t="shared" si="81"/>
        <v>0.91667803705021988</v>
      </c>
      <c r="BJ30" s="193">
        <f t="shared" si="81"/>
        <v>0.93860004983874035</v>
      </c>
      <c r="BK30" s="311">
        <f t="shared" si="81"/>
        <v>0.93991881341082184</v>
      </c>
      <c r="BL30" s="193">
        <f t="shared" si="81"/>
        <v>0.94100619438050448</v>
      </c>
      <c r="BM30" s="193">
        <f t="shared" si="81"/>
        <v>0.95266991716540739</v>
      </c>
      <c r="BN30" s="193">
        <f t="shared" si="81"/>
        <v>0.96753618278584419</v>
      </c>
      <c r="BO30" s="193">
        <f t="shared" si="81"/>
        <v>0.95328994600346295</v>
      </c>
      <c r="BP30" s="193">
        <f t="shared" si="81"/>
        <v>0.95998314877525526</v>
      </c>
      <c r="BQ30" s="193">
        <f t="shared" si="81"/>
        <v>0.96641060277395996</v>
      </c>
      <c r="BR30" s="193">
        <f t="shared" si="81"/>
        <v>0.95299873478875363</v>
      </c>
      <c r="BS30" s="193">
        <f t="shared" si="81"/>
        <v>0.95530688565239541</v>
      </c>
      <c r="BT30" s="193">
        <f t="shared" si="81"/>
        <v>0.94936543410172747</v>
      </c>
      <c r="BU30" s="193">
        <f t="shared" si="81"/>
        <v>0.94399845023158757</v>
      </c>
      <c r="BV30" s="193">
        <f t="shared" si="81"/>
        <v>0.96229691276864293</v>
      </c>
      <c r="BW30" s="311">
        <f t="shared" si="81"/>
        <v>0.96176532863604591</v>
      </c>
      <c r="BX30" s="193">
        <f t="shared" si="81"/>
        <v>0.96382950529843814</v>
      </c>
      <c r="BY30" s="193">
        <f t="shared" si="81"/>
        <v>0.97250887092415239</v>
      </c>
      <c r="BZ30" s="193">
        <f t="shared" si="81"/>
        <v>0.98006218105248488</v>
      </c>
      <c r="CA30" s="193">
        <f t="shared" si="81"/>
        <v>0.96872156409283527</v>
      </c>
      <c r="CB30" s="193">
        <f t="shared" si="81"/>
        <v>0.9774927976057789</v>
      </c>
      <c r="CC30" s="193">
        <f t="shared" si="81"/>
        <v>0.9793000665837599</v>
      </c>
      <c r="CD30" s="193">
        <f t="shared" si="81"/>
        <v>0.96981378341754676</v>
      </c>
      <c r="CE30" s="193">
        <f t="shared" si="81"/>
        <v>0.97374336031453501</v>
      </c>
      <c r="CF30" s="193">
        <f t="shared" si="81"/>
        <v>0.9677320065401448</v>
      </c>
      <c r="CG30" s="193">
        <f t="shared" si="81"/>
        <v>0.96711934888028872</v>
      </c>
      <c r="CH30" s="193">
        <f t="shared" si="81"/>
        <v>0.97696795145329429</v>
      </c>
      <c r="CI30" s="311">
        <f t="shared" si="81"/>
        <v>0.97455657630183512</v>
      </c>
      <c r="CJ30" s="193">
        <f t="shared" si="81"/>
        <v>0.96701736105155012</v>
      </c>
      <c r="CK30" s="193">
        <f t="shared" si="81"/>
        <v>0.97125939199357902</v>
      </c>
      <c r="CL30" s="193">
        <f t="shared" si="81"/>
        <v>0.97902107864476762</v>
      </c>
      <c r="CM30" s="193">
        <f t="shared" si="81"/>
        <v>0.97032416185074111</v>
      </c>
      <c r="CN30" s="193">
        <f t="shared" si="81"/>
        <v>0.97726436876318168</v>
      </c>
      <c r="CO30" s="193">
        <f t="shared" si="81"/>
        <v>0.97818889671109155</v>
      </c>
      <c r="CP30" s="193">
        <f t="shared" si="81"/>
        <v>0.9709736397529023</v>
      </c>
      <c r="CQ30" s="193">
        <f t="shared" si="81"/>
        <v>0.97372402354822341</v>
      </c>
      <c r="CR30" s="193">
        <f t="shared" si="81"/>
        <v>0.96622630880043148</v>
      </c>
      <c r="CS30" s="193">
        <f t="shared" ref="CS30:DG30" si="82">+CS26/(CS26+CS27)</f>
        <v>0.96857157944561101</v>
      </c>
      <c r="CT30" s="193">
        <f t="shared" si="82"/>
        <v>0.97691365728522983</v>
      </c>
      <c r="CU30" s="311">
        <f t="shared" si="82"/>
        <v>0.97463487958735873</v>
      </c>
      <c r="CV30" s="193">
        <f t="shared" si="82"/>
        <v>0.96715629020786797</v>
      </c>
      <c r="CW30" s="193">
        <f t="shared" si="82"/>
        <v>0.97125268422170064</v>
      </c>
      <c r="CX30" s="193">
        <f t="shared" si="82"/>
        <v>0.97791728767586228</v>
      </c>
      <c r="CY30" s="193">
        <f t="shared" si="82"/>
        <v>0.97176192518580862</v>
      </c>
      <c r="CZ30" s="193">
        <f t="shared" si="82"/>
        <v>0.97715972370574333</v>
      </c>
      <c r="DA30" s="193">
        <f t="shared" si="82"/>
        <v>0.976910928471447</v>
      </c>
      <c r="DB30" s="193">
        <f t="shared" si="82"/>
        <v>0.97212713574854059</v>
      </c>
      <c r="DC30" s="193">
        <f t="shared" si="82"/>
        <v>0.97253557175493632</v>
      </c>
      <c r="DD30" s="193">
        <f t="shared" si="82"/>
        <v>0.96782975278156269</v>
      </c>
      <c r="DE30" s="193">
        <f t="shared" si="82"/>
        <v>0.96862933423077613</v>
      </c>
      <c r="DF30" s="193">
        <f t="shared" si="82"/>
        <v>0.9757858689715796</v>
      </c>
      <c r="DG30" s="194">
        <f t="shared" si="82"/>
        <v>0.97576883078640286</v>
      </c>
    </row>
    <row r="31" spans="1:111" ht="18" x14ac:dyDescent="0.3">
      <c r="A31" s="37"/>
      <c r="B31" s="37"/>
      <c r="C31" s="54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7"/>
      <c r="AK31" s="618"/>
      <c r="AL31" s="193"/>
      <c r="AM31" s="29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310"/>
      <c r="AZ31" s="28"/>
      <c r="BA31" s="28"/>
      <c r="BB31" s="28"/>
      <c r="BC31" s="28"/>
      <c r="BD31" s="28"/>
      <c r="BE31" s="28"/>
      <c r="BF31" s="28"/>
      <c r="BG31" s="28"/>
      <c r="BH31" s="28"/>
      <c r="BI31" s="28"/>
      <c r="BJ31" s="28"/>
      <c r="BK31" s="310"/>
      <c r="BL31" s="28"/>
      <c r="BM31" s="28"/>
      <c r="BN31" s="28"/>
      <c r="BO31" s="28"/>
      <c r="BP31" s="28"/>
      <c r="BQ31" s="28"/>
      <c r="BR31" s="28"/>
      <c r="BS31" s="28"/>
      <c r="BT31" s="28"/>
      <c r="BU31" s="28"/>
      <c r="BV31" s="28"/>
      <c r="BW31" s="310"/>
      <c r="BX31" s="28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310"/>
      <c r="CJ31" s="28"/>
      <c r="CK31" s="28"/>
      <c r="CL31" s="28"/>
      <c r="CM31" s="28"/>
      <c r="CN31" s="28"/>
      <c r="CO31" s="28"/>
      <c r="CP31" s="28"/>
      <c r="CQ31" s="28"/>
      <c r="CR31" s="28"/>
      <c r="CS31" s="28"/>
      <c r="CT31" s="28"/>
      <c r="CU31" s="310"/>
      <c r="CV31" s="28"/>
      <c r="CW31" s="28"/>
      <c r="CX31" s="28"/>
      <c r="CY31" s="28"/>
      <c r="CZ31" s="28"/>
      <c r="DA31" s="28"/>
      <c r="DB31" s="28"/>
      <c r="DC31" s="28"/>
      <c r="DD31" s="28"/>
      <c r="DE31" s="28"/>
      <c r="DF31" s="28"/>
      <c r="DG31" s="29"/>
    </row>
    <row r="32" spans="1:111" ht="18" x14ac:dyDescent="0.3">
      <c r="A32" s="37"/>
      <c r="B32" s="37"/>
      <c r="C32" s="547" t="s">
        <v>217</v>
      </c>
      <c r="D32" s="27"/>
      <c r="E32" s="27"/>
      <c r="F32" s="27"/>
      <c r="G32" s="27"/>
      <c r="H32" s="27"/>
      <c r="I32" s="185"/>
      <c r="J32" s="185"/>
      <c r="K32" s="185"/>
      <c r="L32" s="185">
        <f t="shared" ref="L32:V32" si="83">+AVERAGE(F16:L16)/L11</f>
        <v>-0.20634920634920637</v>
      </c>
      <c r="M32" s="185">
        <f t="shared" si="83"/>
        <v>-7.5630252100840345E-2</v>
      </c>
      <c r="N32" s="185">
        <f t="shared" si="83"/>
        <v>-0.18181818181818182</v>
      </c>
      <c r="O32" s="185">
        <f t="shared" si="83"/>
        <v>-0.36734693877551022</v>
      </c>
      <c r="P32" s="184">
        <f t="shared" si="83"/>
        <v>-0.2142857142857143</v>
      </c>
      <c r="Q32" s="184">
        <f t="shared" si="83"/>
        <v>-0.25714285714285717</v>
      </c>
      <c r="R32" s="184">
        <f t="shared" si="83"/>
        <v>-0.17142857142857143</v>
      </c>
      <c r="S32" s="184">
        <f t="shared" si="83"/>
        <v>-0.30612244897959184</v>
      </c>
      <c r="T32" s="184">
        <f t="shared" si="83"/>
        <v>-0.23809523809523808</v>
      </c>
      <c r="U32" s="184">
        <f t="shared" si="83"/>
        <v>-0.10714285714285715</v>
      </c>
      <c r="V32" s="184">
        <f t="shared" si="83"/>
        <v>-9.5238095238095247E-3</v>
      </c>
      <c r="W32" s="184">
        <f>+AVERAGE(Q16:W16)/W12</f>
        <v>-4.9941927990708485E-2</v>
      </c>
      <c r="X32" s="184">
        <f t="shared" ref="X32:BC32" si="84">+AVERAGE(Q16:W16)/AVERAGE(Q12:W12)</f>
        <v>-4.9941927990708485E-2</v>
      </c>
      <c r="Y32" s="184">
        <f t="shared" si="84"/>
        <v>-9.1753774680603958E-2</v>
      </c>
      <c r="Z32" s="184">
        <f t="shared" si="84"/>
        <v>-0.15085714285714286</v>
      </c>
      <c r="AA32" s="184">
        <f t="shared" si="84"/>
        <v>-0.16960728514513373</v>
      </c>
      <c r="AB32" s="184">
        <f t="shared" si="84"/>
        <v>-0.18880800727934488</v>
      </c>
      <c r="AC32" s="184">
        <f t="shared" si="84"/>
        <v>-0.25426653883029721</v>
      </c>
      <c r="AD32" s="184">
        <f t="shared" si="84"/>
        <v>-0.30375426621160412</v>
      </c>
      <c r="AE32" s="184">
        <f t="shared" si="84"/>
        <v>-0.30854605993340734</v>
      </c>
      <c r="AF32" s="184">
        <f t="shared" si="84"/>
        <v>-0.32100108813928185</v>
      </c>
      <c r="AG32" s="184">
        <f>+AVERAGE(Z16:AF16)/AVERAGE(Z12:AF12)</f>
        <v>-0.31431646932185142</v>
      </c>
      <c r="AH32" s="184">
        <f>+AVERAGE(AA16:AG16)/AVERAGE(AA12:AG12)</f>
        <v>-0.33613445378151263</v>
      </c>
      <c r="AI32" s="184">
        <f>+AVERAGE(AB16:AH16)/AVERAGE(AB12:AH12)</f>
        <v>-0.35699588477366251</v>
      </c>
      <c r="AJ32" s="184">
        <f>+AVERAGE(AC16:AI16)/AVERAGE(AC12:AI12)</f>
        <v>-0.33497053045186642</v>
      </c>
      <c r="AK32" s="620">
        <f>+AVERAGE(AD16:AJ16)/AVERAGE(AD12:AJ12)</f>
        <v>-0.3597621407333994</v>
      </c>
      <c r="AL32" s="193">
        <f t="shared" si="84"/>
        <v>-0.35771543086172342</v>
      </c>
      <c r="AM32" s="194">
        <f t="shared" si="84"/>
        <v>-0.34607387713425108</v>
      </c>
      <c r="AN32" s="193">
        <f t="shared" si="84"/>
        <v>-0.3476657496631036</v>
      </c>
      <c r="AO32" s="193">
        <f t="shared" si="84"/>
        <v>-0.36074281756000909</v>
      </c>
      <c r="AP32" s="193">
        <f t="shared" si="84"/>
        <v>-0.37692078639503857</v>
      </c>
      <c r="AQ32" s="193">
        <f t="shared" si="84"/>
        <v>-0.38589939953635344</v>
      </c>
      <c r="AR32" s="193">
        <f t="shared" si="84"/>
        <v>-0.37271344645024118</v>
      </c>
      <c r="AS32" s="193">
        <f t="shared" si="84"/>
        <v>-0.37405724540863478</v>
      </c>
      <c r="AT32" s="193">
        <f t="shared" si="84"/>
        <v>-0.36821260094912489</v>
      </c>
      <c r="AU32" s="193">
        <f t="shared" si="84"/>
        <v>-0.35718068007502246</v>
      </c>
      <c r="AV32" s="193">
        <f t="shared" si="84"/>
        <v>-0.34282673705472877</v>
      </c>
      <c r="AW32" s="193">
        <f t="shared" si="84"/>
        <v>-0.33959948209291724</v>
      </c>
      <c r="AX32" s="193">
        <f t="shared" si="84"/>
        <v>-0.34278913988443871</v>
      </c>
      <c r="AY32" s="311">
        <f t="shared" si="84"/>
        <v>-0.32618009274775628</v>
      </c>
      <c r="AZ32" s="193">
        <f t="shared" si="84"/>
        <v>-0.32962514902484225</v>
      </c>
      <c r="BA32" s="193">
        <f t="shared" si="84"/>
        <v>-0.34388187739549958</v>
      </c>
      <c r="BB32" s="193">
        <f t="shared" si="84"/>
        <v>-0.3547192680432058</v>
      </c>
      <c r="BC32" s="193">
        <f t="shared" si="84"/>
        <v>-0.35585220932510719</v>
      </c>
      <c r="BD32" s="193">
        <f t="shared" ref="BD32:CI32" si="85">+AVERAGE(AW16:BC16)/AVERAGE(AW12:BC12)</f>
        <v>-0.36090125428559611</v>
      </c>
      <c r="BE32" s="193">
        <f t="shared" si="85"/>
        <v>-0.35629012163146589</v>
      </c>
      <c r="BF32" s="193">
        <f t="shared" si="85"/>
        <v>-0.3514539468870751</v>
      </c>
      <c r="BG32" s="193">
        <f t="shared" si="85"/>
        <v>-0.34267442698329637</v>
      </c>
      <c r="BH32" s="193">
        <f t="shared" si="85"/>
        <v>-0.32947484115934988</v>
      </c>
      <c r="BI32" s="193">
        <f t="shared" si="85"/>
        <v>-0.32588121708190987</v>
      </c>
      <c r="BJ32" s="193">
        <f t="shared" si="85"/>
        <v>-0.32850579750888115</v>
      </c>
      <c r="BK32" s="311">
        <f t="shared" si="85"/>
        <v>-0.31555110141867809</v>
      </c>
      <c r="BL32" s="193">
        <f t="shared" si="85"/>
        <v>-0.31769106259376378</v>
      </c>
      <c r="BM32" s="193">
        <f t="shared" si="85"/>
        <v>-0.33043295790812183</v>
      </c>
      <c r="BN32" s="193">
        <f t="shared" si="85"/>
        <v>-0.34069681901087678</v>
      </c>
      <c r="BO32" s="193">
        <f t="shared" si="85"/>
        <v>-0.34240946727647525</v>
      </c>
      <c r="BP32" s="193">
        <f t="shared" si="85"/>
        <v>-0.34704461847520629</v>
      </c>
      <c r="BQ32" s="193">
        <f t="shared" si="85"/>
        <v>-0.34337813109315457</v>
      </c>
      <c r="BR32" s="193">
        <f t="shared" si="85"/>
        <v>-0.33900252191388763</v>
      </c>
      <c r="BS32" s="193">
        <f t="shared" si="85"/>
        <v>-0.33081651705891624</v>
      </c>
      <c r="BT32" s="193">
        <f t="shared" si="85"/>
        <v>-0.31863015768103531</v>
      </c>
      <c r="BU32" s="193">
        <f t="shared" si="85"/>
        <v>-0.31525696287868959</v>
      </c>
      <c r="BV32" s="193">
        <f t="shared" si="85"/>
        <v>-0.31730802136710956</v>
      </c>
      <c r="BW32" s="311">
        <f t="shared" si="85"/>
        <v>-0.30527412961228806</v>
      </c>
      <c r="BX32" s="193">
        <f t="shared" si="85"/>
        <v>-0.30685436501518876</v>
      </c>
      <c r="BY32" s="193">
        <f t="shared" si="85"/>
        <v>-0.31887284664447646</v>
      </c>
      <c r="BZ32" s="193">
        <f t="shared" si="85"/>
        <v>-0.32845637178946002</v>
      </c>
      <c r="CA32" s="193">
        <f t="shared" si="85"/>
        <v>-0.33026939463481447</v>
      </c>
      <c r="CB32" s="193">
        <f t="shared" si="85"/>
        <v>-0.33504029455731177</v>
      </c>
      <c r="CC32" s="193">
        <f t="shared" si="85"/>
        <v>-0.33193296497428204</v>
      </c>
      <c r="CD32" s="193">
        <f t="shared" si="85"/>
        <v>-0.32863215713332128</v>
      </c>
      <c r="CE32" s="193">
        <f t="shared" si="85"/>
        <v>-0.32185573545753993</v>
      </c>
      <c r="CF32" s="193">
        <f t="shared" si="85"/>
        <v>-0.31073663620075265</v>
      </c>
      <c r="CG32" s="193">
        <f t="shared" si="85"/>
        <v>-0.3070940617156071</v>
      </c>
      <c r="CH32" s="193">
        <f t="shared" si="85"/>
        <v>-0.30954314834080854</v>
      </c>
      <c r="CI32" s="311">
        <f t="shared" si="85"/>
        <v>-0.29778649656376899</v>
      </c>
      <c r="CJ32" s="193">
        <f t="shared" ref="CJ32:DG32" si="86">+AVERAGE(CC16:CI16)/AVERAGE(CC12:CI12)</f>
        <v>-0.29966013852145007</v>
      </c>
      <c r="CK32" s="193">
        <f t="shared" si="86"/>
        <v>-0.31082512157439568</v>
      </c>
      <c r="CL32" s="193">
        <f t="shared" si="86"/>
        <v>-0.32008685461389319</v>
      </c>
      <c r="CM32" s="193">
        <f t="shared" si="86"/>
        <v>-0.32151151935273081</v>
      </c>
      <c r="CN32" s="193">
        <f t="shared" si="86"/>
        <v>-0.32638601452348093</v>
      </c>
      <c r="CO32" s="193">
        <f t="shared" si="86"/>
        <v>-0.32366446319902464</v>
      </c>
      <c r="CP32" s="193">
        <f t="shared" si="86"/>
        <v>-0.3203932706013734</v>
      </c>
      <c r="CQ32" s="193">
        <f t="shared" si="86"/>
        <v>-0.31443540075011328</v>
      </c>
      <c r="CR32" s="193">
        <f t="shared" si="86"/>
        <v>-0.30394877392007658</v>
      </c>
      <c r="CS32" s="193">
        <f t="shared" si="86"/>
        <v>-0.30059786090017326</v>
      </c>
      <c r="CT32" s="193">
        <f t="shared" si="86"/>
        <v>-0.30274206564754524</v>
      </c>
      <c r="CU32" s="311">
        <f t="shared" si="86"/>
        <v>-0.29167383821796988</v>
      </c>
      <c r="CV32" s="193">
        <f t="shared" si="86"/>
        <v>-0.29274512034643252</v>
      </c>
      <c r="CW32" s="193">
        <f t="shared" si="86"/>
        <v>-0.30353040245345414</v>
      </c>
      <c r="CX32" s="193">
        <f t="shared" si="86"/>
        <v>-0.3123709384828543</v>
      </c>
      <c r="CY32" s="193">
        <f t="shared" si="86"/>
        <v>-0.31387863499793267</v>
      </c>
      <c r="CZ32" s="193">
        <f t="shared" si="86"/>
        <v>-0.31818185025684226</v>
      </c>
      <c r="DA32" s="193">
        <f t="shared" si="86"/>
        <v>-0.3155555032575455</v>
      </c>
      <c r="DB32" s="193">
        <f t="shared" si="86"/>
        <v>-0.31273990310180305</v>
      </c>
      <c r="DC32" s="193">
        <f t="shared" si="86"/>
        <v>-0.3074091950503452</v>
      </c>
      <c r="DD32" s="193">
        <f t="shared" si="86"/>
        <v>-0.29748015520100052</v>
      </c>
      <c r="DE32" s="193">
        <f t="shared" si="86"/>
        <v>-0.29387177159906452</v>
      </c>
      <c r="DF32" s="193">
        <f t="shared" si="86"/>
        <v>-0.29571333836164088</v>
      </c>
      <c r="DG32" s="194">
        <f t="shared" si="86"/>
        <v>-0.28522236050945515</v>
      </c>
    </row>
    <row r="33" spans="1:111" ht="18" x14ac:dyDescent="0.3">
      <c r="A33" s="37"/>
      <c r="B33" s="37"/>
      <c r="C33" s="547" t="s">
        <v>213</v>
      </c>
      <c r="D33" s="27"/>
      <c r="E33" s="27"/>
      <c r="F33" s="27"/>
      <c r="G33" s="27"/>
      <c r="H33" s="27"/>
      <c r="I33" s="190"/>
      <c r="J33" s="190"/>
      <c r="K33" s="190"/>
      <c r="L33" s="190">
        <f t="shared" ref="L33:Q33" si="87">1/-L32</f>
        <v>4.8461538461538458</v>
      </c>
      <c r="M33" s="190">
        <f t="shared" si="87"/>
        <v>13.222222222222221</v>
      </c>
      <c r="N33" s="190">
        <f t="shared" si="87"/>
        <v>5.5</v>
      </c>
      <c r="O33" s="190">
        <f t="shared" si="87"/>
        <v>2.7222222222222219</v>
      </c>
      <c r="P33" s="190">
        <f t="shared" si="87"/>
        <v>4.6666666666666661</v>
      </c>
      <c r="Q33" s="190">
        <f t="shared" si="87"/>
        <v>3.8888888888888884</v>
      </c>
      <c r="R33" s="190">
        <f t="shared" ref="R33:CC33" si="88">1/-R32</f>
        <v>5.833333333333333</v>
      </c>
      <c r="S33" s="190">
        <f>1/-S32</f>
        <v>3.2666666666666666</v>
      </c>
      <c r="T33" s="190">
        <f>1/-T32</f>
        <v>4.2</v>
      </c>
      <c r="U33" s="190">
        <f>1/-U32</f>
        <v>9.3333333333333321</v>
      </c>
      <c r="V33" s="190">
        <f t="shared" si="88"/>
        <v>104.99999999999999</v>
      </c>
      <c r="W33" s="190">
        <f t="shared" ref="W33:AE33" si="89">1/-W32</f>
        <v>20.023255813953487</v>
      </c>
      <c r="X33" s="190">
        <f t="shared" si="89"/>
        <v>20.023255813953487</v>
      </c>
      <c r="Y33" s="190">
        <f t="shared" si="89"/>
        <v>10.898734177215189</v>
      </c>
      <c r="Z33" s="190">
        <f>1/-Z32</f>
        <v>6.6287878787878789</v>
      </c>
      <c r="AA33" s="190">
        <f t="shared" si="89"/>
        <v>5.8959731543624168</v>
      </c>
      <c r="AB33" s="190">
        <f t="shared" si="89"/>
        <v>5.2963855421686743</v>
      </c>
      <c r="AC33" s="190">
        <f t="shared" si="89"/>
        <v>3.9328808446455508</v>
      </c>
      <c r="AD33" s="190">
        <f>1/-AD32</f>
        <v>3.292134831460674</v>
      </c>
      <c r="AE33" s="190">
        <f t="shared" si="89"/>
        <v>3.2410071942446042</v>
      </c>
      <c r="AF33" s="190">
        <f t="shared" ref="AF33:AJ33" si="90">1/-AF32</f>
        <v>3.1152542372881356</v>
      </c>
      <c r="AG33" s="190">
        <f t="shared" si="90"/>
        <v>3.1815068493150687</v>
      </c>
      <c r="AH33" s="190">
        <f t="shared" si="90"/>
        <v>2.9749999999999996</v>
      </c>
      <c r="AI33" s="190">
        <f t="shared" si="90"/>
        <v>2.8011527377521617</v>
      </c>
      <c r="AJ33" s="190">
        <f t="shared" si="90"/>
        <v>2.9853372434017595</v>
      </c>
      <c r="AK33" s="621">
        <f t="shared" ref="AK33" si="91">1/-AK32</f>
        <v>2.7796143250688705</v>
      </c>
      <c r="AL33" s="505">
        <f t="shared" ref="AL33" si="92">1/-AL32</f>
        <v>2.7955182072829134</v>
      </c>
      <c r="AM33" s="192">
        <f t="shared" si="88"/>
        <v>2.8895564388758355</v>
      </c>
      <c r="AN33" s="191">
        <f t="shared" si="88"/>
        <v>2.8763258991402627</v>
      </c>
      <c r="AO33" s="191">
        <f t="shared" si="88"/>
        <v>2.7720579629659605</v>
      </c>
      <c r="AP33" s="191">
        <f t="shared" si="88"/>
        <v>2.6530773470050337</v>
      </c>
      <c r="AQ33" s="191">
        <f t="shared" si="88"/>
        <v>2.5913489401680074</v>
      </c>
      <c r="AR33" s="191">
        <f t="shared" si="88"/>
        <v>2.6830263558347478</v>
      </c>
      <c r="AS33" s="191">
        <f t="shared" si="88"/>
        <v>2.6733875958145412</v>
      </c>
      <c r="AT33" s="191">
        <f t="shared" si="88"/>
        <v>2.715822319557629</v>
      </c>
      <c r="AU33" s="191">
        <f t="shared" si="88"/>
        <v>2.7997034996124635</v>
      </c>
      <c r="AV33" s="191">
        <f t="shared" si="88"/>
        <v>2.9169253500795658</v>
      </c>
      <c r="AW33" s="191">
        <f t="shared" si="88"/>
        <v>2.9446452445601543</v>
      </c>
      <c r="AX33" s="191">
        <f t="shared" si="88"/>
        <v>2.9172452789406358</v>
      </c>
      <c r="AY33" s="312">
        <f t="shared" si="88"/>
        <v>3.0657910223029048</v>
      </c>
      <c r="AZ33" s="191">
        <f t="shared" si="88"/>
        <v>3.0337491024528438</v>
      </c>
      <c r="BA33" s="191">
        <f t="shared" si="88"/>
        <v>2.9079752837626187</v>
      </c>
      <c r="BB33" s="191">
        <f t="shared" si="88"/>
        <v>2.819130760830836</v>
      </c>
      <c r="BC33" s="191">
        <f t="shared" si="88"/>
        <v>2.8101553785391795</v>
      </c>
      <c r="BD33" s="191">
        <f t="shared" si="88"/>
        <v>2.7708410212635575</v>
      </c>
      <c r="BE33" s="191">
        <f t="shared" si="88"/>
        <v>2.8067014471828808</v>
      </c>
      <c r="BF33" s="191">
        <f t="shared" si="88"/>
        <v>2.8453230042151376</v>
      </c>
      <c r="BG33" s="191">
        <f t="shared" si="88"/>
        <v>2.918221849244516</v>
      </c>
      <c r="BH33" s="191">
        <f t="shared" si="88"/>
        <v>3.0351331120798748</v>
      </c>
      <c r="BI33" s="191">
        <f t="shared" si="88"/>
        <v>3.0686027533420286</v>
      </c>
      <c r="BJ33" s="191">
        <f t="shared" si="88"/>
        <v>3.04408630710076</v>
      </c>
      <c r="BK33" s="312">
        <f t="shared" si="88"/>
        <v>3.1690588164773494</v>
      </c>
      <c r="BL33" s="191">
        <f t="shared" si="88"/>
        <v>3.1477120943711112</v>
      </c>
      <c r="BM33" s="191">
        <f t="shared" si="88"/>
        <v>3.0263325012453932</v>
      </c>
      <c r="BN33" s="191">
        <f t="shared" si="88"/>
        <v>2.9351609530820859</v>
      </c>
      <c r="BO33" s="191">
        <f t="shared" si="88"/>
        <v>2.9204799971040507</v>
      </c>
      <c r="BP33" s="191">
        <f t="shared" si="88"/>
        <v>2.8814738704021785</v>
      </c>
      <c r="BQ33" s="191">
        <f t="shared" si="88"/>
        <v>2.9122413731371593</v>
      </c>
      <c r="BR33" s="191">
        <f t="shared" si="88"/>
        <v>2.9498305627768069</v>
      </c>
      <c r="BS33" s="191">
        <f t="shared" si="88"/>
        <v>3.022823675463298</v>
      </c>
      <c r="BT33" s="191">
        <f t="shared" si="88"/>
        <v>3.1384348778468416</v>
      </c>
      <c r="BU33" s="191">
        <f t="shared" si="88"/>
        <v>3.1720155864877708</v>
      </c>
      <c r="BV33" s="191">
        <f t="shared" si="88"/>
        <v>3.1515118832846958</v>
      </c>
      <c r="BW33" s="312">
        <f t="shared" si="88"/>
        <v>3.2757443327085896</v>
      </c>
      <c r="BX33" s="191">
        <f t="shared" si="88"/>
        <v>3.2588749387694116</v>
      </c>
      <c r="BY33" s="191">
        <f t="shared" si="88"/>
        <v>3.1360462658488393</v>
      </c>
      <c r="BZ33" s="191">
        <f t="shared" si="88"/>
        <v>3.0445443775436889</v>
      </c>
      <c r="CA33" s="191">
        <f t="shared" si="88"/>
        <v>3.0278312681855373</v>
      </c>
      <c r="CB33" s="191">
        <f t="shared" si="88"/>
        <v>2.9847156185237314</v>
      </c>
      <c r="CC33" s="191">
        <f t="shared" si="88"/>
        <v>3.0126564864609917</v>
      </c>
      <c r="CD33" s="191">
        <f t="shared" ref="CD33:DG33" si="93">1/-CD32</f>
        <v>3.0429158507282494</v>
      </c>
      <c r="CE33" s="191">
        <f t="shared" si="93"/>
        <v>3.1069820725065895</v>
      </c>
      <c r="CF33" s="191">
        <f t="shared" si="93"/>
        <v>3.2181593140306313</v>
      </c>
      <c r="CG33" s="191">
        <f t="shared" si="93"/>
        <v>3.2563312830388673</v>
      </c>
      <c r="CH33" s="191">
        <f t="shared" si="93"/>
        <v>3.2305673873259022</v>
      </c>
      <c r="CI33" s="312">
        <f t="shared" si="93"/>
        <v>3.358110631406205</v>
      </c>
      <c r="CJ33" s="191">
        <f t="shared" si="93"/>
        <v>3.337113854829306</v>
      </c>
      <c r="CK33" s="191">
        <f t="shared" si="93"/>
        <v>3.2172431717706287</v>
      </c>
      <c r="CL33" s="191">
        <f t="shared" si="93"/>
        <v>3.1241520405649159</v>
      </c>
      <c r="CM33" s="191">
        <f t="shared" si="93"/>
        <v>3.1103084642603376</v>
      </c>
      <c r="CN33" s="191">
        <f t="shared" si="93"/>
        <v>3.0638567692919874</v>
      </c>
      <c r="CO33" s="191">
        <f t="shared" si="93"/>
        <v>3.089619385817743</v>
      </c>
      <c r="CP33" s="191">
        <f t="shared" si="93"/>
        <v>3.1211641808924853</v>
      </c>
      <c r="CQ33" s="191">
        <f t="shared" si="93"/>
        <v>3.1803034824145504</v>
      </c>
      <c r="CR33" s="191">
        <f t="shared" si="93"/>
        <v>3.2900280764512981</v>
      </c>
      <c r="CS33" s="191">
        <f t="shared" si="93"/>
        <v>3.3267036465442246</v>
      </c>
      <c r="CT33" s="191">
        <f t="shared" si="93"/>
        <v>3.3031418936151677</v>
      </c>
      <c r="CU33" s="312">
        <f t="shared" si="93"/>
        <v>3.4284871283268576</v>
      </c>
      <c r="CV33" s="191">
        <f t="shared" si="93"/>
        <v>3.4159407979767757</v>
      </c>
      <c r="CW33" s="191">
        <f t="shared" si="93"/>
        <v>3.2945628902967909</v>
      </c>
      <c r="CX33" s="191">
        <f t="shared" si="93"/>
        <v>3.2013221359735708</v>
      </c>
      <c r="CY33" s="191">
        <f t="shared" si="93"/>
        <v>3.1859447840614776</v>
      </c>
      <c r="CZ33" s="191">
        <f t="shared" si="93"/>
        <v>3.142856826034488</v>
      </c>
      <c r="DA33" s="191">
        <f t="shared" si="93"/>
        <v>3.1690146097177538</v>
      </c>
      <c r="DB33" s="191">
        <f t="shared" si="93"/>
        <v>3.1975452767038819</v>
      </c>
      <c r="DC33" s="191">
        <f t="shared" si="93"/>
        <v>3.2529931313089948</v>
      </c>
      <c r="DD33" s="191">
        <f t="shared" si="93"/>
        <v>3.3615687719549658</v>
      </c>
      <c r="DE33" s="191">
        <f t="shared" si="93"/>
        <v>3.4028446984160192</v>
      </c>
      <c r="DF33" s="191">
        <f t="shared" si="93"/>
        <v>3.3816533455689304</v>
      </c>
      <c r="DG33" s="192">
        <f t="shared" si="93"/>
        <v>3.5060364769923074</v>
      </c>
    </row>
    <row r="34" spans="1:111" ht="18" x14ac:dyDescent="0.3">
      <c r="A34" s="37"/>
      <c r="B34" s="37"/>
      <c r="C34" s="547" t="s">
        <v>285</v>
      </c>
      <c r="D34" s="27"/>
      <c r="E34" s="27"/>
      <c r="F34" s="27"/>
      <c r="G34" s="27"/>
      <c r="H34" s="27"/>
      <c r="I34" s="27"/>
      <c r="J34" s="27"/>
      <c r="K34" s="27"/>
      <c r="L34" s="27">
        <f t="shared" ref="L34:V34" si="94">+L9/L11</f>
        <v>0</v>
      </c>
      <c r="M34" s="27">
        <f t="shared" si="94"/>
        <v>0</v>
      </c>
      <c r="N34" s="27">
        <f t="shared" si="94"/>
        <v>0</v>
      </c>
      <c r="O34" s="27">
        <f t="shared" si="94"/>
        <v>0</v>
      </c>
      <c r="P34" s="27">
        <f t="shared" si="94"/>
        <v>0</v>
      </c>
      <c r="Q34" s="27">
        <f t="shared" si="94"/>
        <v>0</v>
      </c>
      <c r="R34" s="27">
        <f t="shared" si="94"/>
        <v>0</v>
      </c>
      <c r="S34" s="27">
        <f t="shared" si="94"/>
        <v>0</v>
      </c>
      <c r="T34" s="27">
        <f t="shared" si="94"/>
        <v>0</v>
      </c>
      <c r="U34" s="27">
        <f t="shared" si="94"/>
        <v>0</v>
      </c>
      <c r="V34" s="27">
        <f t="shared" si="94"/>
        <v>0</v>
      </c>
      <c r="W34" s="27">
        <f>+W9/W12</f>
        <v>16.377723577235773</v>
      </c>
      <c r="X34" s="27">
        <f>+X9/X12</f>
        <v>72.090731707317076</v>
      </c>
      <c r="Y34" s="27">
        <f>+Y9/Y12</f>
        <v>64.756976744186048</v>
      </c>
      <c r="Z34" s="27">
        <f>+Z9/Z12</f>
        <v>71.144173228346446</v>
      </c>
      <c r="AA34" s="27">
        <f>+AA9/AA12</f>
        <v>84.056349206349211</v>
      </c>
      <c r="AB34" s="27">
        <f t="shared" ref="AB34:AH34" si="95">+(AB9/AB12)*AB22</f>
        <v>66.638111622470589</v>
      </c>
      <c r="AC34" s="27">
        <f t="shared" si="95"/>
        <v>76.948592670973497</v>
      </c>
      <c r="AD34" s="27">
        <f t="shared" si="95"/>
        <v>104.77336028537457</v>
      </c>
      <c r="AE34" s="27">
        <f t="shared" si="95"/>
        <v>113.5340918464866</v>
      </c>
      <c r="AF34" s="27">
        <f t="shared" si="95"/>
        <v>120.83921380880905</v>
      </c>
      <c r="AG34" s="27">
        <f t="shared" si="95"/>
        <v>125.54921866666666</v>
      </c>
      <c r="AH34" s="27">
        <f t="shared" si="95"/>
        <v>126.08964158378684</v>
      </c>
      <c r="AI34" s="27">
        <f>+(AI9/AI12)*AI22</f>
        <v>122.689386126689</v>
      </c>
      <c r="AJ34" s="27">
        <f>+(AJ9/AJ12)*AJ22</f>
        <v>106.01667263999998</v>
      </c>
      <c r="AK34" s="618">
        <f>+(AK9/AK12)*AK22</f>
        <v>131.45881710848744</v>
      </c>
      <c r="AL34" s="28">
        <f t="shared" ref="AL34" si="96">+(AL9/AL12)*AL22</f>
        <v>99.834250696049878</v>
      </c>
      <c r="AM34" s="29">
        <f t="shared" ref="AM34:CS34" si="97">+(AM9/AM12)*AM22</f>
        <v>134.95701815414191</v>
      </c>
      <c r="AN34" s="28">
        <f t="shared" si="97"/>
        <v>142.97032162544124</v>
      </c>
      <c r="AO34" s="28">
        <f t="shared" si="97"/>
        <v>162.09371833996386</v>
      </c>
      <c r="AP34" s="28">
        <f t="shared" si="97"/>
        <v>171.18359617432111</v>
      </c>
      <c r="AQ34" s="28">
        <f t="shared" si="97"/>
        <v>164.22922701843254</v>
      </c>
      <c r="AR34" s="28">
        <f t="shared" si="97"/>
        <v>154.67374926953246</v>
      </c>
      <c r="AS34" s="28">
        <f t="shared" si="97"/>
        <v>146.85823987756299</v>
      </c>
      <c r="AT34" s="28">
        <f t="shared" si="97"/>
        <v>120.70167025187457</v>
      </c>
      <c r="AU34" s="28">
        <f t="shared" si="97"/>
        <v>127.78574119216516</v>
      </c>
      <c r="AV34" s="28">
        <f t="shared" si="97"/>
        <v>137.26016674075356</v>
      </c>
      <c r="AW34" s="28">
        <f t="shared" si="97"/>
        <v>132.26669108451583</v>
      </c>
      <c r="AX34" s="28">
        <f t="shared" si="97"/>
        <v>129.47501964715755</v>
      </c>
      <c r="AY34" s="310">
        <f t="shared" si="97"/>
        <v>165.78962243996429</v>
      </c>
      <c r="AZ34" s="28">
        <f t="shared" si="97"/>
        <v>143.5919317194649</v>
      </c>
      <c r="BA34" s="28">
        <f t="shared" si="97"/>
        <v>170.19840425696208</v>
      </c>
      <c r="BB34" s="28">
        <f t="shared" si="97"/>
        <v>188.30195579175327</v>
      </c>
      <c r="BC34" s="28">
        <f t="shared" si="97"/>
        <v>172.44068836935418</v>
      </c>
      <c r="BD34" s="28">
        <f t="shared" si="97"/>
        <v>155.02528051787232</v>
      </c>
      <c r="BE34" s="28">
        <f t="shared" si="97"/>
        <v>161.54406386531926</v>
      </c>
      <c r="BF34" s="28">
        <f t="shared" si="97"/>
        <v>132.49751529921687</v>
      </c>
      <c r="BG34" s="28">
        <f t="shared" si="97"/>
        <v>134.17502825177345</v>
      </c>
      <c r="BH34" s="28">
        <f t="shared" si="97"/>
        <v>144.12317507779125</v>
      </c>
      <c r="BI34" s="28">
        <f t="shared" si="97"/>
        <v>132.8417636544485</v>
      </c>
      <c r="BJ34" s="28">
        <f t="shared" si="97"/>
        <v>158.60689906776798</v>
      </c>
      <c r="BK34" s="310">
        <f t="shared" si="97"/>
        <v>190.65806580595893</v>
      </c>
      <c r="BL34" s="28">
        <f t="shared" si="97"/>
        <v>143.91827701882733</v>
      </c>
      <c r="BM34" s="28">
        <f t="shared" si="97"/>
        <v>178.70832446981021</v>
      </c>
      <c r="BN34" s="28">
        <f t="shared" si="97"/>
        <v>206.70419238049277</v>
      </c>
      <c r="BO34" s="28">
        <f t="shared" si="97"/>
        <v>181.06272278782191</v>
      </c>
      <c r="BP34" s="28">
        <f t="shared" si="97"/>
        <v>162.77654454376597</v>
      </c>
      <c r="BQ34" s="28">
        <f t="shared" si="97"/>
        <v>169.62126705858526</v>
      </c>
      <c r="BR34" s="28">
        <f t="shared" si="97"/>
        <v>133.07359145269172</v>
      </c>
      <c r="BS34" s="28">
        <f t="shared" si="97"/>
        <v>147.59253107695079</v>
      </c>
      <c r="BT34" s="28">
        <f t="shared" si="97"/>
        <v>151.32933383168083</v>
      </c>
      <c r="BU34" s="28">
        <f t="shared" si="97"/>
        <v>133.14367675366319</v>
      </c>
      <c r="BV34" s="28">
        <f t="shared" si="97"/>
        <v>174.46758897454481</v>
      </c>
      <c r="BW34" s="310">
        <f t="shared" si="97"/>
        <v>200.19096909625691</v>
      </c>
      <c r="BX34" s="28">
        <f t="shared" si="97"/>
        <v>151.11419086976872</v>
      </c>
      <c r="BY34" s="28">
        <f t="shared" si="97"/>
        <v>197.02592772796578</v>
      </c>
      <c r="BZ34" s="28">
        <f t="shared" si="97"/>
        <v>217.03940199951742</v>
      </c>
      <c r="CA34" s="28">
        <f t="shared" si="97"/>
        <v>172.83259902473912</v>
      </c>
      <c r="CB34" s="28">
        <f t="shared" si="97"/>
        <v>187.19302622533087</v>
      </c>
      <c r="CC34" s="28">
        <f t="shared" si="97"/>
        <v>178.10233041151454</v>
      </c>
      <c r="CD34" s="28">
        <f t="shared" si="97"/>
        <v>133.37603143326606</v>
      </c>
      <c r="CE34" s="28">
        <f t="shared" si="97"/>
        <v>162.01634661401647</v>
      </c>
      <c r="CF34" s="28">
        <f t="shared" si="97"/>
        <v>151.67326413584377</v>
      </c>
      <c r="CG34" s="28">
        <f t="shared" si="97"/>
        <v>146.45804442902954</v>
      </c>
      <c r="CH34" s="28">
        <f t="shared" si="97"/>
        <v>183.19096842327204</v>
      </c>
      <c r="CI34" s="310">
        <f t="shared" si="97"/>
        <v>191.92221167706376</v>
      </c>
      <c r="CJ34" s="28">
        <f t="shared" si="97"/>
        <v>173.78131950023402</v>
      </c>
      <c r="CK34" s="28">
        <f t="shared" si="97"/>
        <v>197.02592772796578</v>
      </c>
      <c r="CL34" s="28">
        <f t="shared" si="97"/>
        <v>217.98305157342844</v>
      </c>
      <c r="CM34" s="28">
        <f t="shared" si="97"/>
        <v>190.54794042477491</v>
      </c>
      <c r="CN34" s="28">
        <f t="shared" si="97"/>
        <v>196.55267753659749</v>
      </c>
      <c r="CO34" s="28">
        <f t="shared" si="97"/>
        <v>178.50710843517709</v>
      </c>
      <c r="CP34" s="28">
        <f t="shared" si="97"/>
        <v>146.71363457659265</v>
      </c>
      <c r="CQ34" s="28">
        <f t="shared" si="97"/>
        <v>170.1171639447173</v>
      </c>
      <c r="CR34" s="28">
        <f t="shared" si="97"/>
        <v>151.67326413584377</v>
      </c>
      <c r="CS34" s="28">
        <f t="shared" si="97"/>
        <v>160.77098968004833</v>
      </c>
      <c r="CT34" s="28">
        <f t="shared" ref="CT34:DG34" si="98">+(CT9/CT12)*CT22</f>
        <v>192.35051684443573</v>
      </c>
      <c r="CU34" s="310">
        <f t="shared" si="98"/>
        <v>201.51832226091693</v>
      </c>
      <c r="CV34" s="28">
        <f t="shared" si="98"/>
        <v>182.47038547524576</v>
      </c>
      <c r="CW34" s="28">
        <f t="shared" si="98"/>
        <v>206.87722411436405</v>
      </c>
      <c r="CX34" s="28">
        <f t="shared" si="98"/>
        <v>218.4784675997316</v>
      </c>
      <c r="CY34" s="28">
        <f t="shared" si="98"/>
        <v>209.60273446725242</v>
      </c>
      <c r="CZ34" s="28">
        <f t="shared" si="98"/>
        <v>206.38031141342728</v>
      </c>
      <c r="DA34" s="28">
        <f t="shared" si="98"/>
        <v>178.50710843517712</v>
      </c>
      <c r="DB34" s="28">
        <f t="shared" si="98"/>
        <v>161.05155795566876</v>
      </c>
      <c r="DC34" s="28">
        <f t="shared" si="98"/>
        <v>170.85680378795522</v>
      </c>
      <c r="DD34" s="28">
        <f t="shared" si="98"/>
        <v>167.21977370976779</v>
      </c>
      <c r="DE34" s="28">
        <f t="shared" si="98"/>
        <v>168.80953916405073</v>
      </c>
      <c r="DF34" s="28">
        <f t="shared" si="98"/>
        <v>192.78767710999122</v>
      </c>
      <c r="DG34" s="29">
        <f t="shared" si="98"/>
        <v>221.67015448700863</v>
      </c>
    </row>
    <row r="35" spans="1:111" ht="18" x14ac:dyDescent="0.3">
      <c r="A35" s="37"/>
      <c r="B35" s="37"/>
      <c r="C35" s="547" t="s">
        <v>286</v>
      </c>
      <c r="D35" s="27"/>
      <c r="E35" s="27"/>
      <c r="F35" s="27"/>
      <c r="G35" s="27"/>
      <c r="H35" s="27"/>
      <c r="I35" s="27"/>
      <c r="J35" s="27"/>
      <c r="K35" s="27"/>
      <c r="L35" s="27">
        <f t="shared" ref="L35:Q35" si="99">+L34*L33</f>
        <v>0</v>
      </c>
      <c r="M35" s="27">
        <f t="shared" si="99"/>
        <v>0</v>
      </c>
      <c r="N35" s="27">
        <f t="shared" si="99"/>
        <v>0</v>
      </c>
      <c r="O35" s="27">
        <f t="shared" si="99"/>
        <v>0</v>
      </c>
      <c r="P35" s="27">
        <f t="shared" si="99"/>
        <v>0</v>
      </c>
      <c r="Q35" s="27">
        <f t="shared" si="99"/>
        <v>0</v>
      </c>
      <c r="R35" s="27">
        <f t="shared" ref="R35:CC35" si="100">+R34*R33</f>
        <v>0</v>
      </c>
      <c r="S35" s="27">
        <f t="shared" si="100"/>
        <v>0</v>
      </c>
      <c r="T35" s="27">
        <f t="shared" si="100"/>
        <v>0</v>
      </c>
      <c r="U35" s="27">
        <f t="shared" si="100"/>
        <v>0</v>
      </c>
      <c r="V35" s="27">
        <f t="shared" si="100"/>
        <v>0</v>
      </c>
      <c r="W35" s="27">
        <f t="shared" si="100"/>
        <v>327.93534883720929</v>
      </c>
      <c r="X35" s="27">
        <f t="shared" ref="X35:AE35" si="101">+X34*X33</f>
        <v>1443.4911627906977</v>
      </c>
      <c r="Y35" s="27">
        <f t="shared" si="101"/>
        <v>705.76907565498971</v>
      </c>
      <c r="Z35" s="27">
        <f>+Z34*Z33</f>
        <v>471.59963314244806</v>
      </c>
      <c r="AA35" s="27">
        <f t="shared" si="101"/>
        <v>495.59397837434756</v>
      </c>
      <c r="AB35" s="27">
        <f>+AB34*AB33</f>
        <v>352.94113095467554</v>
      </c>
      <c r="AC35" s="27">
        <f t="shared" si="101"/>
        <v>302.6296461381047</v>
      </c>
      <c r="AD35" s="27">
        <f t="shared" si="101"/>
        <v>344.92802880466007</v>
      </c>
      <c r="AE35" s="27">
        <f t="shared" si="101"/>
        <v>367.96480846649075</v>
      </c>
      <c r="AF35" s="27">
        <f t="shared" ref="AF35:AI35" si="102">+AF34*AF33</f>
        <v>376.4448728484594</v>
      </c>
      <c r="AG35" s="27">
        <f t="shared" si="102"/>
        <v>399.43569911415523</v>
      </c>
      <c r="AH35" s="27">
        <f t="shared" si="102"/>
        <v>375.1166837117658</v>
      </c>
      <c r="AI35" s="27">
        <f t="shared" si="102"/>
        <v>343.67170984190699</v>
      </c>
      <c r="AJ35" s="27">
        <f>+AJ34*AJ33</f>
        <v>316.49552125372429</v>
      </c>
      <c r="AK35" s="618">
        <f>+AK34*AK33</f>
        <v>365.40481119136041</v>
      </c>
      <c r="AL35" s="28">
        <f t="shared" ref="AL35" si="103">+AL34*AL33</f>
        <v>279.08846553125431</v>
      </c>
      <c r="AM35" s="29">
        <f t="shared" si="100"/>
        <v>389.96592077878375</v>
      </c>
      <c r="AN35" s="28">
        <f t="shared" si="100"/>
        <v>411.22923889966984</v>
      </c>
      <c r="AO35" s="28">
        <f t="shared" si="100"/>
        <v>449.33318267105835</v>
      </c>
      <c r="AP35" s="28">
        <f t="shared" si="100"/>
        <v>454.16332118894888</v>
      </c>
      <c r="AQ35" s="28">
        <f t="shared" si="100"/>
        <v>425.57523337882623</v>
      </c>
      <c r="AR35" s="28">
        <f t="shared" si="100"/>
        <v>414.99374584593119</v>
      </c>
      <c r="AS35" s="28">
        <f t="shared" si="100"/>
        <v>392.60899683183334</v>
      </c>
      <c r="AT35" s="28">
        <f t="shared" si="100"/>
        <v>327.80429007792605</v>
      </c>
      <c r="AU35" s="28">
        <f t="shared" si="100"/>
        <v>357.76218681627734</v>
      </c>
      <c r="AV35" s="28">
        <f t="shared" si="100"/>
        <v>400.37765992225218</v>
      </c>
      <c r="AW35" s="28">
        <f t="shared" si="100"/>
        <v>389.47848291572649</v>
      </c>
      <c r="AX35" s="28">
        <f t="shared" si="100"/>
        <v>377.71038980641646</v>
      </c>
      <c r="AY35" s="310">
        <f t="shared" si="100"/>
        <v>508.27633606743075</v>
      </c>
      <c r="AZ35" s="28">
        <f t="shared" si="100"/>
        <v>435.62189397339665</v>
      </c>
      <c r="BA35" s="28">
        <f t="shared" si="100"/>
        <v>494.93275291508417</v>
      </c>
      <c r="BB35" s="28">
        <f t="shared" si="100"/>
        <v>530.84783589713982</v>
      </c>
      <c r="BC35" s="28">
        <f t="shared" si="100"/>
        <v>484.58512790013918</v>
      </c>
      <c r="BD35" s="28">
        <f t="shared" si="100"/>
        <v>429.55040659181083</v>
      </c>
      <c r="BE35" s="28">
        <f t="shared" si="100"/>
        <v>453.40595783459531</v>
      </c>
      <c r="BF35" s="28">
        <f t="shared" si="100"/>
        <v>376.99822828220891</v>
      </c>
      <c r="BG35" s="28">
        <f t="shared" si="100"/>
        <v>391.55249906732553</v>
      </c>
      <c r="BH35" s="28">
        <f t="shared" si="100"/>
        <v>437.43302089668919</v>
      </c>
      <c r="BI35" s="28">
        <f t="shared" si="100"/>
        <v>407.6386017088517</v>
      </c>
      <c r="BJ35" s="28">
        <f t="shared" si="100"/>
        <v>482.8130896639048</v>
      </c>
      <c r="BK35" s="310">
        <f t="shared" si="100"/>
        <v>604.20662437489284</v>
      </c>
      <c r="BL35" s="28">
        <f t="shared" si="100"/>
        <v>453.0133011732147</v>
      </c>
      <c r="BM35" s="28">
        <f t="shared" si="100"/>
        <v>540.830810586094</v>
      </c>
      <c r="BN35" s="28">
        <f t="shared" si="100"/>
        <v>606.71007431358998</v>
      </c>
      <c r="BO35" s="28">
        <f t="shared" si="100"/>
        <v>528.79006012302966</v>
      </c>
      <c r="BP35" s="28">
        <f t="shared" si="100"/>
        <v>469.03635981721794</v>
      </c>
      <c r="BQ35" s="28">
        <f t="shared" si="100"/>
        <v>493.97807169195914</v>
      </c>
      <c r="BR35" s="28">
        <f t="shared" si="100"/>
        <v>392.54454716562446</v>
      </c>
      <c r="BS35" s="28">
        <f t="shared" si="100"/>
        <v>446.14619726095941</v>
      </c>
      <c r="BT35" s="28">
        <f t="shared" si="100"/>
        <v>474.93725933867512</v>
      </c>
      <c r="BU35" s="28">
        <f t="shared" si="100"/>
        <v>422.3338179049091</v>
      </c>
      <c r="BV35" s="28">
        <f t="shared" si="100"/>
        <v>549.83667990130789</v>
      </c>
      <c r="BW35" s="310">
        <f t="shared" si="100"/>
        <v>655.77443247650399</v>
      </c>
      <c r="BX35" s="28">
        <f t="shared" si="100"/>
        <v>492.46224951790674</v>
      </c>
      <c r="BY35" s="28">
        <f t="shared" si="100"/>
        <v>617.88242492669042</v>
      </c>
      <c r="BZ35" s="28">
        <f t="shared" si="100"/>
        <v>660.78609106307522</v>
      </c>
      <c r="CA35" s="28">
        <f t="shared" si="100"/>
        <v>523.30794748887831</v>
      </c>
      <c r="CB35" s="28">
        <f t="shared" si="100"/>
        <v>558.71794905346746</v>
      </c>
      <c r="CC35" s="28">
        <f t="shared" si="100"/>
        <v>536.561140968068</v>
      </c>
      <c r="CD35" s="28">
        <f t="shared" ref="CD35:DG35" si="104">+CD34*CD33</f>
        <v>405.85204015551454</v>
      </c>
      <c r="CE35" s="28">
        <f t="shared" si="104"/>
        <v>503.38188438276285</v>
      </c>
      <c r="CF35" s="28">
        <f t="shared" si="104"/>
        <v>488.10872766819369</v>
      </c>
      <c r="CG35" s="28">
        <f t="shared" si="104"/>
        <v>476.91591172694518</v>
      </c>
      <c r="CH35" s="28">
        <f t="shared" si="104"/>
        <v>591.81076824087177</v>
      </c>
      <c r="CI35" s="310">
        <f t="shared" si="104"/>
        <v>644.49601943573987</v>
      </c>
      <c r="CJ35" s="28">
        <f t="shared" si="104"/>
        <v>579.92804901474915</v>
      </c>
      <c r="CK35" s="28">
        <f t="shared" si="104"/>
        <v>633.88032064457127</v>
      </c>
      <c r="CL35" s="28">
        <f t="shared" si="104"/>
        <v>681.0121953816938</v>
      </c>
      <c r="CM35" s="28">
        <f t="shared" si="104"/>
        <v>592.6628719505519</v>
      </c>
      <c r="CN35" s="28">
        <f t="shared" si="104"/>
        <v>602.20925159296939</v>
      </c>
      <c r="CO35" s="28">
        <f t="shared" si="104"/>
        <v>551.5190227275931</v>
      </c>
      <c r="CP35" s="28">
        <f t="shared" si="104"/>
        <v>457.91734108901022</v>
      </c>
      <c r="CQ35" s="28">
        <f t="shared" si="104"/>
        <v>541.02420891187148</v>
      </c>
      <c r="CR35" s="28">
        <f t="shared" si="104"/>
        <v>499.00929745393972</v>
      </c>
      <c r="CS35" s="28">
        <f t="shared" si="104"/>
        <v>534.83743762714073</v>
      </c>
      <c r="CT35" s="28">
        <f t="shared" si="104"/>
        <v>635.36105044738565</v>
      </c>
      <c r="CU35" s="310">
        <f t="shared" si="104"/>
        <v>690.90297399357735</v>
      </c>
      <c r="CV35" s="28">
        <f t="shared" si="104"/>
        <v>623.30803416744084</v>
      </c>
      <c r="CW35" s="28">
        <f t="shared" si="104"/>
        <v>681.57002541479619</v>
      </c>
      <c r="CX35" s="28">
        <f t="shared" si="104"/>
        <v>699.41995456060533</v>
      </c>
      <c r="CY35" s="28">
        <f t="shared" si="104"/>
        <v>667.78273860096579</v>
      </c>
      <c r="CZ35" s="28">
        <f t="shared" si="104"/>
        <v>648.62377048481324</v>
      </c>
      <c r="DA35" s="28">
        <f t="shared" si="104"/>
        <v>565.69163456954755</v>
      </c>
      <c r="DB35" s="28">
        <f t="shared" si="104"/>
        <v>514.96964844695015</v>
      </c>
      <c r="DC35" s="28">
        <f t="shared" si="104"/>
        <v>555.79600915962692</v>
      </c>
      <c r="DD35" s="28">
        <f t="shared" si="104"/>
        <v>562.1207693561314</v>
      </c>
      <c r="DE35" s="28">
        <f t="shared" si="104"/>
        <v>574.43264538644144</v>
      </c>
      <c r="DF35" s="28">
        <f t="shared" si="104"/>
        <v>651.94109328346451</v>
      </c>
      <c r="DG35" s="29">
        <f t="shared" si="104"/>
        <v>777.18364749197224</v>
      </c>
    </row>
    <row r="36" spans="1:111" ht="18" x14ac:dyDescent="0.3">
      <c r="A36" s="37"/>
      <c r="B36" s="37"/>
      <c r="C36" s="547" t="s">
        <v>214</v>
      </c>
      <c r="D36" s="27"/>
      <c r="E36" s="27"/>
      <c r="F36" s="27"/>
      <c r="G36" s="27"/>
      <c r="H36" s="27"/>
      <c r="I36" s="184"/>
      <c r="J36" s="184"/>
      <c r="K36" s="184"/>
      <c r="L36" s="184" t="e">
        <f>+L81/L9</f>
        <v>#DIV/0!</v>
      </c>
      <c r="M36" s="184" t="e">
        <f>+M81/M9</f>
        <v>#DIV/0!</v>
      </c>
      <c r="N36" s="184" t="e">
        <f>+N81/N9</f>
        <v>#DIV/0!</v>
      </c>
      <c r="O36" s="184" t="e">
        <f>+O81/O9</f>
        <v>#DIV/0!</v>
      </c>
      <c r="P36" s="202" t="e">
        <f>+P81/P9</f>
        <v>#DIV/0!</v>
      </c>
      <c r="Q36" s="202">
        <v>0</v>
      </c>
      <c r="R36" s="202">
        <v>0</v>
      </c>
      <c r="S36" s="202">
        <v>0</v>
      </c>
      <c r="T36" s="202">
        <v>0</v>
      </c>
      <c r="U36" s="202">
        <v>0</v>
      </c>
      <c r="V36" s="202">
        <v>0</v>
      </c>
      <c r="W36" s="202">
        <f t="shared" ref="W36:BB36" si="105">+W81/W9</f>
        <v>0.96422862702659773</v>
      </c>
      <c r="X36" s="202">
        <f t="shared" si="105"/>
        <v>0.94368095308982791</v>
      </c>
      <c r="Y36" s="202">
        <f t="shared" si="105"/>
        <v>0.91233053814799525</v>
      </c>
      <c r="Z36" s="202">
        <f t="shared" si="105"/>
        <v>0.8561964116339118</v>
      </c>
      <c r="AA36" s="202">
        <f t="shared" si="105"/>
        <v>0.92886480157868401</v>
      </c>
      <c r="AB36" s="202">
        <f t="shared" si="105"/>
        <v>0.94500881491964051</v>
      </c>
      <c r="AC36" s="202">
        <f t="shared" si="105"/>
        <v>0.78128679803492374</v>
      </c>
      <c r="AD36" s="202">
        <f t="shared" si="105"/>
        <v>0.85125992352032909</v>
      </c>
      <c r="AE36" s="202">
        <f t="shared" si="105"/>
        <v>0.84516393456858085</v>
      </c>
      <c r="AF36" s="202">
        <f t="shared" si="105"/>
        <v>0.88856852649773499</v>
      </c>
      <c r="AG36" s="202">
        <f t="shared" si="105"/>
        <v>0.86025716299692045</v>
      </c>
      <c r="AH36" s="202">
        <f t="shared" si="105"/>
        <v>0.71133688141220308</v>
      </c>
      <c r="AI36" s="202">
        <f t="shared" si="105"/>
        <v>0.73736301145771299</v>
      </c>
      <c r="AJ36" s="202">
        <f t="shared" si="105"/>
        <v>0.63953150529663705</v>
      </c>
      <c r="AK36" s="622">
        <f t="shared" si="105"/>
        <v>0.70330733330686401</v>
      </c>
      <c r="AL36" s="203">
        <f t="shared" si="105"/>
        <v>0.6812474152583744</v>
      </c>
      <c r="AM36" s="204">
        <f t="shared" si="105"/>
        <v>0.70809440720970973</v>
      </c>
      <c r="AN36" s="203">
        <f t="shared" si="105"/>
        <v>0.63823326861749496</v>
      </c>
      <c r="AO36" s="203">
        <f t="shared" si="105"/>
        <v>0.62754609009031292</v>
      </c>
      <c r="AP36" s="203">
        <f t="shared" si="105"/>
        <v>0.68116828256350903</v>
      </c>
      <c r="AQ36" s="203">
        <f t="shared" si="105"/>
        <v>0.61341470130401765</v>
      </c>
      <c r="AR36" s="203">
        <f t="shared" si="105"/>
        <v>0.64526944471393799</v>
      </c>
      <c r="AS36" s="203">
        <f t="shared" si="105"/>
        <v>0.71106447070324708</v>
      </c>
      <c r="AT36" s="203">
        <f t="shared" si="105"/>
        <v>0.70171485296551139</v>
      </c>
      <c r="AU36" s="203">
        <f t="shared" si="105"/>
        <v>0.73748234641359978</v>
      </c>
      <c r="AV36" s="203">
        <f t="shared" si="105"/>
        <v>0.73815946635563234</v>
      </c>
      <c r="AW36" s="203">
        <f t="shared" si="105"/>
        <v>0.71976651851840434</v>
      </c>
      <c r="AX36" s="203">
        <f t="shared" si="105"/>
        <v>0.74122497032841772</v>
      </c>
      <c r="AY36" s="313">
        <f t="shared" si="105"/>
        <v>0.77792826182731978</v>
      </c>
      <c r="AZ36" s="203">
        <f t="shared" si="105"/>
        <v>0.69755893050532447</v>
      </c>
      <c r="BA36" s="203">
        <f t="shared" si="105"/>
        <v>0.70003848340715424</v>
      </c>
      <c r="BB36" s="203">
        <f t="shared" si="105"/>
        <v>0.74650647606436349</v>
      </c>
      <c r="BC36" s="203">
        <f t="shared" ref="BC36:CH36" si="106">+BC81/BC9</f>
        <v>0.68881418293730801</v>
      </c>
      <c r="BD36" s="203">
        <f t="shared" si="106"/>
        <v>0.69341568073661508</v>
      </c>
      <c r="BE36" s="203">
        <f t="shared" si="106"/>
        <v>0.76205452642046945</v>
      </c>
      <c r="BF36" s="203">
        <f t="shared" si="106"/>
        <v>0.75307095391041257</v>
      </c>
      <c r="BG36" s="203">
        <f t="shared" si="106"/>
        <v>0.77346584429731779</v>
      </c>
      <c r="BH36" s="203">
        <f t="shared" si="106"/>
        <v>0.77482336126174933</v>
      </c>
      <c r="BI36" s="203">
        <f t="shared" si="106"/>
        <v>0.7519002927285523</v>
      </c>
      <c r="BJ36" s="203">
        <f t="shared" si="106"/>
        <v>0.76288760851292059</v>
      </c>
      <c r="BK36" s="313">
        <f t="shared" si="106"/>
        <v>0.7314287603112124</v>
      </c>
      <c r="BL36" s="203">
        <f t="shared" si="106"/>
        <v>0.73155975113102456</v>
      </c>
      <c r="BM36" s="203">
        <f t="shared" si="106"/>
        <v>0.74438647193213592</v>
      </c>
      <c r="BN36" s="203">
        <f t="shared" si="106"/>
        <v>0.78755516157754746</v>
      </c>
      <c r="BO36" s="203">
        <f t="shared" si="106"/>
        <v>0.73373646734648157</v>
      </c>
      <c r="BP36" s="203">
        <f t="shared" si="106"/>
        <v>0.73516421370521923</v>
      </c>
      <c r="BQ36" s="203">
        <f t="shared" si="106"/>
        <v>0.78850324661923898</v>
      </c>
      <c r="BR36" s="203">
        <f t="shared" si="106"/>
        <v>0.77371447205412125</v>
      </c>
      <c r="BS36" s="203">
        <f t="shared" si="106"/>
        <v>0.75923941054872046</v>
      </c>
      <c r="BT36" s="203">
        <f t="shared" si="106"/>
        <v>0.76477972349742207</v>
      </c>
      <c r="BU36" s="203">
        <f t="shared" si="106"/>
        <v>0.77317605589060678</v>
      </c>
      <c r="BV36" s="203">
        <f t="shared" si="106"/>
        <v>0.72623349893912537</v>
      </c>
      <c r="BW36" s="313">
        <f t="shared" si="106"/>
        <v>0.70946548566148016</v>
      </c>
      <c r="BX36" s="203">
        <f t="shared" si="106"/>
        <v>0.76411045258557841</v>
      </c>
      <c r="BY36" s="203">
        <f t="shared" si="106"/>
        <v>0.78401885212944422</v>
      </c>
      <c r="BZ36" s="203">
        <f t="shared" si="106"/>
        <v>0.75750533274742238</v>
      </c>
      <c r="CA36" s="203">
        <f t="shared" si="106"/>
        <v>0.74671175835008674</v>
      </c>
      <c r="CB36" s="203">
        <f t="shared" si="106"/>
        <v>0.78084975801074985</v>
      </c>
      <c r="CC36" s="203">
        <f t="shared" si="106"/>
        <v>0.75839454070663037</v>
      </c>
      <c r="CD36" s="203">
        <f t="shared" si="106"/>
        <v>0.78552866889893991</v>
      </c>
      <c r="CE36" s="203">
        <f t="shared" si="106"/>
        <v>0.73080234736141048</v>
      </c>
      <c r="CF36" s="203">
        <f t="shared" si="106"/>
        <v>0.75026529079411275</v>
      </c>
      <c r="CG36" s="203">
        <f t="shared" si="106"/>
        <v>0.76485649064940675</v>
      </c>
      <c r="CH36" s="203">
        <f t="shared" si="106"/>
        <v>0.711160784075483</v>
      </c>
      <c r="CI36" s="313">
        <f t="shared" ref="CI36:DG36" si="107">+CI81/CI9</f>
        <v>0.71007767076968742</v>
      </c>
      <c r="CJ36" s="203">
        <f t="shared" si="107"/>
        <v>0.76095652899803223</v>
      </c>
      <c r="CK36" s="203">
        <f t="shared" si="107"/>
        <v>0.76685046652648126</v>
      </c>
      <c r="CL36" s="203">
        <f t="shared" si="107"/>
        <v>0.73961700425882804</v>
      </c>
      <c r="CM36" s="203">
        <f t="shared" si="107"/>
        <v>0.78047849279957071</v>
      </c>
      <c r="CN36" s="203">
        <f t="shared" si="107"/>
        <v>0.76587665033710339</v>
      </c>
      <c r="CO36" s="203">
        <f t="shared" si="107"/>
        <v>0.74249625936556352</v>
      </c>
      <c r="CP36" s="203">
        <f t="shared" si="107"/>
        <v>0.74973692657897384</v>
      </c>
      <c r="CQ36" s="203">
        <f t="shared" si="107"/>
        <v>0.71435530941591163</v>
      </c>
      <c r="CR36" s="203">
        <f t="shared" si="107"/>
        <v>0.73623495720120447</v>
      </c>
      <c r="CS36" s="203">
        <f t="shared" si="107"/>
        <v>0.73381216443680108</v>
      </c>
      <c r="CT36" s="203">
        <f t="shared" si="107"/>
        <v>0.69876667775433887</v>
      </c>
      <c r="CU36" s="313">
        <f t="shared" si="107"/>
        <v>0.69743172777877138</v>
      </c>
      <c r="CV36" s="203">
        <f t="shared" si="107"/>
        <v>0.73835639266478137</v>
      </c>
      <c r="CW36" s="203">
        <f t="shared" si="107"/>
        <v>0.74321992598337006</v>
      </c>
      <c r="CX36" s="203">
        <f t="shared" si="107"/>
        <v>0.72871715844873686</v>
      </c>
      <c r="CY36" s="203">
        <f t="shared" si="107"/>
        <v>0.75296857657220284</v>
      </c>
      <c r="CZ36" s="203">
        <f t="shared" si="107"/>
        <v>0.74368025387781533</v>
      </c>
      <c r="DA36" s="203">
        <f t="shared" si="107"/>
        <v>0.73256300130124341</v>
      </c>
      <c r="DB36" s="203">
        <f t="shared" si="107"/>
        <v>0.72677427358619484</v>
      </c>
      <c r="DC36" s="203">
        <f t="shared" si="107"/>
        <v>0.70888194955349937</v>
      </c>
      <c r="DD36" s="203">
        <f t="shared" si="107"/>
        <v>0.71573438941337042</v>
      </c>
      <c r="DE36" s="203">
        <f t="shared" si="107"/>
        <v>0.71920118310459613</v>
      </c>
      <c r="DF36" s="203">
        <f t="shared" si="107"/>
        <v>0.69617401066851059</v>
      </c>
      <c r="DG36" s="204">
        <f t="shared" si="107"/>
        <v>0.68701249453897684</v>
      </c>
    </row>
    <row r="37" spans="1:111" ht="18" x14ac:dyDescent="0.3">
      <c r="A37" s="37"/>
      <c r="B37" s="37"/>
      <c r="C37" s="547" t="s">
        <v>257</v>
      </c>
      <c r="D37" s="27"/>
      <c r="E37" s="27"/>
      <c r="F37" s="27"/>
      <c r="G37" s="27"/>
      <c r="H37" s="27"/>
      <c r="I37" s="184"/>
      <c r="J37" s="184"/>
      <c r="K37" s="184"/>
      <c r="L37" s="184"/>
      <c r="M37" s="184"/>
      <c r="N37" s="184"/>
      <c r="O37" s="184"/>
      <c r="P37" s="202"/>
      <c r="Q37" s="202"/>
      <c r="R37" s="202"/>
      <c r="S37" s="202"/>
      <c r="T37" s="202"/>
      <c r="U37" s="202"/>
      <c r="V37" s="202"/>
      <c r="W37" s="298">
        <f>+(W34)*W13*W22</f>
        <v>0</v>
      </c>
      <c r="X37" s="298">
        <f>+(X34)*X13*X22</f>
        <v>8172.0412373587151</v>
      </c>
      <c r="Y37" s="298">
        <f>+(Y34)*Y13*Y22</f>
        <v>6771.8729944113938</v>
      </c>
      <c r="Z37" s="298">
        <f>+(Z34)*Z13*Z22</f>
        <v>7582.7364473928938</v>
      </c>
      <c r="AA37" s="298">
        <f>+(AA34)*AA13*AA22</f>
        <v>10356.943027210884</v>
      </c>
      <c r="AB37" s="298">
        <f t="shared" ref="AB37:AH37" si="108">+(AB34)*AB13</f>
        <v>4731.3059251954119</v>
      </c>
      <c r="AC37" s="298">
        <f t="shared" si="108"/>
        <v>5463.3500796391181</v>
      </c>
      <c r="AD37" s="298">
        <f t="shared" si="108"/>
        <v>8905.7356242568385</v>
      </c>
      <c r="AE37" s="298">
        <f t="shared" si="108"/>
        <v>10218.068266183795</v>
      </c>
      <c r="AF37" s="298">
        <f t="shared" si="108"/>
        <v>10996.368456601624</v>
      </c>
      <c r="AG37" s="298">
        <f t="shared" si="108"/>
        <v>11424.978898666666</v>
      </c>
      <c r="AH37" s="298">
        <f t="shared" si="108"/>
        <v>10843.709176205668</v>
      </c>
      <c r="AI37" s="298">
        <f t="shared" ref="AI37" si="109">+(AI34)*AI13</f>
        <v>11778.181068162145</v>
      </c>
      <c r="AJ37" s="298">
        <f>+(AJ34)*AJ13</f>
        <v>9753.5338828799977</v>
      </c>
      <c r="AK37" s="623">
        <f>+(AK34)*AK13</f>
        <v>10385.246551570508</v>
      </c>
      <c r="AL37" s="299">
        <f t="shared" ref="AL37" si="110">+(AL34)*AL13</f>
        <v>9084.3472626035327</v>
      </c>
      <c r="AM37" s="300">
        <f t="shared" ref="AM37:CS37" si="111">+(AM34)*AM13</f>
        <v>11606.398797039628</v>
      </c>
      <c r="AN37" s="299">
        <f t="shared" si="111"/>
        <v>10233.069438685614</v>
      </c>
      <c r="AO37" s="299">
        <f t="shared" si="111"/>
        <v>9893.0268251484194</v>
      </c>
      <c r="AP37" s="299">
        <f t="shared" si="111"/>
        <v>11872.508121744117</v>
      </c>
      <c r="AQ37" s="299">
        <f t="shared" si="111"/>
        <v>9476.6339307572016</v>
      </c>
      <c r="AR37" s="299">
        <f t="shared" si="111"/>
        <v>10470.001893942219</v>
      </c>
      <c r="AS37" s="299">
        <f t="shared" si="111"/>
        <v>13363.262007988396</v>
      </c>
      <c r="AT37" s="299">
        <f t="shared" si="111"/>
        <v>12858.337632375456</v>
      </c>
      <c r="AU37" s="299">
        <f t="shared" si="111"/>
        <v>15031.024197138671</v>
      </c>
      <c r="AV37" s="299">
        <f t="shared" si="111"/>
        <v>15079.25998549008</v>
      </c>
      <c r="AW37" s="299">
        <f t="shared" si="111"/>
        <v>13870.196371838569</v>
      </c>
      <c r="AX37" s="299">
        <f t="shared" si="111"/>
        <v>15301.566910491041</v>
      </c>
      <c r="AY37" s="314">
        <f t="shared" si="111"/>
        <v>18581.425507935717</v>
      </c>
      <c r="AZ37" s="299">
        <f t="shared" si="111"/>
        <v>13464.401679030932</v>
      </c>
      <c r="BA37" s="299">
        <f t="shared" si="111"/>
        <v>13598.415054204015</v>
      </c>
      <c r="BB37" s="299">
        <f t="shared" si="111"/>
        <v>16716.491435415723</v>
      </c>
      <c r="BC37" s="299">
        <f t="shared" si="111"/>
        <v>13012.14735877047</v>
      </c>
      <c r="BD37" s="299">
        <f t="shared" si="111"/>
        <v>13246.268789590016</v>
      </c>
      <c r="BE37" s="299">
        <f t="shared" si="111"/>
        <v>18105.590354725744</v>
      </c>
      <c r="BF37" s="299">
        <f t="shared" si="111"/>
        <v>17276.108107987413</v>
      </c>
      <c r="BG37" s="299">
        <f t="shared" si="111"/>
        <v>19281.542596282372</v>
      </c>
      <c r="BH37" s="299">
        <f t="shared" si="111"/>
        <v>19431.682754029262</v>
      </c>
      <c r="BI37" s="299">
        <f t="shared" si="111"/>
        <v>17173.581304841668</v>
      </c>
      <c r="BJ37" s="299">
        <f t="shared" si="111"/>
        <v>22880.512023433781</v>
      </c>
      <c r="BK37" s="314">
        <f t="shared" si="111"/>
        <v>26128.979779847221</v>
      </c>
      <c r="BL37" s="299">
        <f t="shared" si="111"/>
        <v>16609.233959308087</v>
      </c>
      <c r="BM37" s="299">
        <f t="shared" si="111"/>
        <v>17649.609539102294</v>
      </c>
      <c r="BN37" s="299">
        <f t="shared" si="111"/>
        <v>22364.243548929393</v>
      </c>
      <c r="BO37" s="299">
        <f t="shared" si="111"/>
        <v>16777.059112944127</v>
      </c>
      <c r="BP37" s="299">
        <f t="shared" si="111"/>
        <v>16888.992706727269</v>
      </c>
      <c r="BQ37" s="299">
        <f t="shared" si="111"/>
        <v>22681.28534288787</v>
      </c>
      <c r="BR37" s="299">
        <f t="shared" si="111"/>
        <v>20599.960988930263</v>
      </c>
      <c r="BS37" s="299">
        <f t="shared" si="111"/>
        <v>25140.451485577436</v>
      </c>
      <c r="BT37" s="299">
        <f t="shared" si="111"/>
        <v>24265.61371074148</v>
      </c>
      <c r="BU37" s="299">
        <f t="shared" si="111"/>
        <v>20536.936410563587</v>
      </c>
      <c r="BV37" s="299">
        <f t="shared" si="111"/>
        <v>29911.869372173634</v>
      </c>
      <c r="BW37" s="314">
        <f t="shared" si="111"/>
        <v>32767.010068047286</v>
      </c>
      <c r="BX37" s="299">
        <f t="shared" si="111"/>
        <v>20877.327974332213</v>
      </c>
      <c r="BY37" s="299">
        <f t="shared" si="111"/>
        <v>23394.160823641017</v>
      </c>
      <c r="BZ37" s="299">
        <f t="shared" si="111"/>
        <v>27938.101171893341</v>
      </c>
      <c r="CA37" s="299">
        <f t="shared" si="111"/>
        <v>19083.105615948156</v>
      </c>
      <c r="CB37" s="299">
        <f t="shared" si="111"/>
        <v>22953.676451415697</v>
      </c>
      <c r="CC37" s="299">
        <f t="shared" si="111"/>
        <v>27768.104732029318</v>
      </c>
      <c r="CD37" s="299">
        <f t="shared" si="111"/>
        <v>23976.904740488037</v>
      </c>
      <c r="CE37" s="299">
        <f t="shared" si="111"/>
        <v>31912.255803779506</v>
      </c>
      <c r="CF37" s="299">
        <f t="shared" si="111"/>
        <v>28276.042601469249</v>
      </c>
      <c r="CG37" s="299">
        <f t="shared" si="111"/>
        <v>26247.386714651955</v>
      </c>
      <c r="CH37" s="299">
        <f t="shared" si="111"/>
        <v>36387.934294498591</v>
      </c>
      <c r="CI37" s="314">
        <f t="shared" si="111"/>
        <v>36418.467151680386</v>
      </c>
      <c r="CJ37" s="299">
        <f t="shared" si="111"/>
        <v>27962.204335099563</v>
      </c>
      <c r="CK37" s="299">
        <f t="shared" si="111"/>
        <v>27329.627130421752</v>
      </c>
      <c r="CL37" s="299">
        <f t="shared" si="111"/>
        <v>32534.588994008271</v>
      </c>
      <c r="CM37" s="299">
        <f t="shared" si="111"/>
        <v>24528.023891694578</v>
      </c>
      <c r="CN37" s="299">
        <f t="shared" si="111"/>
        <v>27809.261854599805</v>
      </c>
      <c r="CO37" s="299">
        <f t="shared" si="111"/>
        <v>31891.996183740117</v>
      </c>
      <c r="CP37" s="299">
        <f t="shared" si="111"/>
        <v>30037.733438778079</v>
      </c>
      <c r="CQ37" s="299">
        <f t="shared" si="111"/>
        <v>38132.898343558518</v>
      </c>
      <c r="CR37" s="299">
        <f t="shared" si="111"/>
        <v>32231.322370127171</v>
      </c>
      <c r="CS37" s="299">
        <f t="shared" si="111"/>
        <v>32915.796453646755</v>
      </c>
      <c r="CT37" s="299">
        <f t="shared" ref="CT37:DG37" si="112">+(CT34)*CT13</f>
        <v>43543.550423919594</v>
      </c>
      <c r="CU37" s="314">
        <f t="shared" si="112"/>
        <v>43718.133593925122</v>
      </c>
      <c r="CV37" s="299">
        <f t="shared" si="112"/>
        <v>33713.740502646797</v>
      </c>
      <c r="CW37" s="299">
        <f t="shared" si="112"/>
        <v>32943.132543010383</v>
      </c>
      <c r="CX37" s="299">
        <f t="shared" si="112"/>
        <v>37214.940859511626</v>
      </c>
      <c r="CY37" s="299">
        <f t="shared" si="112"/>
        <v>30934.912890990676</v>
      </c>
      <c r="CZ37" s="299">
        <f t="shared" si="112"/>
        <v>33322.039057541057</v>
      </c>
      <c r="DA37" s="299">
        <f t="shared" si="112"/>
        <v>36051.821772923628</v>
      </c>
      <c r="DB37" s="299">
        <f t="shared" si="112"/>
        <v>37173.082682845547</v>
      </c>
      <c r="DC37" s="299">
        <f t="shared" si="112"/>
        <v>43133.429621176474</v>
      </c>
      <c r="DD37" s="299">
        <f t="shared" si="112"/>
        <v>40081.290387582696</v>
      </c>
      <c r="DE37" s="299">
        <f t="shared" si="112"/>
        <v>39057.402377314982</v>
      </c>
      <c r="DF37" s="299">
        <f t="shared" si="112"/>
        <v>49204.794112056181</v>
      </c>
      <c r="DG37" s="300">
        <f t="shared" si="112"/>
        <v>54239.556538140845</v>
      </c>
    </row>
    <row r="38" spans="1:111" ht="18" x14ac:dyDescent="0.3">
      <c r="A38" s="37"/>
      <c r="B38" s="37"/>
      <c r="C38" s="547" t="s">
        <v>321</v>
      </c>
      <c r="D38" s="27"/>
      <c r="E38" s="27"/>
      <c r="F38" s="27"/>
      <c r="G38" s="27"/>
      <c r="H38" s="27"/>
      <c r="I38" s="27"/>
      <c r="J38" s="27"/>
      <c r="K38" s="27"/>
      <c r="L38" s="27" t="e">
        <f t="shared" ref="L38:T38" si="113">+AVERAGE(L36*L35,K36*K35, J36*J35)</f>
        <v>#DIV/0!</v>
      </c>
      <c r="M38" s="27" t="e">
        <f t="shared" si="113"/>
        <v>#DIV/0!</v>
      </c>
      <c r="N38" s="27" t="e">
        <f t="shared" si="113"/>
        <v>#DIV/0!</v>
      </c>
      <c r="O38" s="27" t="e">
        <f t="shared" si="113"/>
        <v>#DIV/0!</v>
      </c>
      <c r="P38" s="27" t="e">
        <f>+AVERAGE(P36*P35,O36*O35, N36*N35)</f>
        <v>#DIV/0!</v>
      </c>
      <c r="Q38" s="27" t="e">
        <f>+AVERAGE(Q36*Q35,P36*P35, O36*O35)</f>
        <v>#DIV/0!</v>
      </c>
      <c r="R38" s="27" t="e">
        <f t="shared" si="113"/>
        <v>#DIV/0!</v>
      </c>
      <c r="S38" s="27">
        <f t="shared" si="113"/>
        <v>0</v>
      </c>
      <c r="T38" s="27">
        <f t="shared" si="113"/>
        <v>0</v>
      </c>
      <c r="U38" s="27">
        <f t="shared" ref="U38:AA38" si="114">+AVERAGE(U36*U35,T36*T35, S36*S35)</f>
        <v>0</v>
      </c>
      <c r="V38" s="27">
        <f>+AVERAGE(V36*V35,U36*U35, T36*T35)</f>
        <v>0</v>
      </c>
      <c r="W38" s="27">
        <f t="shared" si="114"/>
        <v>105.4015503875969</v>
      </c>
      <c r="X38" s="27">
        <f>+AVERAGE(X36*X35,W36*W35, V36*V35)</f>
        <v>559.46658914728675</v>
      </c>
      <c r="Y38" s="27">
        <f t="shared" si="114"/>
        <v>774.09814934746339</v>
      </c>
      <c r="Z38" s="27">
        <f t="shared" si="114"/>
        <v>803.29057016801073</v>
      </c>
      <c r="AA38" s="27">
        <f t="shared" si="114"/>
        <v>502.67213220374737</v>
      </c>
      <c r="AB38" s="27">
        <f t="shared" ref="AB38:AH38" si="115">+AVERAGE(AB36*AB35,AA36*AA35, Z36*Z35, Y36*Y35,X35*X36,W35*W36)</f>
        <v>586.65810732549619</v>
      </c>
      <c r="AC38" s="27">
        <f t="shared" si="115"/>
        <v>573.36409000197818</v>
      </c>
      <c r="AD38" s="27">
        <f t="shared" si="115"/>
        <v>395.26880519217866</v>
      </c>
      <c r="AE38" s="27">
        <f t="shared" si="115"/>
        <v>339.78478930980936</v>
      </c>
      <c r="AF38" s="27">
        <f t="shared" si="115"/>
        <v>328.23731470150091</v>
      </c>
      <c r="AG38" s="27">
        <f t="shared" si="115"/>
        <v>308.78358452372686</v>
      </c>
      <c r="AH38" s="27">
        <f t="shared" si="115"/>
        <v>297.66722653328344</v>
      </c>
      <c r="AI38" s="27">
        <f>+AVERAGE(AI36*AI35,AH36*AH35, AG36*AG35, AF36*AF35,AE35*AE36,AD35*AD36)</f>
        <v>300.49560314997814</v>
      </c>
      <c r="AJ38" s="27">
        <f>+AVERAGE(AJ36*AJ35,AI36*AI35, AH36*AH35, AG36*AG35,AF35*AF36,AE35*AE36)</f>
        <v>285.2931781011057</v>
      </c>
      <c r="AK38" s="618">
        <f>+AVERAGE(AK36*AK35,AJ36*AJ35, AI36*AI35, AH36*AH35,AG35*AG36,AF35*AF36)</f>
        <v>276.29339443946907</v>
      </c>
      <c r="AL38" s="28">
        <f t="shared" ref="AL38:CS38" si="116">+AVERAGE(AL36*AL35,AK36*AK35, AJ36*AJ35, AI36*AI35,AH35*AH36,AG35*AG36)</f>
        <v>252.23193273897081</v>
      </c>
      <c r="AM38" s="29">
        <f t="shared" si="116"/>
        <v>240.98447710333858</v>
      </c>
      <c r="AN38" s="28">
        <f t="shared" si="116"/>
        <v>240.2554519928062</v>
      </c>
      <c r="AO38" s="28">
        <f t="shared" si="116"/>
        <v>245.01653116134108</v>
      </c>
      <c r="AP38" s="28">
        <f t="shared" si="116"/>
        <v>262.84199655643732</v>
      </c>
      <c r="AQ38" s="28">
        <f t="shared" si="116"/>
        <v>263.51903344459839</v>
      </c>
      <c r="AR38" s="28">
        <f t="shared" si="116"/>
        <v>276.46144813962638</v>
      </c>
      <c r="AS38" s="28">
        <f t="shared" si="116"/>
        <v>276.96771830957954</v>
      </c>
      <c r="AT38" s="28">
        <f t="shared" si="116"/>
        <v>271.56187796282535</v>
      </c>
      <c r="AU38" s="28">
        <f t="shared" si="116"/>
        <v>268.53954713920365</v>
      </c>
      <c r="AV38" s="28">
        <f t="shared" si="116"/>
        <v>266.23636552108883</v>
      </c>
      <c r="AW38" s="28">
        <f t="shared" si="116"/>
        <v>269.44961002452584</v>
      </c>
      <c r="AX38" s="28">
        <f t="shared" si="116"/>
        <v>271.48054144706498</v>
      </c>
      <c r="AY38" s="310">
        <f t="shared" si="116"/>
        <v>290.85257780028741</v>
      </c>
      <c r="AZ38" s="28">
        <f t="shared" si="116"/>
        <v>303.16037834216917</v>
      </c>
      <c r="BA38" s="28">
        <f t="shared" si="116"/>
        <v>316.93182446681493</v>
      </c>
      <c r="BB38" s="28">
        <f t="shared" si="116"/>
        <v>333.72162238565505</v>
      </c>
      <c r="BC38" s="28">
        <f t="shared" si="116"/>
        <v>342.63087859432562</v>
      </c>
      <c r="BD38" s="28">
        <f t="shared" si="116"/>
        <v>345.61231444775126</v>
      </c>
      <c r="BE38" s="28">
        <f t="shared" si="116"/>
        <v>337.29857041924578</v>
      </c>
      <c r="BF38" s="28">
        <f t="shared" si="116"/>
        <v>333.97098257428445</v>
      </c>
      <c r="BG38" s="28">
        <f t="shared" si="116"/>
        <v>326.70106766405621</v>
      </c>
      <c r="BH38" s="28">
        <f t="shared" si="116"/>
        <v>317.14306371007058</v>
      </c>
      <c r="BI38" s="28">
        <f t="shared" si="116"/>
        <v>312.5954762124436</v>
      </c>
      <c r="BJ38" s="28">
        <f t="shared" si="116"/>
        <v>324.34133216825694</v>
      </c>
      <c r="BK38" s="310">
        <f t="shared" si="116"/>
        <v>340.41033879567175</v>
      </c>
      <c r="BL38" s="28">
        <f t="shared" si="116"/>
        <v>348.32698587405542</v>
      </c>
      <c r="BM38" s="28">
        <f t="shared" si="116"/>
        <v>364.94942832847977</v>
      </c>
      <c r="BN38" s="28">
        <f t="shared" si="116"/>
        <v>388.09681616659833</v>
      </c>
      <c r="BO38" s="28">
        <f t="shared" si="116"/>
        <v>401.67831062164197</v>
      </c>
      <c r="BP38" s="28">
        <f t="shared" si="116"/>
        <v>397.7594145102675</v>
      </c>
      <c r="BQ38" s="28">
        <f t="shared" si="116"/>
        <v>389.02094968517935</v>
      </c>
      <c r="BR38" s="28">
        <f t="shared" si="116"/>
        <v>384.40613288562167</v>
      </c>
      <c r="BS38" s="28">
        <f t="shared" si="116"/>
        <v>373.76357235605229</v>
      </c>
      <c r="BT38" s="28">
        <f t="shared" si="116"/>
        <v>354.66436156753406</v>
      </c>
      <c r="BU38" s="28">
        <f t="shared" si="116"/>
        <v>344.42200238658967</v>
      </c>
      <c r="BV38" s="28">
        <f t="shared" si="116"/>
        <v>353.50384725752565</v>
      </c>
      <c r="BW38" s="310">
        <f t="shared" si="116"/>
        <v>366.12818274644286</v>
      </c>
      <c r="BX38" s="28">
        <f t="shared" si="116"/>
        <v>378.22454196185362</v>
      </c>
      <c r="BY38" s="28">
        <f t="shared" si="116"/>
        <v>402.50782424768977</v>
      </c>
      <c r="BZ38" s="28">
        <f t="shared" si="116"/>
        <v>425.39559123268117</v>
      </c>
      <c r="CA38" s="28">
        <f t="shared" si="116"/>
        <v>436.09922490452385</v>
      </c>
      <c r="CB38" s="28">
        <f t="shared" si="116"/>
        <v>442.26005147533436</v>
      </c>
      <c r="CC38" s="28">
        <f t="shared" si="116"/>
        <v>432.53933711603094</v>
      </c>
      <c r="CD38" s="28">
        <f t="shared" si="116"/>
        <v>422.95814720150435</v>
      </c>
      <c r="CE38" s="28">
        <f t="shared" si="116"/>
        <v>403.53167939886299</v>
      </c>
      <c r="CF38" s="28">
        <f t="shared" si="116"/>
        <v>381.14202085178277</v>
      </c>
      <c r="CG38" s="28">
        <f t="shared" si="116"/>
        <v>376.81069301017254</v>
      </c>
      <c r="CH38" s="28">
        <f t="shared" si="116"/>
        <v>374.24366545214417</v>
      </c>
      <c r="CI38" s="310">
        <f t="shared" si="116"/>
        <v>382.69653082477112</v>
      </c>
      <c r="CJ38" s="28">
        <f t="shared" si="116"/>
        <v>403.11180122036836</v>
      </c>
      <c r="CK38" s="28">
        <f t="shared" si="116"/>
        <v>422.81492736738704</v>
      </c>
      <c r="CL38" s="28">
        <f t="shared" si="116"/>
        <v>445.72778791885611</v>
      </c>
      <c r="CM38" s="28">
        <f t="shared" si="116"/>
        <v>462.02585366217244</v>
      </c>
      <c r="CN38" s="28">
        <f t="shared" si="116"/>
        <v>468.75008606976331</v>
      </c>
      <c r="CO38" s="28">
        <f t="shared" si="116"/>
        <v>460.72651591025055</v>
      </c>
      <c r="CP38" s="28">
        <f t="shared" si="116"/>
        <v>444.39610002498824</v>
      </c>
      <c r="CQ38" s="28">
        <f t="shared" si="116"/>
        <v>427.79478278340389</v>
      </c>
      <c r="CR38" s="28">
        <f t="shared" si="116"/>
        <v>405.07809760708187</v>
      </c>
      <c r="CS38" s="28">
        <f t="shared" si="116"/>
        <v>393.39636305521077</v>
      </c>
      <c r="CT38" s="28">
        <f t="shared" ref="CT38:DG38" si="117">+AVERAGE(CT36*CT35,CS36*CS35, CR36*CR35, CQ36*CQ35,CP35*CP36,CO35*CO36)</f>
        <v>390.52155071914223</v>
      </c>
      <c r="CU38" s="310">
        <f t="shared" si="117"/>
        <v>402.58102464174954</v>
      </c>
      <c r="CV38" s="28">
        <f t="shared" si="117"/>
        <v>422.06534659034247</v>
      </c>
      <c r="CW38" s="28">
        <f t="shared" si="117"/>
        <v>442.07749787076403</v>
      </c>
      <c r="CX38" s="28">
        <f t="shared" si="117"/>
        <v>465.79270338672148</v>
      </c>
      <c r="CY38" s="28">
        <f t="shared" si="117"/>
        <v>484.18423678953013</v>
      </c>
      <c r="CZ38" s="28">
        <f t="shared" si="117"/>
        <v>490.58416344114767</v>
      </c>
      <c r="DA38" s="28">
        <f t="shared" si="117"/>
        <v>479.34201456638795</v>
      </c>
      <c r="DB38" s="28">
        <f t="shared" si="117"/>
        <v>465.01588465674172</v>
      </c>
      <c r="DC38" s="28">
        <f t="shared" si="117"/>
        <v>446.25544043771879</v>
      </c>
      <c r="DD38" s="28">
        <f t="shared" si="117"/>
        <v>428.36374773470806</v>
      </c>
      <c r="DE38" s="28">
        <f t="shared" si="117"/>
        <v>413.41595107337054</v>
      </c>
      <c r="DF38" s="28">
        <f t="shared" si="117"/>
        <v>408.66524362760907</v>
      </c>
      <c r="DG38" s="29">
        <f t="shared" si="117"/>
        <v>428.58692941879013</v>
      </c>
    </row>
    <row r="39" spans="1:111" ht="18" x14ac:dyDescent="0.3">
      <c r="A39" s="37"/>
      <c r="B39" s="37"/>
      <c r="C39" s="547" t="s">
        <v>322</v>
      </c>
      <c r="D39" s="27"/>
      <c r="E39" s="27"/>
      <c r="F39" s="27"/>
      <c r="G39" s="27"/>
      <c r="H39" s="27"/>
      <c r="I39" s="27"/>
      <c r="J39" s="27"/>
      <c r="K39" s="27"/>
      <c r="L39" s="27">
        <f t="shared" ref="L39:T39" si="118">+AVERAGE(J79:L79)</f>
        <v>0</v>
      </c>
      <c r="M39" s="27">
        <f t="shared" si="118"/>
        <v>0</v>
      </c>
      <c r="N39" s="27">
        <f t="shared" si="118"/>
        <v>0</v>
      </c>
      <c r="O39" s="27">
        <f t="shared" si="118"/>
        <v>0</v>
      </c>
      <c r="P39" s="27">
        <f t="shared" si="118"/>
        <v>0</v>
      </c>
      <c r="Q39" s="27">
        <f t="shared" si="118"/>
        <v>0</v>
      </c>
      <c r="R39" s="27">
        <f t="shared" si="118"/>
        <v>0</v>
      </c>
      <c r="S39" s="27">
        <f t="shared" si="118"/>
        <v>0</v>
      </c>
      <c r="T39" s="27">
        <f t="shared" si="118"/>
        <v>0</v>
      </c>
      <c r="U39" s="27">
        <f>+AVERAGE(S79:U79)</f>
        <v>0</v>
      </c>
      <c r="V39" s="27">
        <f>+AVERAGE(T79:V79)</f>
        <v>0</v>
      </c>
      <c r="W39" s="27">
        <f t="shared" ref="W39:BB39" si="119">+AVERAGE(R82:W82)/W15</f>
        <v>0.51274193548387093</v>
      </c>
      <c r="X39" s="27">
        <f t="shared" si="119"/>
        <v>1.5853225806451612</v>
      </c>
      <c r="Y39" s="27">
        <f t="shared" si="119"/>
        <v>2.4605357142857143</v>
      </c>
      <c r="Z39" s="27">
        <f t="shared" si="119"/>
        <v>7.366810344827587</v>
      </c>
      <c r="AA39" s="27">
        <f t="shared" si="119"/>
        <v>11.398947368421053</v>
      </c>
      <c r="AB39" s="27">
        <f t="shared" si="119"/>
        <v>5.0118840579710158</v>
      </c>
      <c r="AC39" s="27">
        <f t="shared" si="119"/>
        <v>7.7176190476190483</v>
      </c>
      <c r="AD39" s="27">
        <f t="shared" si="119"/>
        <v>11.879000000000001</v>
      </c>
      <c r="AE39" s="27">
        <f t="shared" si="119"/>
        <v>17.656111111111112</v>
      </c>
      <c r="AF39" s="27">
        <f t="shared" si="119"/>
        <v>20.500520833333333</v>
      </c>
      <c r="AG39" s="27">
        <f t="shared" si="119"/>
        <v>19.832231638418076</v>
      </c>
      <c r="AH39" s="27">
        <f t="shared" si="119"/>
        <v>41.077375000000004</v>
      </c>
      <c r="AI39" s="27">
        <f t="shared" si="119"/>
        <v>28.102651515151514</v>
      </c>
      <c r="AJ39" s="27">
        <f t="shared" si="119"/>
        <v>69.776111111111106</v>
      </c>
      <c r="AK39" s="618">
        <f t="shared" si="119"/>
        <v>40.648045977011492</v>
      </c>
      <c r="AL39" s="28">
        <f t="shared" si="119"/>
        <v>38.221668365872887</v>
      </c>
      <c r="AM39" s="29">
        <f t="shared" si="119"/>
        <v>65.327616012721435</v>
      </c>
      <c r="AN39" s="28">
        <f t="shared" si="119"/>
        <v>117.05096349780952</v>
      </c>
      <c r="AO39" s="28">
        <f t="shared" si="119"/>
        <v>118.41594979438052</v>
      </c>
      <c r="AP39" s="28">
        <f t="shared" si="119"/>
        <v>54.383412365580135</v>
      </c>
      <c r="AQ39" s="28">
        <f t="shared" si="119"/>
        <v>120.24968261529584</v>
      </c>
      <c r="AR39" s="28">
        <f t="shared" si="119"/>
        <v>55.323140675237177</v>
      </c>
      <c r="AS39" s="28">
        <f t="shared" si="119"/>
        <v>36.352641219748229</v>
      </c>
      <c r="AT39" s="28">
        <f t="shared" si="119"/>
        <v>36.608932422788989</v>
      </c>
      <c r="AU39" s="28">
        <f t="shared" si="119"/>
        <v>37.110528233400942</v>
      </c>
      <c r="AV39" s="28">
        <f t="shared" si="119"/>
        <v>57.83645208906627</v>
      </c>
      <c r="AW39" s="28">
        <f t="shared" si="119"/>
        <v>58.499329259213276</v>
      </c>
      <c r="AX39" s="28">
        <f t="shared" si="119"/>
        <v>38.324187590182618</v>
      </c>
      <c r="AY39" s="310">
        <f t="shared" si="119"/>
        <v>60.015578473625453</v>
      </c>
      <c r="AZ39" s="28">
        <f t="shared" si="119"/>
        <v>111.31658257282862</v>
      </c>
      <c r="BA39" s="28">
        <f t="shared" si="119"/>
        <v>112.04070044172482</v>
      </c>
      <c r="BB39" s="28">
        <f t="shared" si="119"/>
        <v>52.437206311039382</v>
      </c>
      <c r="BC39" s="28">
        <f t="shared" ref="BC39:CH39" si="120">+AVERAGE(AX82:BC82)/BC15</f>
        <v>114.49699022730306</v>
      </c>
      <c r="BD39" s="28">
        <f t="shared" si="120"/>
        <v>53.099478524545852</v>
      </c>
      <c r="BE39" s="28">
        <f t="shared" si="120"/>
        <v>34.811290516036792</v>
      </c>
      <c r="BF39" s="28">
        <f t="shared" si="120"/>
        <v>35.127589934269196</v>
      </c>
      <c r="BG39" s="28">
        <f t="shared" si="120"/>
        <v>35.599181849544806</v>
      </c>
      <c r="BH39" s="28">
        <f t="shared" si="120"/>
        <v>55.114601981297469</v>
      </c>
      <c r="BI39" s="28">
        <f t="shared" si="120"/>
        <v>55.645863791031665</v>
      </c>
      <c r="BJ39" s="28">
        <f t="shared" si="120"/>
        <v>38.396411279368309</v>
      </c>
      <c r="BK39" s="310">
        <f t="shared" si="120"/>
        <v>65.874867660626222</v>
      </c>
      <c r="BL39" s="28">
        <f t="shared" si="120"/>
        <v>123.2372923285902</v>
      </c>
      <c r="BM39" s="28">
        <f t="shared" si="120"/>
        <v>123.90674012827994</v>
      </c>
      <c r="BN39" s="28">
        <f t="shared" si="120"/>
        <v>58.640576382761708</v>
      </c>
      <c r="BO39" s="28">
        <f t="shared" si="120"/>
        <v>126.62072775166278</v>
      </c>
      <c r="BP39" s="28">
        <f t="shared" si="120"/>
        <v>57.016877632906471</v>
      </c>
      <c r="BQ39" s="28">
        <f t="shared" si="120"/>
        <v>34.033353695160073</v>
      </c>
      <c r="BR39" s="28">
        <f t="shared" si="120"/>
        <v>34.32131433552582</v>
      </c>
      <c r="BS39" s="28">
        <f t="shared" si="120"/>
        <v>36.508986619182629</v>
      </c>
      <c r="BT39" s="28">
        <f t="shared" si="120"/>
        <v>58.06227960704318</v>
      </c>
      <c r="BU39" s="28">
        <f t="shared" si="120"/>
        <v>58.478277716735953</v>
      </c>
      <c r="BV39" s="28">
        <f t="shared" si="120"/>
        <v>43.412287798868725</v>
      </c>
      <c r="BW39" s="310">
        <f t="shared" si="120"/>
        <v>76.843984184469235</v>
      </c>
      <c r="BX39" s="28">
        <f t="shared" si="120"/>
        <v>145.15675806086301</v>
      </c>
      <c r="BY39" s="28">
        <f t="shared" si="120"/>
        <v>141.07566975359057</v>
      </c>
      <c r="BZ39" s="28">
        <f t="shared" si="120"/>
        <v>68.437612329062148</v>
      </c>
      <c r="CA39" s="28">
        <f t="shared" si="120"/>
        <v>146.14507237168533</v>
      </c>
      <c r="CB39" s="28">
        <f t="shared" si="120"/>
        <v>62.708892941045448</v>
      </c>
      <c r="CC39" s="28">
        <f t="shared" si="120"/>
        <v>37.472580430398082</v>
      </c>
      <c r="CD39" s="28">
        <f t="shared" si="120"/>
        <v>37.745807987947472</v>
      </c>
      <c r="CE39" s="28">
        <f t="shared" si="120"/>
        <v>42.187964548900773</v>
      </c>
      <c r="CF39" s="28">
        <f t="shared" si="120"/>
        <v>65.073247307019514</v>
      </c>
      <c r="CG39" s="28">
        <f t="shared" si="120"/>
        <v>67.643275569143213</v>
      </c>
      <c r="CH39" s="28">
        <f t="shared" si="120"/>
        <v>51.108676741949608</v>
      </c>
      <c r="CI39" s="310">
        <f t="shared" ref="CI39:DN39" si="121">+AVERAGE(CD82:CI82)/CI15</f>
        <v>85.558439871464714</v>
      </c>
      <c r="CJ39" s="28">
        <f t="shared" si="121"/>
        <v>167.20281922057796</v>
      </c>
      <c r="CK39" s="28">
        <f t="shared" si="121"/>
        <v>159.15483608087987</v>
      </c>
      <c r="CL39" s="28">
        <f t="shared" si="121"/>
        <v>77.811594876501005</v>
      </c>
      <c r="CM39" s="28">
        <f t="shared" si="121"/>
        <v>161.41263319622149</v>
      </c>
      <c r="CN39" s="28">
        <f t="shared" si="121"/>
        <v>69.587031870578784</v>
      </c>
      <c r="CO39" s="28">
        <f t="shared" si="121"/>
        <v>42.950439042933262</v>
      </c>
      <c r="CP39" s="28">
        <f t="shared" si="121"/>
        <v>43.888293367747657</v>
      </c>
      <c r="CQ39" s="28">
        <f t="shared" si="121"/>
        <v>48.976957395782058</v>
      </c>
      <c r="CR39" s="28">
        <f t="shared" si="121"/>
        <v>74.805919977007335</v>
      </c>
      <c r="CS39" s="28">
        <f t="shared" si="121"/>
        <v>80.608642239976533</v>
      </c>
      <c r="CT39" s="28">
        <f t="shared" si="121"/>
        <v>60.248692889116512</v>
      </c>
      <c r="CU39" s="310">
        <f t="shared" si="121"/>
        <v>100.57563980471105</v>
      </c>
      <c r="CV39" s="28">
        <f t="shared" si="121"/>
        <v>195.34939896488376</v>
      </c>
      <c r="CW39" s="28">
        <f t="shared" si="121"/>
        <v>187.40597433975879</v>
      </c>
      <c r="CX39" s="28">
        <f t="shared" si="121"/>
        <v>91.719238214298286</v>
      </c>
      <c r="CY39" s="28">
        <f t="shared" si="121"/>
        <v>188.95459070486339</v>
      </c>
      <c r="CZ39" s="28">
        <f t="shared" si="121"/>
        <v>82.865518620882725</v>
      </c>
      <c r="DA39" s="28">
        <f t="shared" si="121"/>
        <v>50.722152847749797</v>
      </c>
      <c r="DB39" s="28">
        <f t="shared" si="121"/>
        <v>52.084707099124252</v>
      </c>
      <c r="DC39" s="28">
        <f t="shared" si="121"/>
        <v>56.265004856662358</v>
      </c>
      <c r="DD39" s="28">
        <f t="shared" si="121"/>
        <v>87.754818550390937</v>
      </c>
      <c r="DE39" s="28">
        <f t="shared" si="121"/>
        <v>92.924099471339929</v>
      </c>
      <c r="DF39" s="28">
        <f t="shared" si="121"/>
        <v>67.519090195341818</v>
      </c>
      <c r="DG39" s="29">
        <f t="shared" si="121"/>
        <v>114.28800500071996</v>
      </c>
    </row>
    <row r="40" spans="1:111" ht="18" x14ac:dyDescent="0.3">
      <c r="A40" s="37"/>
      <c r="B40" s="37"/>
      <c r="C40" s="547" t="s">
        <v>215</v>
      </c>
      <c r="D40" s="27"/>
      <c r="E40" s="27"/>
      <c r="F40" s="27"/>
      <c r="G40" s="27"/>
      <c r="H40" s="27"/>
      <c r="I40" s="27"/>
      <c r="J40" s="27"/>
      <c r="K40" s="195"/>
      <c r="L40" s="195" t="e">
        <f t="shared" ref="L40:T40" si="122">+L38/L39</f>
        <v>#DIV/0!</v>
      </c>
      <c r="M40" s="195" t="e">
        <f t="shared" si="122"/>
        <v>#DIV/0!</v>
      </c>
      <c r="N40" s="195" t="e">
        <f t="shared" si="122"/>
        <v>#DIV/0!</v>
      </c>
      <c r="O40" s="195" t="e">
        <f t="shared" si="122"/>
        <v>#DIV/0!</v>
      </c>
      <c r="P40" s="195" t="e">
        <f t="shared" si="122"/>
        <v>#DIV/0!</v>
      </c>
      <c r="Q40" s="195" t="e">
        <f t="shared" si="122"/>
        <v>#DIV/0!</v>
      </c>
      <c r="R40" s="195" t="e">
        <f t="shared" si="122"/>
        <v>#DIV/0!</v>
      </c>
      <c r="S40" s="195" t="e">
        <f t="shared" si="122"/>
        <v>#DIV/0!</v>
      </c>
      <c r="T40" s="195" t="e">
        <f t="shared" si="122"/>
        <v>#DIV/0!</v>
      </c>
      <c r="U40" s="196" t="e">
        <f t="shared" ref="U40:CF40" si="123">+U38/U39</f>
        <v>#DIV/0!</v>
      </c>
      <c r="V40" s="199">
        <v>0</v>
      </c>
      <c r="W40" s="196">
        <f t="shared" si="123"/>
        <v>205.56452104532897</v>
      </c>
      <c r="X40" s="196">
        <f t="shared" ref="X40:AE40" si="124">+X38/X39</f>
        <v>352.90394269133969</v>
      </c>
      <c r="Y40" s="196">
        <f t="shared" si="124"/>
        <v>314.60553279235029</v>
      </c>
      <c r="Z40" s="196">
        <f t="shared" si="124"/>
        <v>109.04184206832747</v>
      </c>
      <c r="AA40" s="196">
        <f t="shared" si="124"/>
        <v>44.09811853297257</v>
      </c>
      <c r="AB40" s="196">
        <f t="shared" si="124"/>
        <v>117.05340756884861</v>
      </c>
      <c r="AC40" s="196">
        <f t="shared" si="124"/>
        <v>74.292872771281182</v>
      </c>
      <c r="AD40" s="196">
        <f t="shared" si="124"/>
        <v>33.274585839900546</v>
      </c>
      <c r="AE40" s="196">
        <f t="shared" si="124"/>
        <v>19.244599627376633</v>
      </c>
      <c r="AF40" s="196">
        <f t="shared" ref="AF40:AJ40" si="125">+AF38/AF39</f>
        <v>16.011169539058503</v>
      </c>
      <c r="AG40" s="196">
        <f t="shared" si="125"/>
        <v>15.569785092947667</v>
      </c>
      <c r="AH40" s="196">
        <f t="shared" si="125"/>
        <v>7.2465006961443716</v>
      </c>
      <c r="AI40" s="196">
        <f t="shared" si="125"/>
        <v>10.692784735560139</v>
      </c>
      <c r="AJ40" s="196">
        <f t="shared" si="125"/>
        <v>4.0886941613413557</v>
      </c>
      <c r="AK40" s="614">
        <f t="shared" ref="AK40" si="126">+AK38/AK39</f>
        <v>6.7972122102923924</v>
      </c>
      <c r="AL40" s="506">
        <f t="shared" ref="AL40" si="127">+AL38/AL39</f>
        <v>6.5991868885603644</v>
      </c>
      <c r="AM40" s="198">
        <f t="shared" si="123"/>
        <v>3.6888607270837954</v>
      </c>
      <c r="AN40" s="197">
        <f t="shared" si="123"/>
        <v>2.052571331438056</v>
      </c>
      <c r="AO40" s="197">
        <f t="shared" si="123"/>
        <v>2.0691176449354329</v>
      </c>
      <c r="AP40" s="197">
        <f t="shared" si="123"/>
        <v>4.8331280646668828</v>
      </c>
      <c r="AQ40" s="197">
        <f t="shared" si="123"/>
        <v>2.1914322575607246</v>
      </c>
      <c r="AR40" s="197">
        <f t="shared" si="123"/>
        <v>4.9972117411506876</v>
      </c>
      <c r="AS40" s="197">
        <f t="shared" si="123"/>
        <v>7.6189159581372987</v>
      </c>
      <c r="AT40" s="197">
        <f t="shared" si="123"/>
        <v>7.4179130608511983</v>
      </c>
      <c r="AU40" s="197">
        <f t="shared" si="123"/>
        <v>7.2362092355642478</v>
      </c>
      <c r="AV40" s="197">
        <f t="shared" si="123"/>
        <v>4.6032624046698682</v>
      </c>
      <c r="AW40" s="197">
        <f t="shared" si="123"/>
        <v>4.6060290508730786</v>
      </c>
      <c r="AX40" s="197">
        <f t="shared" si="123"/>
        <v>7.0837911647371561</v>
      </c>
      <c r="AY40" s="315">
        <f t="shared" si="123"/>
        <v>4.8462846680400817</v>
      </c>
      <c r="AZ40" s="197">
        <f t="shared" si="123"/>
        <v>2.7234071630237766</v>
      </c>
      <c r="BA40" s="197">
        <f t="shared" si="123"/>
        <v>2.8287204847640086</v>
      </c>
      <c r="BB40" s="197">
        <f t="shared" si="123"/>
        <v>6.3642143787396632</v>
      </c>
      <c r="BC40" s="197">
        <f t="shared" si="123"/>
        <v>2.9924880812510786</v>
      </c>
      <c r="BD40" s="197">
        <f t="shared" si="123"/>
        <v>6.5087704070010393</v>
      </c>
      <c r="BE40" s="197">
        <f t="shared" si="123"/>
        <v>9.689344043819915</v>
      </c>
      <c r="BF40" s="197">
        <f t="shared" si="123"/>
        <v>9.5073696544286559</v>
      </c>
      <c r="BG40" s="197">
        <f t="shared" si="123"/>
        <v>9.177207191019578</v>
      </c>
      <c r="BH40" s="197">
        <f t="shared" si="123"/>
        <v>5.7542475552611192</v>
      </c>
      <c r="BI40" s="197">
        <f t="shared" si="123"/>
        <v>5.6175869133120369</v>
      </c>
      <c r="BJ40" s="197">
        <f t="shared" si="123"/>
        <v>8.4471783002943432</v>
      </c>
      <c r="BK40" s="315">
        <f t="shared" si="123"/>
        <v>5.1675297557999791</v>
      </c>
      <c r="BL40" s="197">
        <f t="shared" si="123"/>
        <v>2.826473864301593</v>
      </c>
      <c r="BM40" s="197">
        <f t="shared" si="123"/>
        <v>2.9453557405404234</v>
      </c>
      <c r="BN40" s="197">
        <f t="shared" si="123"/>
        <v>6.6182299033589533</v>
      </c>
      <c r="BO40" s="197">
        <f t="shared" si="123"/>
        <v>3.1722950716998</v>
      </c>
      <c r="BP40" s="197">
        <f t="shared" si="123"/>
        <v>6.9761697066467629</v>
      </c>
      <c r="BQ40" s="197">
        <f t="shared" si="123"/>
        <v>11.430579341950144</v>
      </c>
      <c r="BR40" s="197">
        <f t="shared" si="123"/>
        <v>11.200215968644441</v>
      </c>
      <c r="BS40" s="197">
        <f t="shared" si="123"/>
        <v>10.237577291714491</v>
      </c>
      <c r="BT40" s="197">
        <f t="shared" si="123"/>
        <v>6.1083437296614838</v>
      </c>
      <c r="BU40" s="197">
        <f t="shared" si="123"/>
        <v>5.8897425819368685</v>
      </c>
      <c r="BV40" s="197">
        <f t="shared" si="123"/>
        <v>8.1429444330445442</v>
      </c>
      <c r="BW40" s="315">
        <f t="shared" si="123"/>
        <v>4.7645653284651033</v>
      </c>
      <c r="BX40" s="197">
        <f t="shared" si="123"/>
        <v>2.6056281981943084</v>
      </c>
      <c r="BY40" s="197">
        <f t="shared" si="123"/>
        <v>2.853134243138657</v>
      </c>
      <c r="BZ40" s="197">
        <f t="shared" si="123"/>
        <v>6.215815788360521</v>
      </c>
      <c r="CA40" s="197">
        <f t="shared" si="123"/>
        <v>2.9840159358600125</v>
      </c>
      <c r="CB40" s="197">
        <f t="shared" si="123"/>
        <v>7.0525890465187544</v>
      </c>
      <c r="CC40" s="197">
        <f t="shared" si="123"/>
        <v>11.542822302281358</v>
      </c>
      <c r="CD40" s="197">
        <f t="shared" si="123"/>
        <v>11.205433656011765</v>
      </c>
      <c r="CE40" s="197">
        <f t="shared" si="123"/>
        <v>9.565090037257491</v>
      </c>
      <c r="CF40" s="197">
        <f t="shared" si="123"/>
        <v>5.8571231131824675</v>
      </c>
      <c r="CG40" s="197">
        <f t="shared" ref="CG40:DG40" si="128">+CG38/CG39</f>
        <v>5.5705565681101055</v>
      </c>
      <c r="CH40" s="197">
        <f t="shared" si="128"/>
        <v>7.3225074353171005</v>
      </c>
      <c r="CI40" s="315">
        <f t="shared" si="128"/>
        <v>4.4729255395458338</v>
      </c>
      <c r="CJ40" s="197">
        <f t="shared" si="128"/>
        <v>2.4109150976011571</v>
      </c>
      <c r="CK40" s="197">
        <f t="shared" si="128"/>
        <v>2.6566263255269194</v>
      </c>
      <c r="CL40" s="197">
        <f t="shared" si="128"/>
        <v>5.7282952319162046</v>
      </c>
      <c r="CM40" s="197">
        <f t="shared" si="128"/>
        <v>2.8623896687225843</v>
      </c>
      <c r="CN40" s="197">
        <f t="shared" si="128"/>
        <v>6.7361701378723362</v>
      </c>
      <c r="CO40" s="197">
        <f t="shared" si="128"/>
        <v>10.72693379105411</v>
      </c>
      <c r="CP40" s="197">
        <f t="shared" si="128"/>
        <v>10.125618152916449</v>
      </c>
      <c r="CQ40" s="197">
        <f t="shared" si="128"/>
        <v>8.7346132861296528</v>
      </c>
      <c r="CR40" s="197">
        <f t="shared" si="128"/>
        <v>5.4150540188742866</v>
      </c>
      <c r="CS40" s="197">
        <f t="shared" si="128"/>
        <v>4.880324889781015</v>
      </c>
      <c r="CT40" s="197">
        <f t="shared" si="128"/>
        <v>6.4818261109476634</v>
      </c>
      <c r="CU40" s="315">
        <f t="shared" si="128"/>
        <v>4.0027687163954022</v>
      </c>
      <c r="CV40" s="197">
        <f t="shared" si="128"/>
        <v>2.1605663945053317</v>
      </c>
      <c r="CW40" s="197">
        <f t="shared" si="128"/>
        <v>2.3589295881746919</v>
      </c>
      <c r="CX40" s="197">
        <f t="shared" si="128"/>
        <v>5.0784624082726868</v>
      </c>
      <c r="CY40" s="197">
        <f t="shared" si="128"/>
        <v>2.5624370118945619</v>
      </c>
      <c r="CZ40" s="197">
        <f t="shared" si="128"/>
        <v>5.9202448932422032</v>
      </c>
      <c r="DA40" s="197">
        <f t="shared" si="128"/>
        <v>9.4503483715528684</v>
      </c>
      <c r="DB40" s="197">
        <f t="shared" si="128"/>
        <v>8.9280694959415534</v>
      </c>
      <c r="DC40" s="197">
        <f t="shared" si="128"/>
        <v>7.9313143502710908</v>
      </c>
      <c r="DD40" s="197">
        <f t="shared" si="128"/>
        <v>4.8813701037821788</v>
      </c>
      <c r="DE40" s="197">
        <f t="shared" si="128"/>
        <v>4.4489637610195851</v>
      </c>
      <c r="DF40" s="197">
        <f t="shared" si="128"/>
        <v>6.0525881264881605</v>
      </c>
      <c r="DG40" s="198">
        <f t="shared" si="128"/>
        <v>3.7500604671163016</v>
      </c>
    </row>
    <row r="41" spans="1:111" x14ac:dyDescent="0.3">
      <c r="A41" s="36"/>
      <c r="B41" s="36"/>
      <c r="C41" s="547" t="s">
        <v>216</v>
      </c>
      <c r="D41" s="27"/>
      <c r="E41" s="27"/>
      <c r="F41" s="27"/>
      <c r="G41" s="27"/>
      <c r="H41" s="27"/>
      <c r="I41" s="27"/>
      <c r="J41" s="27"/>
      <c r="K41" s="199"/>
      <c r="L41" s="199" t="e">
        <f t="shared" ref="L41:T41" si="129">+L39/(L34*L36)</f>
        <v>#DIV/0!</v>
      </c>
      <c r="M41" s="199" t="e">
        <f t="shared" si="129"/>
        <v>#DIV/0!</v>
      </c>
      <c r="N41" s="199" t="e">
        <f t="shared" si="129"/>
        <v>#DIV/0!</v>
      </c>
      <c r="O41" s="199" t="e">
        <f t="shared" si="129"/>
        <v>#DIV/0!</v>
      </c>
      <c r="P41" s="199" t="e">
        <f t="shared" si="129"/>
        <v>#DIV/0!</v>
      </c>
      <c r="Q41" s="199" t="e">
        <f t="shared" si="129"/>
        <v>#DIV/0!</v>
      </c>
      <c r="R41" s="199" t="e">
        <f t="shared" si="129"/>
        <v>#DIV/0!</v>
      </c>
      <c r="S41" s="199" t="e">
        <f t="shared" si="129"/>
        <v>#DIV/0!</v>
      </c>
      <c r="T41" s="199" t="e">
        <f t="shared" si="129"/>
        <v>#DIV/0!</v>
      </c>
      <c r="U41" s="199" t="e">
        <f t="shared" ref="U41:CF41" si="130">+U39/(U34*U36)</f>
        <v>#DIV/0!</v>
      </c>
      <c r="V41" s="199">
        <v>0</v>
      </c>
      <c r="W41" s="199">
        <f t="shared" ref="W41:AE41" si="131">+W39/(W34*W36)</f>
        <v>3.2468728410479882E-2</v>
      </c>
      <c r="X41" s="199">
        <f t="shared" si="131"/>
        <v>2.3303063709848009E-2</v>
      </c>
      <c r="Y41" s="199">
        <f t="shared" si="131"/>
        <v>4.1647687877361589E-2</v>
      </c>
      <c r="Z41" s="199">
        <f t="shared" si="131"/>
        <v>0.12093910467852943</v>
      </c>
      <c r="AA41" s="199">
        <f t="shared" si="131"/>
        <v>0.14599625607825537</v>
      </c>
      <c r="AB41" s="199">
        <f t="shared" si="131"/>
        <v>7.9587062320383206E-2</v>
      </c>
      <c r="AC41" s="199">
        <f t="shared" si="131"/>
        <v>0.12837255062768371</v>
      </c>
      <c r="AD41" s="199">
        <f t="shared" si="131"/>
        <v>0.1331885288251077</v>
      </c>
      <c r="AE41" s="199">
        <f t="shared" si="131"/>
        <v>0.18400422982943426</v>
      </c>
      <c r="AF41" s="199">
        <f t="shared" ref="AF41:AI41" si="132">+AF39/(AF34*AF36)</f>
        <v>0.19092644118291963</v>
      </c>
      <c r="AG41" s="199">
        <f t="shared" si="132"/>
        <v>0.18362392847403838</v>
      </c>
      <c r="AH41" s="199">
        <f t="shared" si="132"/>
        <v>0.45798151133188747</v>
      </c>
      <c r="AI41" s="199">
        <f t="shared" si="132"/>
        <v>0.31064112926343446</v>
      </c>
      <c r="AJ41" s="199">
        <f>+AJ39/(AJ34*AJ36)</f>
        <v>1.0291309686561814</v>
      </c>
      <c r="AK41" s="624">
        <f>+AK39/(AK34*AK36)</f>
        <v>0.43964770177515872</v>
      </c>
      <c r="AL41" s="200">
        <f t="shared" ref="AL41" si="133">+AL39/(AL34*AL36)</f>
        <v>0.56198562868247937</v>
      </c>
      <c r="AM41" s="201">
        <f t="shared" si="130"/>
        <v>0.68361277757807648</v>
      </c>
      <c r="AN41" s="200">
        <f t="shared" si="130"/>
        <v>1.2827725568432378</v>
      </c>
      <c r="AO41" s="200">
        <f t="shared" si="130"/>
        <v>1.1641217133500044</v>
      </c>
      <c r="AP41" s="200">
        <f t="shared" si="130"/>
        <v>0.46639071014219596</v>
      </c>
      <c r="AQ41" s="200">
        <f t="shared" si="130"/>
        <v>1.19365634185301</v>
      </c>
      <c r="AR41" s="200">
        <f t="shared" si="130"/>
        <v>0.55430540505358572</v>
      </c>
      <c r="AS41" s="200">
        <f t="shared" si="130"/>
        <v>0.34811975752454793</v>
      </c>
      <c r="AT41" s="200">
        <f t="shared" si="130"/>
        <v>0.4322282169198402</v>
      </c>
      <c r="AU41" s="200">
        <f t="shared" si="130"/>
        <v>0.3937885743253669</v>
      </c>
      <c r="AV41" s="200">
        <f t="shared" si="130"/>
        <v>0.57083018221723059</v>
      </c>
      <c r="AW41" s="200">
        <f t="shared" si="130"/>
        <v>0.61448142181842447</v>
      </c>
      <c r="AX41" s="200">
        <f t="shared" si="130"/>
        <v>0.39933459028798618</v>
      </c>
      <c r="AY41" s="316">
        <f t="shared" si="130"/>
        <v>0.46533648442767711</v>
      </c>
      <c r="AZ41" s="200">
        <f t="shared" si="130"/>
        <v>1.1113450611109683</v>
      </c>
      <c r="BA41" s="200">
        <f t="shared" si="130"/>
        <v>0.94036924298307734</v>
      </c>
      <c r="BB41" s="200">
        <f t="shared" si="130"/>
        <v>0.37303633474032566</v>
      </c>
      <c r="BC41" s="200">
        <f t="shared" si="130"/>
        <v>0.96394497093512621</v>
      </c>
      <c r="BD41" s="200">
        <f t="shared" si="130"/>
        <v>0.49396260430294175</v>
      </c>
      <c r="BE41" s="200">
        <f t="shared" si="130"/>
        <v>0.28277634233484028</v>
      </c>
      <c r="BF41" s="200">
        <f t="shared" si="130"/>
        <v>0.35205030356057948</v>
      </c>
      <c r="BG41" s="200">
        <f t="shared" si="130"/>
        <v>0.3430261123209617</v>
      </c>
      <c r="BH41" s="200">
        <f t="shared" si="130"/>
        <v>0.49354885399462844</v>
      </c>
      <c r="BI41" s="200">
        <f t="shared" si="130"/>
        <v>0.55710621272149652</v>
      </c>
      <c r="BJ41" s="200">
        <f t="shared" si="130"/>
        <v>0.31732771163118129</v>
      </c>
      <c r="BK41" s="316">
        <f t="shared" si="130"/>
        <v>0.47238112896658518</v>
      </c>
      <c r="BL41" s="200">
        <f t="shared" si="130"/>
        <v>1.1705134091866152</v>
      </c>
      <c r="BM41" s="200">
        <f t="shared" si="130"/>
        <v>0.93143311955005303</v>
      </c>
      <c r="BN41" s="200">
        <f t="shared" si="130"/>
        <v>0.36022011712279922</v>
      </c>
      <c r="BO41" s="200">
        <f t="shared" si="130"/>
        <v>0.95309382091718509</v>
      </c>
      <c r="BP41" s="200">
        <f t="shared" si="130"/>
        <v>0.47646087882554111</v>
      </c>
      <c r="BQ41" s="200">
        <f t="shared" si="130"/>
        <v>0.25446084106713729</v>
      </c>
      <c r="BR41" s="200">
        <f t="shared" si="130"/>
        <v>0.33334297922665507</v>
      </c>
      <c r="BS41" s="200">
        <f t="shared" si="130"/>
        <v>0.32580418193778743</v>
      </c>
      <c r="BT41" s="200">
        <f t="shared" si="130"/>
        <v>0.50168902163541773</v>
      </c>
      <c r="BU41" s="200">
        <f t="shared" si="130"/>
        <v>0.56806186007421411</v>
      </c>
      <c r="BV41" s="200">
        <f t="shared" si="130"/>
        <v>0.34262704154627627</v>
      </c>
      <c r="BW41" s="316">
        <f t="shared" si="130"/>
        <v>0.54104591131697188</v>
      </c>
      <c r="BX41" s="200">
        <f t="shared" si="130"/>
        <v>1.2571174920091699</v>
      </c>
      <c r="BY41" s="200">
        <f t="shared" si="130"/>
        <v>0.91327639748749079</v>
      </c>
      <c r="BZ41" s="200">
        <f t="shared" si="130"/>
        <v>0.41626564614731931</v>
      </c>
      <c r="CA41" s="200">
        <f t="shared" si="130"/>
        <v>1.1324147712697465</v>
      </c>
      <c r="CB41" s="200">
        <f t="shared" si="130"/>
        <v>0.4290145173909633</v>
      </c>
      <c r="CC41" s="200">
        <f t="shared" si="130"/>
        <v>0.27742704769383952</v>
      </c>
      <c r="CD41" s="200">
        <f t="shared" si="130"/>
        <v>0.36027066033142502</v>
      </c>
      <c r="CE41" s="200">
        <f t="shared" si="130"/>
        <v>0.35631147081608538</v>
      </c>
      <c r="CF41" s="200">
        <f t="shared" si="130"/>
        <v>0.57184534610146409</v>
      </c>
      <c r="CG41" s="200">
        <f t="shared" ref="CG41:DG41" si="134">+CG39/(CG34*CG36)</f>
        <v>0.60385329764217843</v>
      </c>
      <c r="CH41" s="200">
        <f t="shared" si="134"/>
        <v>0.39230403780628403</v>
      </c>
      <c r="CI41" s="316">
        <f t="shared" si="134"/>
        <v>0.6278151059051631</v>
      </c>
      <c r="CJ41" s="200">
        <f t="shared" si="134"/>
        <v>1.2643888511710135</v>
      </c>
      <c r="CK41" s="200">
        <f t="shared" si="134"/>
        <v>1.0533817075976202</v>
      </c>
      <c r="CL41" s="200">
        <f t="shared" si="134"/>
        <v>0.4826304308971236</v>
      </c>
      <c r="CM41" s="200">
        <f t="shared" si="134"/>
        <v>1.0853562800060248</v>
      </c>
      <c r="CN41" s="200">
        <f t="shared" si="134"/>
        <v>0.46226447495995815</v>
      </c>
      <c r="CO41" s="200">
        <f t="shared" si="134"/>
        <v>0.32405432521815908</v>
      </c>
      <c r="CP41" s="200">
        <f t="shared" si="134"/>
        <v>0.39899671087511057</v>
      </c>
      <c r="CQ41" s="200">
        <f t="shared" si="134"/>
        <v>0.40302259126596091</v>
      </c>
      <c r="CR41" s="200">
        <f t="shared" si="134"/>
        <v>0.66990080664786011</v>
      </c>
      <c r="CS41" s="200">
        <f t="shared" si="134"/>
        <v>0.68326474715907437</v>
      </c>
      <c r="CT41" s="200">
        <f t="shared" si="134"/>
        <v>0.44825184431236165</v>
      </c>
      <c r="CU41" s="316">
        <f t="shared" si="134"/>
        <v>0.71561026996589583</v>
      </c>
      <c r="CV41" s="200">
        <f t="shared" si="134"/>
        <v>1.4499520839854971</v>
      </c>
      <c r="CW41" s="200">
        <f t="shared" si="134"/>
        <v>1.2188588268167995</v>
      </c>
      <c r="CX41" s="200">
        <f t="shared" si="134"/>
        <v>0.57609327081278916</v>
      </c>
      <c r="CY41" s="200">
        <f t="shared" si="134"/>
        <v>1.1972467071834505</v>
      </c>
      <c r="CZ41" s="200">
        <f t="shared" si="134"/>
        <v>0.53990747342178935</v>
      </c>
      <c r="DA41" s="200">
        <f t="shared" si="134"/>
        <v>0.38787981773693386</v>
      </c>
      <c r="DB41" s="200">
        <f t="shared" si="134"/>
        <v>0.44498538784776653</v>
      </c>
      <c r="DC41" s="200">
        <f t="shared" si="134"/>
        <v>0.46454967971069067</v>
      </c>
      <c r="DD41" s="200">
        <f t="shared" si="134"/>
        <v>0.73321519498693977</v>
      </c>
      <c r="DE41" s="200">
        <f t="shared" si="134"/>
        <v>0.76538682742986941</v>
      </c>
      <c r="DF41" s="200">
        <f t="shared" si="134"/>
        <v>0.50307125717135492</v>
      </c>
      <c r="DG41" s="201">
        <f t="shared" si="134"/>
        <v>0.7504621483674313</v>
      </c>
    </row>
    <row r="42" spans="1:111" s="3" customFormat="1" ht="15" thickBot="1" x14ac:dyDescent="0.35">
      <c r="A42" s="142"/>
      <c r="B42" s="142"/>
      <c r="C42" s="548" t="s">
        <v>52</v>
      </c>
      <c r="D42" s="143"/>
      <c r="E42" s="144">
        <f t="shared" ref="E42:AF42" si="135">+E25/8</f>
        <v>5.4824561403508769E-4</v>
      </c>
      <c r="F42" s="144">
        <f t="shared" si="135"/>
        <v>6.793478260869565E-4</v>
      </c>
      <c r="G42" s="144">
        <f t="shared" si="135"/>
        <v>8.5034013605442174E-4</v>
      </c>
      <c r="H42" s="144">
        <f t="shared" si="135"/>
        <v>5.9523809523809518E-4</v>
      </c>
      <c r="I42" s="144">
        <f t="shared" si="135"/>
        <v>4.3706293706293706E-4</v>
      </c>
      <c r="J42" s="144">
        <f t="shared" si="135"/>
        <v>5.6818181818181826E-4</v>
      </c>
      <c r="K42" s="144">
        <f t="shared" si="135"/>
        <v>8.152173913043478E-3</v>
      </c>
      <c r="L42" s="144">
        <f t="shared" si="135"/>
        <v>1.3558201058201057E-2</v>
      </c>
      <c r="M42" s="144">
        <f t="shared" si="135"/>
        <v>2.0045518207282915E-2</v>
      </c>
      <c r="N42" s="144">
        <f t="shared" si="135"/>
        <v>1.6774891774891776E-2</v>
      </c>
      <c r="O42" s="144">
        <f t="shared" si="135"/>
        <v>1.2755102040816327E-2</v>
      </c>
      <c r="P42" s="144">
        <f t="shared" si="135"/>
        <v>1.3060515873015871E-2</v>
      </c>
      <c r="Q42" s="144">
        <f t="shared" si="135"/>
        <v>1.3980263157894737E-2</v>
      </c>
      <c r="R42" s="144">
        <f t="shared" si="135"/>
        <v>1.0733695652173914E-2</v>
      </c>
      <c r="S42" s="144">
        <f t="shared" si="135"/>
        <v>1.6294642857142858E-2</v>
      </c>
      <c r="T42" s="144">
        <f t="shared" si="135"/>
        <v>2.6041666666666668E-2</v>
      </c>
      <c r="U42" s="144">
        <f t="shared" si="135"/>
        <v>1.9649621212121212E-2</v>
      </c>
      <c r="V42" s="144">
        <f t="shared" si="135"/>
        <v>2.6875000000000002E-3</v>
      </c>
      <c r="W42" s="144">
        <f t="shared" si="135"/>
        <v>3.5387496929501351E-3</v>
      </c>
      <c r="X42" s="144">
        <f t="shared" si="135"/>
        <v>4.0330497382198953E-3</v>
      </c>
      <c r="Y42" s="144">
        <f t="shared" si="135"/>
        <v>3.6034688995215313E-3</v>
      </c>
      <c r="Z42" s="144">
        <f t="shared" si="135"/>
        <v>4.0309175531914893E-3</v>
      </c>
      <c r="AA42" s="144">
        <f t="shared" si="135"/>
        <v>4.1158148995677603E-3</v>
      </c>
      <c r="AB42" s="144">
        <f t="shared" si="135"/>
        <v>3.2406777354382142E-3</v>
      </c>
      <c r="AC42" s="144">
        <f t="shared" si="135"/>
        <v>4.2252652356279301E-3</v>
      </c>
      <c r="AD42" s="144">
        <f t="shared" si="135"/>
        <v>4.2497231450719817E-3</v>
      </c>
      <c r="AE42" s="144">
        <f t="shared" si="135"/>
        <v>3.8917555658627089E-3</v>
      </c>
      <c r="AF42" s="144">
        <f t="shared" si="135"/>
        <v>3.6653185035389279E-3</v>
      </c>
      <c r="AG42" s="144">
        <f t="shared" ref="AG42:AL42" si="136">+AG25/8</f>
        <v>3.6458333333333334E-3</v>
      </c>
      <c r="AH42" s="144">
        <f t="shared" si="136"/>
        <v>2.8602789256198346E-3</v>
      </c>
      <c r="AI42" s="144">
        <f t="shared" si="136"/>
        <v>3.1723484848484849E-3</v>
      </c>
      <c r="AJ42" s="144">
        <f t="shared" si="136"/>
        <v>3.2526671870934166E-3</v>
      </c>
      <c r="AK42" s="290">
        <f t="shared" si="136"/>
        <v>2.9980608287405591E-3</v>
      </c>
      <c r="AL42" s="144">
        <f t="shared" si="136"/>
        <v>3.7499999999999999E-3</v>
      </c>
      <c r="AM42" s="145">
        <f t="shared" ref="AM42:BP42" si="137">+AM25/8</f>
        <v>4.1158148995677603E-3</v>
      </c>
      <c r="AN42" s="144">
        <f t="shared" si="137"/>
        <v>3.2406777354382142E-3</v>
      </c>
      <c r="AO42" s="144">
        <f t="shared" si="137"/>
        <v>4.2252652356279301E-3</v>
      </c>
      <c r="AP42" s="144">
        <f t="shared" si="137"/>
        <v>4.2497231450719817E-3</v>
      </c>
      <c r="AQ42" s="144">
        <f t="shared" si="137"/>
        <v>3.8917555658627089E-3</v>
      </c>
      <c r="AR42" s="144">
        <f t="shared" si="137"/>
        <v>3.6653185035389279E-3</v>
      </c>
      <c r="AS42" s="144">
        <f t="shared" si="137"/>
        <v>3.6458333333333334E-3</v>
      </c>
      <c r="AT42" s="144">
        <f t="shared" si="137"/>
        <v>2.8602789256198346E-3</v>
      </c>
      <c r="AU42" s="144">
        <f t="shared" si="137"/>
        <v>3.1723484848484849E-3</v>
      </c>
      <c r="AV42" s="144">
        <f t="shared" si="137"/>
        <v>3.2526671870934166E-3</v>
      </c>
      <c r="AW42" s="144">
        <f t="shared" si="137"/>
        <v>2.9980608287405591E-3</v>
      </c>
      <c r="AX42" s="144">
        <f t="shared" si="137"/>
        <v>3.7499999999999999E-3</v>
      </c>
      <c r="AY42" s="290">
        <f t="shared" si="137"/>
        <v>4.1158148995677603E-3</v>
      </c>
      <c r="AZ42" s="144">
        <f t="shared" si="137"/>
        <v>3.2406777354382142E-3</v>
      </c>
      <c r="BA42" s="144">
        <f t="shared" si="137"/>
        <v>4.2252652356279301E-3</v>
      </c>
      <c r="BB42" s="144">
        <f t="shared" si="137"/>
        <v>4.2497231450719817E-3</v>
      </c>
      <c r="BC42" s="144">
        <f t="shared" si="137"/>
        <v>3.8917555658627089E-3</v>
      </c>
      <c r="BD42" s="144">
        <f t="shared" si="137"/>
        <v>3.6653185035389279E-3</v>
      </c>
      <c r="BE42" s="144">
        <f t="shared" si="137"/>
        <v>3.6458333333333334E-3</v>
      </c>
      <c r="BF42" s="144">
        <f t="shared" si="137"/>
        <v>2.8602789256198346E-3</v>
      </c>
      <c r="BG42" s="144">
        <f t="shared" si="137"/>
        <v>3.1723484848484849E-3</v>
      </c>
      <c r="BH42" s="144">
        <f t="shared" si="137"/>
        <v>3.2526671870934166E-3</v>
      </c>
      <c r="BI42" s="144">
        <f t="shared" si="137"/>
        <v>2.9980608287405591E-3</v>
      </c>
      <c r="BJ42" s="144">
        <f t="shared" si="137"/>
        <v>3.7499999999999999E-3</v>
      </c>
      <c r="BK42" s="290">
        <f t="shared" si="137"/>
        <v>4.1158148995677603E-3</v>
      </c>
      <c r="BL42" s="144">
        <f t="shared" si="137"/>
        <v>3.2406777354382142E-3</v>
      </c>
      <c r="BM42" s="144">
        <f t="shared" si="137"/>
        <v>4.2252652356279301E-3</v>
      </c>
      <c r="BN42" s="144">
        <f t="shared" si="137"/>
        <v>4.2497231450719817E-3</v>
      </c>
      <c r="BO42" s="144">
        <f t="shared" si="137"/>
        <v>3.8917555658627089E-3</v>
      </c>
      <c r="BP42" s="144">
        <f t="shared" si="137"/>
        <v>3.6653185035389279E-3</v>
      </c>
      <c r="BQ42" s="144">
        <f t="shared" ref="BQ42:CV42" si="138">+BQ25/8</f>
        <v>3.6458333333333334E-3</v>
      </c>
      <c r="BR42" s="144">
        <f t="shared" si="138"/>
        <v>2.8602789256198346E-3</v>
      </c>
      <c r="BS42" s="144">
        <f t="shared" si="138"/>
        <v>3.1723484848484849E-3</v>
      </c>
      <c r="BT42" s="144">
        <f t="shared" si="138"/>
        <v>3.2526671870934166E-3</v>
      </c>
      <c r="BU42" s="144">
        <f t="shared" si="138"/>
        <v>2.9980608287405591E-3</v>
      </c>
      <c r="BV42" s="144">
        <f t="shared" si="138"/>
        <v>3.7499999999999999E-3</v>
      </c>
      <c r="BW42" s="290">
        <f t="shared" si="138"/>
        <v>4.1158148995677603E-3</v>
      </c>
      <c r="BX42" s="144">
        <f t="shared" si="138"/>
        <v>3.2406777354382142E-3</v>
      </c>
      <c r="BY42" s="144">
        <f t="shared" si="138"/>
        <v>4.2252652356279301E-3</v>
      </c>
      <c r="BZ42" s="144">
        <f t="shared" si="138"/>
        <v>4.2497231450719817E-3</v>
      </c>
      <c r="CA42" s="144">
        <f t="shared" si="138"/>
        <v>3.8917555658627089E-3</v>
      </c>
      <c r="CB42" s="144">
        <f t="shared" si="138"/>
        <v>3.6653185035389279E-3</v>
      </c>
      <c r="CC42" s="144">
        <f t="shared" si="138"/>
        <v>3.6458333333333334E-3</v>
      </c>
      <c r="CD42" s="144">
        <f t="shared" si="138"/>
        <v>2.8602789256198346E-3</v>
      </c>
      <c r="CE42" s="144">
        <f t="shared" si="138"/>
        <v>3.1723484848484849E-3</v>
      </c>
      <c r="CF42" s="144">
        <f t="shared" si="138"/>
        <v>3.2526671870934166E-3</v>
      </c>
      <c r="CG42" s="144">
        <f t="shared" si="138"/>
        <v>2.9980608287405591E-3</v>
      </c>
      <c r="CH42" s="144">
        <f t="shared" si="138"/>
        <v>3.7499999999999999E-3</v>
      </c>
      <c r="CI42" s="290">
        <f t="shared" si="138"/>
        <v>4.1158148995677603E-3</v>
      </c>
      <c r="CJ42" s="144">
        <f t="shared" si="138"/>
        <v>3.2406777354382142E-3</v>
      </c>
      <c r="CK42" s="144">
        <f t="shared" si="138"/>
        <v>4.2252652356279301E-3</v>
      </c>
      <c r="CL42" s="144">
        <f t="shared" si="138"/>
        <v>4.2497231450719817E-3</v>
      </c>
      <c r="CM42" s="144">
        <f t="shared" si="138"/>
        <v>3.8917555658627089E-3</v>
      </c>
      <c r="CN42" s="144">
        <f t="shared" si="138"/>
        <v>3.6653185035389279E-3</v>
      </c>
      <c r="CO42" s="144">
        <f t="shared" si="138"/>
        <v>3.6458333333333334E-3</v>
      </c>
      <c r="CP42" s="144">
        <f t="shared" si="138"/>
        <v>2.8602789256198346E-3</v>
      </c>
      <c r="CQ42" s="144">
        <f t="shared" si="138"/>
        <v>3.1723484848484849E-3</v>
      </c>
      <c r="CR42" s="144">
        <f t="shared" si="138"/>
        <v>3.2526671870934166E-3</v>
      </c>
      <c r="CS42" s="144">
        <f t="shared" si="138"/>
        <v>2.9980608287405591E-3</v>
      </c>
      <c r="CT42" s="144">
        <f t="shared" si="138"/>
        <v>3.7499999999999999E-3</v>
      </c>
      <c r="CU42" s="290">
        <f t="shared" si="138"/>
        <v>4.1158148995677603E-3</v>
      </c>
      <c r="CV42" s="144">
        <f t="shared" si="138"/>
        <v>3.2406777354382142E-3</v>
      </c>
      <c r="CW42" s="144">
        <f t="shared" ref="CW42:DG42" si="139">+CW25/8</f>
        <v>4.2252652356279301E-3</v>
      </c>
      <c r="CX42" s="144">
        <f t="shared" si="139"/>
        <v>4.2497231450719817E-3</v>
      </c>
      <c r="CY42" s="144">
        <f t="shared" si="139"/>
        <v>3.8917555658627089E-3</v>
      </c>
      <c r="CZ42" s="144">
        <f t="shared" si="139"/>
        <v>3.6653185035389279E-3</v>
      </c>
      <c r="DA42" s="144">
        <f t="shared" si="139"/>
        <v>3.6458333333333334E-3</v>
      </c>
      <c r="DB42" s="144">
        <f t="shared" si="139"/>
        <v>2.8602789256198346E-3</v>
      </c>
      <c r="DC42" s="144">
        <f t="shared" si="139"/>
        <v>3.1723484848484849E-3</v>
      </c>
      <c r="DD42" s="144">
        <f t="shared" si="139"/>
        <v>3.2526671870934166E-3</v>
      </c>
      <c r="DE42" s="144">
        <f t="shared" si="139"/>
        <v>2.9980608287405591E-3</v>
      </c>
      <c r="DF42" s="144">
        <f t="shared" si="139"/>
        <v>3.7499999999999999E-3</v>
      </c>
      <c r="DG42" s="145">
        <f t="shared" si="139"/>
        <v>4.1158148995677603E-3</v>
      </c>
    </row>
    <row r="43" spans="1:111" x14ac:dyDescent="0.3">
      <c r="B43" s="1"/>
      <c r="C43" s="1"/>
      <c r="D43" s="58"/>
      <c r="E43" s="58"/>
      <c r="F43" s="58"/>
      <c r="G43" s="58"/>
      <c r="H43" s="58"/>
      <c r="I43" s="58"/>
      <c r="J43" s="58"/>
      <c r="K43" s="58"/>
      <c r="L43" s="58"/>
      <c r="M43" s="58"/>
      <c r="N43" s="58"/>
      <c r="O43" s="58"/>
      <c r="P43" s="58"/>
      <c r="Q43" s="58"/>
      <c r="R43" s="58"/>
      <c r="S43" s="58"/>
      <c r="T43" s="58"/>
      <c r="U43" s="58"/>
      <c r="V43" s="58"/>
      <c r="W43" s="58"/>
      <c r="X43" s="58"/>
      <c r="Y43" s="58"/>
      <c r="Z43" s="58"/>
      <c r="AA43" s="58"/>
      <c r="AB43" s="58"/>
      <c r="AC43" s="58"/>
      <c r="AD43" s="58"/>
      <c r="AE43" s="58"/>
      <c r="AF43" s="58"/>
      <c r="AG43" s="58"/>
      <c r="AH43" s="58"/>
      <c r="AI43" s="58"/>
      <c r="AJ43" s="58"/>
      <c r="AK43" s="289"/>
      <c r="AL43" s="58"/>
      <c r="AM43" s="289"/>
      <c r="AN43" s="58"/>
      <c r="AO43" s="58"/>
      <c r="AP43" s="58"/>
      <c r="AQ43" s="58"/>
      <c r="AR43" s="58"/>
      <c r="AS43" s="58"/>
      <c r="AT43" s="58"/>
      <c r="AU43" s="58"/>
      <c r="AV43" s="58"/>
      <c r="AW43" s="58"/>
      <c r="AX43" s="58"/>
      <c r="AY43" s="289"/>
      <c r="AZ43" s="58"/>
      <c r="BA43" s="58"/>
      <c r="BB43" s="58"/>
      <c r="BC43" s="58"/>
      <c r="BD43" s="58"/>
      <c r="BE43" s="58"/>
      <c r="BF43" s="58"/>
      <c r="BG43" s="58"/>
      <c r="BH43" s="58"/>
      <c r="BI43" s="58"/>
      <c r="BJ43" s="58"/>
      <c r="BK43" s="289"/>
      <c r="BL43" s="58"/>
      <c r="BM43" s="58"/>
      <c r="BN43" s="58"/>
      <c r="BO43" s="58"/>
      <c r="BP43" s="58"/>
      <c r="BQ43" s="58"/>
      <c r="BR43" s="58"/>
      <c r="BS43" s="58"/>
      <c r="BT43" s="58"/>
      <c r="BU43" s="58"/>
      <c r="BV43" s="58"/>
      <c r="BW43" s="289"/>
      <c r="BX43" s="58"/>
      <c r="BY43" s="58"/>
      <c r="BZ43" s="58"/>
      <c r="CA43" s="58"/>
      <c r="CB43" s="58"/>
      <c r="CC43" s="58"/>
      <c r="CD43" s="58"/>
      <c r="CE43" s="58"/>
      <c r="CF43" s="58"/>
      <c r="CG43" s="58"/>
      <c r="CH43" s="58"/>
      <c r="CI43" s="289"/>
      <c r="CJ43" s="58"/>
      <c r="CK43" s="58"/>
      <c r="CL43" s="58"/>
      <c r="CM43" s="58"/>
      <c r="CN43" s="58"/>
      <c r="CO43" s="58"/>
      <c r="CP43" s="58"/>
      <c r="CQ43" s="58"/>
      <c r="CR43" s="58"/>
      <c r="CS43" s="58"/>
      <c r="CT43" s="58"/>
      <c r="CU43" s="289"/>
      <c r="CV43" s="58"/>
      <c r="CW43" s="58"/>
      <c r="CX43" s="58"/>
      <c r="CY43" s="58"/>
      <c r="CZ43" s="58"/>
      <c r="DA43" s="58"/>
      <c r="DB43" s="58"/>
      <c r="DC43" s="58"/>
      <c r="DD43" s="58"/>
      <c r="DE43" s="58"/>
      <c r="DF43" s="58"/>
      <c r="DG43" s="58"/>
    </row>
    <row r="44" spans="1:111" hidden="1" x14ac:dyDescent="0.3">
      <c r="B44" s="1"/>
      <c r="C44" s="1"/>
      <c r="D44" s="58"/>
      <c r="F44">
        <v>2022</v>
      </c>
      <c r="G44">
        <v>2023</v>
      </c>
      <c r="H44">
        <v>2024</v>
      </c>
      <c r="I44">
        <v>2025</v>
      </c>
      <c r="J44">
        <v>2026</v>
      </c>
      <c r="K44">
        <v>2027</v>
      </c>
      <c r="L44">
        <v>2028</v>
      </c>
      <c r="M44">
        <v>2029</v>
      </c>
      <c r="N44">
        <v>2030</v>
      </c>
      <c r="O44" s="58"/>
      <c r="Q44">
        <v>2022</v>
      </c>
      <c r="R44">
        <v>2023</v>
      </c>
      <c r="S44">
        <v>2024</v>
      </c>
      <c r="T44">
        <v>2025</v>
      </c>
      <c r="U44">
        <v>2026</v>
      </c>
      <c r="V44">
        <v>2027</v>
      </c>
      <c r="W44">
        <v>2028</v>
      </c>
      <c r="X44">
        <v>2028</v>
      </c>
      <c r="Y44">
        <v>2028</v>
      </c>
      <c r="Z44">
        <v>2028</v>
      </c>
      <c r="AA44">
        <v>2028</v>
      </c>
      <c r="AB44">
        <v>2028</v>
      </c>
      <c r="AC44">
        <v>2028</v>
      </c>
      <c r="AD44">
        <v>2028</v>
      </c>
      <c r="AE44">
        <v>2028</v>
      </c>
      <c r="AF44">
        <v>2029</v>
      </c>
      <c r="AG44">
        <v>2029</v>
      </c>
      <c r="AH44">
        <v>2029</v>
      </c>
      <c r="AI44">
        <v>2029</v>
      </c>
      <c r="AJ44">
        <v>2029</v>
      </c>
      <c r="AK44" s="286">
        <v>2029</v>
      </c>
      <c r="AL44" s="58"/>
      <c r="AM44" s="289"/>
      <c r="AN44" s="58"/>
      <c r="AO44" s="58"/>
      <c r="AP44" s="58"/>
      <c r="AQ44" s="58"/>
      <c r="AR44" s="58"/>
      <c r="AS44" s="58"/>
      <c r="AT44" s="58"/>
      <c r="AU44" s="58"/>
      <c r="AV44" s="58"/>
      <c r="AW44" s="58"/>
      <c r="AX44" s="58"/>
      <c r="AY44" s="289"/>
      <c r="AZ44" s="58"/>
      <c r="BA44" s="58"/>
      <c r="BB44" s="58"/>
      <c r="BC44" s="58"/>
      <c r="BD44" s="58"/>
      <c r="BE44" s="58"/>
      <c r="BF44" s="58"/>
      <c r="BG44" s="58"/>
      <c r="BH44" s="58"/>
      <c r="BI44" s="58"/>
      <c r="BJ44" s="58"/>
      <c r="BK44" s="289"/>
      <c r="BL44" s="58"/>
      <c r="BM44" s="58"/>
      <c r="BN44" s="58"/>
      <c r="BO44" s="58"/>
      <c r="BP44" s="58"/>
      <c r="BQ44" s="58"/>
      <c r="BR44" s="58"/>
      <c r="BS44" s="58"/>
      <c r="BT44" s="58"/>
      <c r="BU44" s="58"/>
      <c r="BV44" s="58"/>
      <c r="BW44" s="289"/>
      <c r="BX44" s="58"/>
      <c r="BY44" s="58"/>
      <c r="BZ44" s="58"/>
      <c r="CA44" s="58"/>
      <c r="CB44" s="58"/>
      <c r="CC44" s="58"/>
      <c r="CD44" s="58"/>
      <c r="CE44" s="58"/>
      <c r="CF44" s="58"/>
      <c r="CG44" s="58"/>
      <c r="CH44" s="58"/>
      <c r="CI44" s="289"/>
      <c r="CJ44" s="58"/>
      <c r="CK44" s="58"/>
      <c r="CL44" s="58"/>
      <c r="CM44" s="58"/>
      <c r="CN44" s="58"/>
      <c r="CO44" s="58"/>
      <c r="CP44" s="58"/>
      <c r="CQ44" s="58"/>
      <c r="CR44" s="58"/>
      <c r="CS44" s="58"/>
      <c r="CT44" s="58"/>
      <c r="CU44" s="289"/>
      <c r="CV44" s="58"/>
      <c r="CW44" s="58"/>
      <c r="CX44" s="58"/>
      <c r="CY44" s="58"/>
      <c r="CZ44" s="58"/>
      <c r="DA44" s="58"/>
      <c r="DB44" s="58"/>
      <c r="DC44" s="58"/>
      <c r="DD44" s="58"/>
      <c r="DE44" s="58"/>
      <c r="DF44" s="58"/>
      <c r="DG44" s="58"/>
    </row>
    <row r="45" spans="1:111" hidden="1" x14ac:dyDescent="0.3">
      <c r="B45" s="1"/>
      <c r="C45" s="1"/>
      <c r="D45" s="58"/>
      <c r="E45" t="s">
        <v>192</v>
      </c>
      <c r="F45">
        <f>ROUNDUP(AVERAGE(F46:F48), 0)</f>
        <v>10</v>
      </c>
      <c r="G45">
        <f t="shared" ref="G45:N45" si="140">ROUNDUP(AVERAGE(G46:G48), 0)</f>
        <v>39</v>
      </c>
      <c r="H45">
        <f t="shared" si="140"/>
        <v>45</v>
      </c>
      <c r="I45">
        <f t="shared" si="140"/>
        <v>55</v>
      </c>
      <c r="J45">
        <f t="shared" si="140"/>
        <v>65</v>
      </c>
      <c r="K45">
        <f t="shared" si="140"/>
        <v>75</v>
      </c>
      <c r="L45">
        <f t="shared" si="140"/>
        <v>85</v>
      </c>
      <c r="M45">
        <f t="shared" si="140"/>
        <v>95</v>
      </c>
      <c r="N45">
        <f t="shared" si="140"/>
        <v>105</v>
      </c>
      <c r="O45" s="58"/>
      <c r="P45" t="s">
        <v>192</v>
      </c>
      <c r="Q45">
        <f>ROUNDUP(AVERAGE(Q46:Q48), 0)</f>
        <v>1</v>
      </c>
      <c r="R45">
        <f t="shared" ref="R45:W45" si="141">ROUNDUP(AVERAGE(R46:R48), 0)</f>
        <v>1</v>
      </c>
      <c r="S45">
        <f t="shared" si="141"/>
        <v>1</v>
      </c>
      <c r="T45">
        <f t="shared" si="141"/>
        <v>1</v>
      </c>
      <c r="U45">
        <f t="shared" si="141"/>
        <v>1</v>
      </c>
      <c r="V45">
        <f t="shared" si="141"/>
        <v>1</v>
      </c>
      <c r="W45">
        <f t="shared" si="141"/>
        <v>1</v>
      </c>
      <c r="X45">
        <f t="shared" ref="X45:AE45" si="142">ROUNDUP(AVERAGE(X46:X48), 0)</f>
        <v>1</v>
      </c>
      <c r="Y45">
        <f t="shared" si="142"/>
        <v>1</v>
      </c>
      <c r="Z45">
        <f t="shared" si="142"/>
        <v>1</v>
      </c>
      <c r="AA45">
        <f t="shared" si="142"/>
        <v>1</v>
      </c>
      <c r="AB45">
        <f t="shared" si="142"/>
        <v>1</v>
      </c>
      <c r="AC45">
        <f t="shared" si="142"/>
        <v>1</v>
      </c>
      <c r="AD45">
        <f t="shared" si="142"/>
        <v>1</v>
      </c>
      <c r="AE45">
        <f t="shared" si="142"/>
        <v>1</v>
      </c>
      <c r="AF45">
        <f t="shared" ref="AF45:AK45" si="143">ROUNDUP(AVERAGE(AF46:AF48), 0)</f>
        <v>1</v>
      </c>
      <c r="AG45">
        <f t="shared" si="143"/>
        <v>1</v>
      </c>
      <c r="AH45">
        <f t="shared" si="143"/>
        <v>1</v>
      </c>
      <c r="AI45">
        <f t="shared" si="143"/>
        <v>1</v>
      </c>
      <c r="AJ45">
        <f t="shared" si="143"/>
        <v>1</v>
      </c>
      <c r="AK45" s="286">
        <f t="shared" si="143"/>
        <v>1</v>
      </c>
      <c r="AL45" s="58"/>
      <c r="AM45" s="289"/>
      <c r="AN45" s="58"/>
      <c r="AO45" s="58"/>
      <c r="AP45" s="58"/>
      <c r="AQ45" s="58"/>
      <c r="AR45" s="58"/>
      <c r="AS45" s="58"/>
      <c r="AT45" s="58"/>
      <c r="AU45" s="58"/>
      <c r="AV45" s="58"/>
      <c r="AW45" s="58"/>
      <c r="AX45" s="58"/>
      <c r="AY45" s="289"/>
      <c r="AZ45" s="58"/>
      <c r="BA45" s="58"/>
      <c r="BB45" s="58"/>
      <c r="BC45" s="58"/>
      <c r="BD45" s="58"/>
      <c r="BE45" s="58"/>
      <c r="BF45" s="58"/>
      <c r="BG45" s="58"/>
      <c r="BH45" s="58"/>
      <c r="BI45" s="58"/>
      <c r="BJ45" s="58"/>
      <c r="BK45" s="289"/>
      <c r="BL45" s="58"/>
      <c r="BM45" s="58"/>
      <c r="BN45" s="58"/>
      <c r="BO45" s="58"/>
      <c r="BP45" s="58"/>
      <c r="BQ45" s="58"/>
      <c r="BR45" s="58"/>
      <c r="BS45" s="58"/>
      <c r="BT45" s="58"/>
      <c r="BU45" s="58"/>
      <c r="BV45" s="58"/>
      <c r="BW45" s="289"/>
      <c r="BX45" s="58"/>
      <c r="BY45" s="58"/>
      <c r="BZ45" s="58"/>
      <c r="CA45" s="58"/>
      <c r="CB45" s="58"/>
      <c r="CC45" s="58"/>
      <c r="CD45" s="58"/>
      <c r="CE45" s="58"/>
      <c r="CF45" s="58"/>
      <c r="CG45" s="58"/>
      <c r="CH45" s="58"/>
      <c r="CI45" s="289"/>
      <c r="CJ45" s="58"/>
      <c r="CK45" s="58"/>
      <c r="CL45" s="58"/>
      <c r="CM45" s="58"/>
      <c r="CN45" s="58"/>
      <c r="CO45" s="58"/>
      <c r="CP45" s="58"/>
      <c r="CQ45" s="58"/>
      <c r="CR45" s="58"/>
      <c r="CS45" s="58"/>
      <c r="CT45" s="58"/>
      <c r="CU45" s="289"/>
      <c r="CV45" s="58"/>
      <c r="CW45" s="58"/>
      <c r="CX45" s="58"/>
      <c r="CY45" s="58"/>
      <c r="CZ45" s="58"/>
      <c r="DA45" s="58"/>
      <c r="DB45" s="58"/>
      <c r="DC45" s="58"/>
      <c r="DD45" s="58"/>
      <c r="DE45" s="58"/>
      <c r="DF45" s="58"/>
      <c r="DG45" s="58"/>
    </row>
    <row r="46" spans="1:111" hidden="1" x14ac:dyDescent="0.3">
      <c r="B46" s="1"/>
      <c r="C46" s="1"/>
      <c r="D46" s="58"/>
      <c r="E46" t="s">
        <v>189</v>
      </c>
      <c r="F46">
        <f>ROUNDUP(AVERAGEIFS($E$11:$DG$11, $H$2:$DJ$2,$E$46, $H$1:$DJ$1, F44), 0)</f>
        <v>12</v>
      </c>
      <c r="G46">
        <f>ROUNDUP(AVERAGEIFS($E$11:$DG$11, $H$2:$DJ$2,$E$46, $H$1:$DJ$1, G44), 0)</f>
        <v>50</v>
      </c>
      <c r="H46" s="218">
        <v>70</v>
      </c>
      <c r="I46" s="218">
        <f t="shared" ref="I46:N46" si="144">+H46+15</f>
        <v>85</v>
      </c>
      <c r="J46" s="218">
        <f t="shared" si="144"/>
        <v>100</v>
      </c>
      <c r="K46" s="218">
        <f t="shared" si="144"/>
        <v>115</v>
      </c>
      <c r="L46" s="218">
        <f t="shared" si="144"/>
        <v>130</v>
      </c>
      <c r="M46" s="218">
        <f t="shared" si="144"/>
        <v>145</v>
      </c>
      <c r="N46" s="218">
        <f t="shared" si="144"/>
        <v>160</v>
      </c>
      <c r="O46" s="58"/>
      <c r="P46" t="s">
        <v>189</v>
      </c>
      <c r="Q46" s="189">
        <f t="shared" ref="Q46:AF46" si="145">AVERAGEIFS($E$25:$DG$25, $H$2:$DJ$2,$E$46, $H$1:$DJ$1, Q44)</f>
        <v>4.3859649122807015E-3</v>
      </c>
      <c r="R46" s="189">
        <f t="shared" si="145"/>
        <v>0.10532123165918518</v>
      </c>
      <c r="S46" s="189">
        <f t="shared" si="145"/>
        <v>2.9958291398644206E-2</v>
      </c>
      <c r="T46" s="189">
        <f t="shared" si="145"/>
        <v>2.9958291398644206E-2</v>
      </c>
      <c r="U46" s="189">
        <f t="shared" si="145"/>
        <v>2.9958291398644206E-2</v>
      </c>
      <c r="V46" s="189">
        <f t="shared" si="145"/>
        <v>2.9958291398644206E-2</v>
      </c>
      <c r="W46" s="189">
        <f t="shared" si="145"/>
        <v>2.9958291398644206E-2</v>
      </c>
      <c r="X46" s="189">
        <f t="shared" si="145"/>
        <v>2.9958291398644206E-2</v>
      </c>
      <c r="Y46" s="189">
        <f t="shared" si="145"/>
        <v>2.9958291398644206E-2</v>
      </c>
      <c r="Z46" s="189">
        <f t="shared" si="145"/>
        <v>2.9958291398644206E-2</v>
      </c>
      <c r="AA46" s="189">
        <f t="shared" si="145"/>
        <v>2.9958291398644206E-2</v>
      </c>
      <c r="AB46" s="189">
        <f t="shared" si="145"/>
        <v>2.9958291398644206E-2</v>
      </c>
      <c r="AC46" s="189">
        <f t="shared" si="145"/>
        <v>2.9958291398644206E-2</v>
      </c>
      <c r="AD46" s="189">
        <f t="shared" si="145"/>
        <v>2.9958291398644206E-2</v>
      </c>
      <c r="AE46" s="189">
        <f t="shared" si="145"/>
        <v>2.9958291398644206E-2</v>
      </c>
      <c r="AF46" s="189">
        <f t="shared" si="145"/>
        <v>2.9958291398644206E-2</v>
      </c>
      <c r="AG46" s="189">
        <f>AVERAGEIFS($E$25:$DG$25, $H$2:$DJ$2,$E$46, $H$1:$DJ$1, AG44)</f>
        <v>2.9958291398644206E-2</v>
      </c>
      <c r="AH46" s="189">
        <f>AVERAGEIFS($E$25:$DG$25, $H$2:$DJ$2,$E$46, $H$1:$DJ$1, AH44)</f>
        <v>2.9958291398644206E-2</v>
      </c>
      <c r="AI46" s="189">
        <f>AVERAGEIFS($E$25:$DG$25, $H$2:$DJ$2,$E$46, $H$1:$DJ$1, AI44)</f>
        <v>2.9958291398644206E-2</v>
      </c>
      <c r="AJ46" s="189">
        <f>AVERAGEIFS($E$25:$DG$25, $H$2:$DJ$2,$E$46, $H$1:$DJ$1, AJ44)</f>
        <v>2.9958291398644206E-2</v>
      </c>
      <c r="AK46" s="625">
        <f>AVERAGEIFS($E$25:$DG$25, $H$2:$DJ$2,$E$46, $H$1:$DJ$1, AK44)</f>
        <v>2.9958291398644206E-2</v>
      </c>
      <c r="AL46" s="58"/>
      <c r="AM46" s="289"/>
      <c r="AN46" s="58"/>
      <c r="AO46" s="58"/>
      <c r="AP46" s="58"/>
      <c r="AQ46" s="58"/>
      <c r="AR46" s="58"/>
      <c r="AS46" s="58"/>
      <c r="AT46" s="58"/>
      <c r="AU46" s="58"/>
      <c r="AV46" s="58"/>
      <c r="AW46" s="58"/>
      <c r="AX46" s="58"/>
      <c r="AY46" s="289"/>
      <c r="AZ46" s="58"/>
      <c r="BA46" s="58"/>
      <c r="BB46" s="58"/>
      <c r="BC46" s="58"/>
      <c r="BD46" s="58"/>
      <c r="BE46" s="58"/>
      <c r="BF46" s="58"/>
      <c r="BG46" s="58"/>
      <c r="BH46" s="58"/>
      <c r="BI46" s="58"/>
      <c r="BJ46" s="58"/>
      <c r="BK46" s="289"/>
      <c r="BL46" s="58"/>
      <c r="BM46" s="58"/>
      <c r="BN46" s="58"/>
      <c r="BO46" s="58"/>
      <c r="BP46" s="58"/>
      <c r="BQ46" s="58"/>
      <c r="BR46" s="58"/>
      <c r="BS46" s="58"/>
      <c r="BT46" s="58"/>
      <c r="BU46" s="58"/>
      <c r="BV46" s="58"/>
      <c r="BW46" s="289"/>
      <c r="BX46" s="58"/>
      <c r="BY46" s="58"/>
      <c r="BZ46" s="58"/>
      <c r="CA46" s="58"/>
      <c r="CB46" s="58"/>
      <c r="CC46" s="58"/>
      <c r="CD46" s="58"/>
      <c r="CE46" s="58"/>
      <c r="CF46" s="58"/>
      <c r="CG46" s="58"/>
      <c r="CH46" s="58"/>
      <c r="CI46" s="289"/>
      <c r="CJ46" s="58"/>
      <c r="CK46" s="58"/>
      <c r="CL46" s="58"/>
      <c r="CM46" s="58"/>
      <c r="CN46" s="58"/>
      <c r="CO46" s="58"/>
      <c r="CP46" s="58"/>
      <c r="CQ46" s="58"/>
      <c r="CR46" s="58"/>
      <c r="CS46" s="58"/>
      <c r="CT46" s="58"/>
      <c r="CU46" s="289"/>
      <c r="CV46" s="58"/>
      <c r="CW46" s="58"/>
      <c r="CX46" s="58"/>
      <c r="CY46" s="58"/>
      <c r="CZ46" s="58"/>
      <c r="DA46" s="58"/>
      <c r="DB46" s="58"/>
      <c r="DC46" s="58"/>
      <c r="DD46" s="58"/>
      <c r="DE46" s="58"/>
      <c r="DF46" s="58"/>
      <c r="DG46" s="58"/>
    </row>
    <row r="47" spans="1:111" hidden="1" x14ac:dyDescent="0.3">
      <c r="B47" s="1"/>
      <c r="C47" s="1"/>
      <c r="D47" s="58"/>
      <c r="E47" t="s">
        <v>191</v>
      </c>
      <c r="F47">
        <f>ROUNDUP(AVERAGEIFS($E$11:$DG$11, $H$2:$DJ$2,$E$47, $H$1:$DJ$1, F44), 0)</f>
        <v>10</v>
      </c>
      <c r="G47">
        <f>ROUNDUP(AVERAGEIFS($E$11:$DG$11, $H$2:$DJ$2,$E$47, $H$1:$DJ$1, G44), 0)</f>
        <v>55</v>
      </c>
      <c r="H47" s="218">
        <v>45</v>
      </c>
      <c r="I47" s="218">
        <f t="shared" ref="I47:N47" si="146">+H47+10</f>
        <v>55</v>
      </c>
      <c r="J47" s="218">
        <f t="shared" si="146"/>
        <v>65</v>
      </c>
      <c r="K47" s="218">
        <f t="shared" si="146"/>
        <v>75</v>
      </c>
      <c r="L47" s="218">
        <f t="shared" si="146"/>
        <v>85</v>
      </c>
      <c r="M47" s="218">
        <f t="shared" si="146"/>
        <v>95</v>
      </c>
      <c r="N47" s="218">
        <f t="shared" si="146"/>
        <v>105</v>
      </c>
      <c r="O47" s="58"/>
      <c r="P47" t="s">
        <v>191</v>
      </c>
      <c r="Q47" s="189">
        <f t="shared" ref="Q47:AF47" si="147">+AVERAGEIFS($E$25:$DG$25, $H$2:$DJ$2,$E$47, $H$1:$DJ$1, Q44)</f>
        <v>2.5749014040939506E-2</v>
      </c>
      <c r="R47" s="189">
        <f t="shared" si="147"/>
        <v>0.10712702819575362</v>
      </c>
      <c r="S47" s="189">
        <f t="shared" si="147"/>
        <v>2.8959775329987641E-2</v>
      </c>
      <c r="T47" s="189">
        <f t="shared" si="147"/>
        <v>2.8959775329987641E-2</v>
      </c>
      <c r="U47" s="189">
        <f t="shared" si="147"/>
        <v>2.8959775329987641E-2</v>
      </c>
      <c r="V47" s="189">
        <f t="shared" si="147"/>
        <v>2.8959775329987641E-2</v>
      </c>
      <c r="W47" s="189">
        <f t="shared" si="147"/>
        <v>2.8959775329987641E-2</v>
      </c>
      <c r="X47" s="189">
        <f t="shared" si="147"/>
        <v>2.8959775329987641E-2</v>
      </c>
      <c r="Y47" s="189">
        <f t="shared" si="147"/>
        <v>2.8959775329987641E-2</v>
      </c>
      <c r="Z47" s="189">
        <f t="shared" si="147"/>
        <v>2.8959775329987641E-2</v>
      </c>
      <c r="AA47" s="189">
        <f t="shared" si="147"/>
        <v>2.8959775329987641E-2</v>
      </c>
      <c r="AB47" s="189">
        <f t="shared" si="147"/>
        <v>2.8959775329987641E-2</v>
      </c>
      <c r="AC47" s="189">
        <f t="shared" si="147"/>
        <v>2.8959775329987641E-2</v>
      </c>
      <c r="AD47" s="189">
        <f t="shared" si="147"/>
        <v>2.8959775329987641E-2</v>
      </c>
      <c r="AE47" s="189">
        <f t="shared" si="147"/>
        <v>2.8959775329987641E-2</v>
      </c>
      <c r="AF47" s="189">
        <f t="shared" si="147"/>
        <v>2.8959775329987641E-2</v>
      </c>
      <c r="AG47" s="189">
        <f>+AVERAGEIFS($E$25:$DG$25, $H$2:$DJ$2,$E$47, $H$1:$DJ$1, AG44)</f>
        <v>2.8959775329987641E-2</v>
      </c>
      <c r="AH47" s="189">
        <f>+AVERAGEIFS($E$25:$DG$25, $H$2:$DJ$2,$E$47, $H$1:$DJ$1, AH44)</f>
        <v>2.8959775329987641E-2</v>
      </c>
      <c r="AI47" s="189">
        <f>+AVERAGEIFS($E$25:$DG$25, $H$2:$DJ$2,$E$47, $H$1:$DJ$1, AI44)</f>
        <v>2.8959775329987641E-2</v>
      </c>
      <c r="AJ47" s="189">
        <f>+AVERAGEIFS($E$25:$DG$25, $H$2:$DJ$2,$E$47, $H$1:$DJ$1, AJ44)</f>
        <v>2.8959775329987641E-2</v>
      </c>
      <c r="AK47" s="625">
        <f>+AVERAGEIFS($E$25:$DG$25, $H$2:$DJ$2,$E$47, $H$1:$DJ$1, AK44)</f>
        <v>2.8959775329987641E-2</v>
      </c>
      <c r="AL47" s="58"/>
      <c r="AM47" s="289"/>
      <c r="AN47" s="58"/>
      <c r="AO47" s="58"/>
      <c r="AP47" s="58"/>
      <c r="AQ47" s="58"/>
      <c r="AR47" s="58"/>
      <c r="AS47" s="58"/>
      <c r="AT47" s="58"/>
      <c r="AU47" s="58"/>
      <c r="AV47" s="58"/>
      <c r="AW47" s="58"/>
      <c r="AX47" s="58"/>
      <c r="AY47" s="289"/>
      <c r="AZ47" s="58"/>
      <c r="BA47" s="58"/>
      <c r="BB47" s="58"/>
      <c r="BC47" s="58"/>
      <c r="BD47" s="58"/>
      <c r="BE47" s="58"/>
      <c r="BF47" s="58"/>
      <c r="BG47" s="58"/>
      <c r="BH47" s="58"/>
      <c r="BI47" s="58"/>
      <c r="BJ47" s="58"/>
      <c r="BK47" s="289"/>
      <c r="BL47" s="58"/>
      <c r="BM47" s="58"/>
      <c r="BN47" s="58"/>
      <c r="BO47" s="58"/>
      <c r="BP47" s="58"/>
      <c r="BQ47" s="58"/>
      <c r="BR47" s="58"/>
      <c r="BS47" s="58"/>
      <c r="BT47" s="58"/>
      <c r="BU47" s="58"/>
      <c r="BV47" s="58"/>
      <c r="BW47" s="289"/>
      <c r="BX47" s="58"/>
      <c r="BY47" s="58"/>
      <c r="BZ47" s="58"/>
      <c r="CA47" s="58"/>
      <c r="CB47" s="58"/>
      <c r="CC47" s="58"/>
      <c r="CD47" s="58"/>
      <c r="CE47" s="58"/>
      <c r="CF47" s="58"/>
      <c r="CG47" s="58"/>
      <c r="CH47" s="58"/>
      <c r="CI47" s="289"/>
      <c r="CJ47" s="58"/>
      <c r="CK47" s="58"/>
      <c r="CL47" s="58"/>
      <c r="CM47" s="58"/>
      <c r="CN47" s="58"/>
      <c r="CO47" s="58"/>
      <c r="CP47" s="58"/>
      <c r="CQ47" s="58"/>
      <c r="CR47" s="58"/>
      <c r="CS47" s="58"/>
      <c r="CT47" s="58"/>
      <c r="CU47" s="289"/>
      <c r="CV47" s="58"/>
      <c r="CW47" s="58"/>
      <c r="CX47" s="58"/>
      <c r="CY47" s="58"/>
      <c r="CZ47" s="58"/>
      <c r="DA47" s="58"/>
      <c r="DB47" s="58"/>
      <c r="DC47" s="58"/>
      <c r="DD47" s="58"/>
      <c r="DE47" s="58"/>
      <c r="DF47" s="58"/>
      <c r="DG47" s="58"/>
    </row>
    <row r="48" spans="1:111" hidden="1" x14ac:dyDescent="0.3">
      <c r="B48" s="1"/>
      <c r="C48" s="1"/>
      <c r="D48" s="58"/>
      <c r="E48" t="s">
        <v>190</v>
      </c>
      <c r="F48">
        <f>ROUNDUP(AVERAGEIFS($E$11:$DG$11, $H$2:$DJ$2,$E$48, $H$1:$DJ$1, F44), 0)</f>
        <v>8</v>
      </c>
      <c r="G48">
        <f>ROUNDUP(AVERAGEIFS($E$11:$DG$11, $H$2:$DJ$2,$E$48, $H$1:$DJ$1, G44), 0)</f>
        <v>11</v>
      </c>
      <c r="H48" s="218">
        <v>20</v>
      </c>
      <c r="I48" s="218">
        <f t="shared" ref="I48:N48" si="148">+H48+5</f>
        <v>25</v>
      </c>
      <c r="J48" s="218">
        <f t="shared" si="148"/>
        <v>30</v>
      </c>
      <c r="K48" s="218">
        <f t="shared" si="148"/>
        <v>35</v>
      </c>
      <c r="L48" s="218">
        <f t="shared" si="148"/>
        <v>40</v>
      </c>
      <c r="M48" s="218">
        <f t="shared" si="148"/>
        <v>45</v>
      </c>
      <c r="N48" s="218">
        <f t="shared" si="148"/>
        <v>50</v>
      </c>
      <c r="O48" s="58"/>
      <c r="P48" t="s">
        <v>190</v>
      </c>
      <c r="Q48" s="189">
        <f t="shared" ref="Q48:AF48" si="149">AVERAGEIFS($E$25:$DG$25, $H$2:$DJ$2,$E$48, $H$1:$DJ$1, Q44)</f>
        <v>3.4989648033126292E-2</v>
      </c>
      <c r="R48" s="189">
        <f t="shared" si="149"/>
        <v>0.10816311612364243</v>
      </c>
      <c r="S48" s="189">
        <f t="shared" si="149"/>
        <v>2.9000171168403293E-2</v>
      </c>
      <c r="T48" s="189">
        <f t="shared" si="149"/>
        <v>2.6636636171143396E-2</v>
      </c>
      <c r="U48" s="189">
        <f t="shared" si="149"/>
        <v>2.6636636171143396E-2</v>
      </c>
      <c r="V48" s="189">
        <f t="shared" si="149"/>
        <v>2.6636636171143396E-2</v>
      </c>
      <c r="W48" s="189">
        <f t="shared" si="149"/>
        <v>2.6636636171143396E-2</v>
      </c>
      <c r="X48" s="189">
        <f t="shared" si="149"/>
        <v>2.6636636171143396E-2</v>
      </c>
      <c r="Y48" s="189">
        <f t="shared" si="149"/>
        <v>2.6636636171143396E-2</v>
      </c>
      <c r="Z48" s="189">
        <f t="shared" si="149"/>
        <v>2.6636636171143396E-2</v>
      </c>
      <c r="AA48" s="189">
        <f t="shared" si="149"/>
        <v>2.6636636171143396E-2</v>
      </c>
      <c r="AB48" s="189">
        <f t="shared" si="149"/>
        <v>2.6636636171143396E-2</v>
      </c>
      <c r="AC48" s="189">
        <f t="shared" si="149"/>
        <v>2.6636636171143396E-2</v>
      </c>
      <c r="AD48" s="189">
        <f t="shared" si="149"/>
        <v>2.6636636171143396E-2</v>
      </c>
      <c r="AE48" s="189">
        <f t="shared" si="149"/>
        <v>2.6636636171143396E-2</v>
      </c>
      <c r="AF48" s="189">
        <f t="shared" si="149"/>
        <v>2.6636636171143396E-2</v>
      </c>
      <c r="AG48" s="189">
        <f>AVERAGEIFS($E$25:$DG$25, $H$2:$DJ$2,$E$48, $H$1:$DJ$1, AG44)</f>
        <v>2.6636636171143396E-2</v>
      </c>
      <c r="AH48" s="189">
        <f>AVERAGEIFS($E$25:$DG$25, $H$2:$DJ$2,$E$48, $H$1:$DJ$1, AH44)</f>
        <v>2.6636636171143396E-2</v>
      </c>
      <c r="AI48" s="189">
        <f>AVERAGEIFS($E$25:$DG$25, $H$2:$DJ$2,$E$48, $H$1:$DJ$1, AI44)</f>
        <v>2.6636636171143396E-2</v>
      </c>
      <c r="AJ48" s="189">
        <f>AVERAGEIFS($E$25:$DG$25, $H$2:$DJ$2,$E$48, $H$1:$DJ$1, AJ44)</f>
        <v>2.6636636171143396E-2</v>
      </c>
      <c r="AK48" s="625">
        <f>AVERAGEIFS($E$25:$DG$25, $H$2:$DJ$2,$E$48, $H$1:$DJ$1, AK44)</f>
        <v>2.6636636171143396E-2</v>
      </c>
      <c r="AL48" s="58"/>
      <c r="AM48" s="289"/>
      <c r="AN48" s="58"/>
      <c r="AO48" s="58"/>
      <c r="AP48" s="58"/>
      <c r="AQ48" s="58"/>
      <c r="AR48" s="58"/>
      <c r="AS48" s="58"/>
      <c r="AT48" s="58"/>
      <c r="AU48" s="58"/>
      <c r="AV48" s="58"/>
      <c r="AW48" s="58"/>
      <c r="AX48" s="58"/>
      <c r="AY48" s="289"/>
      <c r="AZ48" s="58"/>
      <c r="BA48" s="58"/>
      <c r="BB48" s="58"/>
      <c r="BC48" s="58"/>
      <c r="BD48" s="58"/>
      <c r="BE48" s="58"/>
      <c r="BF48" s="58"/>
      <c r="BG48" s="58"/>
      <c r="BH48" s="58"/>
      <c r="BI48" s="58"/>
      <c r="BJ48" s="58"/>
      <c r="BK48" s="289"/>
      <c r="BL48" s="58"/>
      <c r="BM48" s="58"/>
      <c r="BN48" s="58"/>
      <c r="BO48" s="58"/>
      <c r="BP48" s="58"/>
      <c r="BQ48" s="58"/>
      <c r="BR48" s="58"/>
      <c r="BS48" s="58"/>
      <c r="BT48" s="58"/>
      <c r="BU48" s="58"/>
      <c r="BV48" s="58"/>
      <c r="BW48" s="289"/>
      <c r="BX48" s="58"/>
      <c r="BY48" s="58"/>
      <c r="BZ48" s="58"/>
      <c r="CA48" s="58"/>
      <c r="CB48" s="58"/>
      <c r="CC48" s="58"/>
      <c r="CD48" s="58"/>
      <c r="CE48" s="58"/>
      <c r="CF48" s="58"/>
      <c r="CG48" s="58"/>
      <c r="CH48" s="58"/>
      <c r="CI48" s="289"/>
      <c r="CJ48" s="58"/>
      <c r="CK48" s="58"/>
      <c r="CL48" s="58"/>
      <c r="CM48" s="58"/>
      <c r="CN48" s="58"/>
      <c r="CO48" s="58"/>
      <c r="CP48" s="58"/>
      <c r="CQ48" s="58"/>
      <c r="CR48" s="58"/>
      <c r="CS48" s="58"/>
      <c r="CT48" s="58"/>
      <c r="CU48" s="289"/>
      <c r="CV48" s="58"/>
      <c r="CW48" s="58"/>
      <c r="CX48" s="58"/>
      <c r="CY48" s="58"/>
      <c r="CZ48" s="58"/>
      <c r="DA48" s="58"/>
      <c r="DB48" s="58"/>
      <c r="DC48" s="58"/>
      <c r="DD48" s="58"/>
      <c r="DE48" s="58"/>
      <c r="DF48" s="58"/>
      <c r="DG48" s="58"/>
    </row>
    <row r="49" spans="1:111" hidden="1" x14ac:dyDescent="0.3">
      <c r="B49" s="1"/>
      <c r="C49" s="1"/>
      <c r="D49" s="58"/>
      <c r="E49" t="s">
        <v>190</v>
      </c>
      <c r="F49" s="132">
        <f>F48/F45-1</f>
        <v>-0.19999999999999996</v>
      </c>
      <c r="G49" s="132">
        <f t="shared" ref="G49:N49" si="150">G48/G45-1</f>
        <v>-0.71794871794871795</v>
      </c>
      <c r="H49" s="132">
        <f t="shared" si="150"/>
        <v>-0.55555555555555558</v>
      </c>
      <c r="I49" s="132">
        <f t="shared" si="150"/>
        <v>-0.54545454545454541</v>
      </c>
      <c r="J49" s="132">
        <f t="shared" si="150"/>
        <v>-0.53846153846153844</v>
      </c>
      <c r="K49" s="132">
        <f t="shared" si="150"/>
        <v>-0.53333333333333333</v>
      </c>
      <c r="L49" s="132">
        <f t="shared" si="150"/>
        <v>-0.52941176470588236</v>
      </c>
      <c r="M49" s="132">
        <f t="shared" si="150"/>
        <v>-0.52631578947368429</v>
      </c>
      <c r="N49" s="132">
        <f t="shared" si="150"/>
        <v>-0.52380952380952384</v>
      </c>
      <c r="O49" s="58"/>
      <c r="P49" t="s">
        <v>190</v>
      </c>
      <c r="Q49" s="188">
        <f>Q48/Q45-1</f>
        <v>-0.96501035196687368</v>
      </c>
      <c r="R49" s="188">
        <f t="shared" ref="R49:W49" si="151">R48/R45-1</f>
        <v>-0.89183688387635751</v>
      </c>
      <c r="S49" s="188">
        <f t="shared" si="151"/>
        <v>-0.97099982883159675</v>
      </c>
      <c r="T49" s="188">
        <f t="shared" si="151"/>
        <v>-0.97336336382885658</v>
      </c>
      <c r="U49" s="188">
        <f t="shared" si="151"/>
        <v>-0.97336336382885658</v>
      </c>
      <c r="V49" s="188">
        <f t="shared" si="151"/>
        <v>-0.97336336382885658</v>
      </c>
      <c r="W49" s="219">
        <f t="shared" si="151"/>
        <v>-0.97336336382885658</v>
      </c>
      <c r="X49" s="219">
        <f t="shared" ref="X49:AE49" si="152">X48/X45-1</f>
        <v>-0.97336336382885658</v>
      </c>
      <c r="Y49" s="219">
        <f t="shared" si="152"/>
        <v>-0.97336336382885658</v>
      </c>
      <c r="Z49" s="219">
        <f t="shared" si="152"/>
        <v>-0.97336336382885658</v>
      </c>
      <c r="AA49" s="219">
        <f t="shared" si="152"/>
        <v>-0.97336336382885658</v>
      </c>
      <c r="AB49" s="219">
        <f t="shared" si="152"/>
        <v>-0.97336336382885658</v>
      </c>
      <c r="AC49" s="219">
        <f t="shared" si="152"/>
        <v>-0.97336336382885658</v>
      </c>
      <c r="AD49" s="219">
        <f t="shared" si="152"/>
        <v>-0.97336336382885658</v>
      </c>
      <c r="AE49" s="219">
        <f t="shared" si="152"/>
        <v>-0.97336336382885658</v>
      </c>
      <c r="AF49" s="219">
        <f t="shared" ref="AF49:AK49" si="153">AF48/AF45-1</f>
        <v>-0.97336336382885658</v>
      </c>
      <c r="AG49" s="219">
        <f t="shared" si="153"/>
        <v>-0.97336336382885658</v>
      </c>
      <c r="AH49" s="219">
        <f t="shared" si="153"/>
        <v>-0.97336336382885658</v>
      </c>
      <c r="AI49" s="219">
        <f t="shared" si="153"/>
        <v>-0.97336336382885658</v>
      </c>
      <c r="AJ49" s="219">
        <f t="shared" si="153"/>
        <v>-0.97336336382885658</v>
      </c>
      <c r="AK49" s="626">
        <f t="shared" si="153"/>
        <v>-0.97336336382885658</v>
      </c>
      <c r="AL49" s="58"/>
      <c r="AM49" s="289"/>
      <c r="AN49" s="58"/>
      <c r="AO49" s="58"/>
      <c r="AP49" s="58"/>
      <c r="AQ49" s="58"/>
      <c r="AR49" s="58"/>
      <c r="AS49" s="58"/>
      <c r="AT49" s="58"/>
      <c r="AU49" s="58"/>
      <c r="AV49" s="58"/>
      <c r="AW49" s="58"/>
      <c r="AX49" s="58"/>
      <c r="AY49" s="289"/>
      <c r="AZ49" s="58"/>
      <c r="BA49" s="58"/>
      <c r="BB49" s="58"/>
      <c r="BC49" s="58"/>
      <c r="BD49" s="58"/>
      <c r="BE49" s="58"/>
      <c r="BF49" s="58"/>
      <c r="BG49" s="58"/>
      <c r="BH49" s="58"/>
      <c r="BI49" s="58"/>
      <c r="BJ49" s="58"/>
      <c r="BK49" s="289"/>
      <c r="BL49" s="58"/>
      <c r="BM49" s="58"/>
      <c r="BN49" s="58"/>
      <c r="BO49" s="58"/>
      <c r="BP49" s="58"/>
      <c r="BQ49" s="58"/>
      <c r="BR49" s="58"/>
      <c r="BS49" s="58"/>
      <c r="BT49" s="58"/>
      <c r="BU49" s="58"/>
      <c r="BV49" s="58"/>
      <c r="BW49" s="289"/>
      <c r="BX49" s="58"/>
      <c r="BY49" s="58"/>
      <c r="BZ49" s="58"/>
      <c r="CA49" s="58"/>
      <c r="CB49" s="58"/>
      <c r="CC49" s="58"/>
      <c r="CD49" s="58"/>
      <c r="CE49" s="58"/>
      <c r="CF49" s="58"/>
      <c r="CG49" s="58"/>
      <c r="CH49" s="58"/>
      <c r="CI49" s="289"/>
      <c r="CJ49" s="58"/>
      <c r="CK49" s="58"/>
      <c r="CL49" s="58"/>
      <c r="CM49" s="58"/>
      <c r="CN49" s="58"/>
      <c r="CO49" s="58"/>
      <c r="CP49" s="58"/>
      <c r="CQ49" s="58"/>
      <c r="CR49" s="58"/>
      <c r="CS49" s="58"/>
      <c r="CT49" s="58"/>
      <c r="CU49" s="289"/>
      <c r="CV49" s="58"/>
      <c r="CW49" s="58"/>
      <c r="CX49" s="58"/>
      <c r="CY49" s="58"/>
      <c r="CZ49" s="58"/>
      <c r="DA49" s="58"/>
      <c r="DB49" s="58"/>
      <c r="DC49" s="58"/>
      <c r="DD49" s="58"/>
      <c r="DE49" s="58"/>
      <c r="DF49" s="58"/>
      <c r="DG49" s="58"/>
    </row>
    <row r="50" spans="1:111" hidden="1" x14ac:dyDescent="0.3">
      <c r="B50" s="1"/>
      <c r="C50" s="1"/>
      <c r="D50" s="58"/>
      <c r="E50" t="s">
        <v>191</v>
      </c>
      <c r="F50" s="132">
        <f>F47/F45-1</f>
        <v>0</v>
      </c>
      <c r="G50" s="132">
        <f t="shared" ref="G50:N50" si="154">G47/G45-1</f>
        <v>0.41025641025641035</v>
      </c>
      <c r="H50" s="132">
        <f t="shared" si="154"/>
        <v>0</v>
      </c>
      <c r="I50" s="132">
        <f t="shared" si="154"/>
        <v>0</v>
      </c>
      <c r="J50" s="132">
        <f t="shared" si="154"/>
        <v>0</v>
      </c>
      <c r="K50" s="132">
        <f t="shared" si="154"/>
        <v>0</v>
      </c>
      <c r="L50" s="132">
        <f t="shared" si="154"/>
        <v>0</v>
      </c>
      <c r="M50" s="132">
        <f t="shared" si="154"/>
        <v>0</v>
      </c>
      <c r="N50" s="132">
        <f t="shared" si="154"/>
        <v>0</v>
      </c>
      <c r="O50" s="58"/>
      <c r="P50" t="s">
        <v>191</v>
      </c>
      <c r="Q50" s="188">
        <f>Q47/Q45-1</f>
        <v>-0.97425098595906046</v>
      </c>
      <c r="R50" s="188">
        <f t="shared" ref="R50:W50" si="155">R47/R45-1</f>
        <v>-0.89287297180424641</v>
      </c>
      <c r="S50" s="188">
        <f t="shared" si="155"/>
        <v>-0.97104022467001239</v>
      </c>
      <c r="T50" s="188">
        <f t="shared" si="155"/>
        <v>-0.97104022467001239</v>
      </c>
      <c r="U50" s="188">
        <f t="shared" si="155"/>
        <v>-0.97104022467001239</v>
      </c>
      <c r="V50" s="188">
        <f t="shared" si="155"/>
        <v>-0.97104022467001239</v>
      </c>
      <c r="W50" s="219">
        <f t="shared" si="155"/>
        <v>-0.97104022467001239</v>
      </c>
      <c r="X50" s="219">
        <f t="shared" ref="X50:AE50" si="156">X47/X45-1</f>
        <v>-0.97104022467001239</v>
      </c>
      <c r="Y50" s="219">
        <f t="shared" si="156"/>
        <v>-0.97104022467001239</v>
      </c>
      <c r="Z50" s="219">
        <f t="shared" si="156"/>
        <v>-0.97104022467001239</v>
      </c>
      <c r="AA50" s="219">
        <f t="shared" si="156"/>
        <v>-0.97104022467001239</v>
      </c>
      <c r="AB50" s="219">
        <f t="shared" si="156"/>
        <v>-0.97104022467001239</v>
      </c>
      <c r="AC50" s="219">
        <f t="shared" si="156"/>
        <v>-0.97104022467001239</v>
      </c>
      <c r="AD50" s="219">
        <f t="shared" si="156"/>
        <v>-0.97104022467001239</v>
      </c>
      <c r="AE50" s="219">
        <f t="shared" si="156"/>
        <v>-0.97104022467001239</v>
      </c>
      <c r="AF50" s="219">
        <f t="shared" ref="AF50:AK50" si="157">AF47/AF45-1</f>
        <v>-0.97104022467001239</v>
      </c>
      <c r="AG50" s="219">
        <f t="shared" si="157"/>
        <v>-0.97104022467001239</v>
      </c>
      <c r="AH50" s="219">
        <f t="shared" si="157"/>
        <v>-0.97104022467001239</v>
      </c>
      <c r="AI50" s="219">
        <f t="shared" si="157"/>
        <v>-0.97104022467001239</v>
      </c>
      <c r="AJ50" s="219">
        <f t="shared" si="157"/>
        <v>-0.97104022467001239</v>
      </c>
      <c r="AK50" s="626">
        <f t="shared" si="157"/>
        <v>-0.97104022467001239</v>
      </c>
      <c r="AL50" s="58"/>
      <c r="AM50" s="289"/>
      <c r="AN50" s="58"/>
      <c r="AO50" s="58"/>
      <c r="AP50" s="58"/>
      <c r="AQ50" s="58"/>
      <c r="AR50" s="58"/>
      <c r="AS50" s="58"/>
      <c r="AT50" s="58"/>
      <c r="AU50" s="58"/>
      <c r="AV50" s="58"/>
      <c r="AW50" s="58"/>
      <c r="AX50" s="58"/>
      <c r="AY50" s="289"/>
      <c r="AZ50" s="58"/>
      <c r="BA50" s="58"/>
      <c r="BB50" s="58"/>
      <c r="BC50" s="58"/>
      <c r="BD50" s="58"/>
      <c r="BE50" s="58"/>
      <c r="BF50" s="58"/>
      <c r="BG50" s="58"/>
      <c r="BH50" s="58"/>
      <c r="BI50" s="58"/>
      <c r="BJ50" s="58"/>
      <c r="BK50" s="289"/>
      <c r="BL50" s="58"/>
      <c r="BM50" s="58"/>
      <c r="BN50" s="58"/>
      <c r="BO50" s="58"/>
      <c r="BP50" s="58"/>
      <c r="BQ50" s="58"/>
      <c r="BR50" s="58"/>
      <c r="BS50" s="58"/>
      <c r="BT50" s="58"/>
      <c r="BU50" s="58"/>
      <c r="BV50" s="58"/>
      <c r="BW50" s="289"/>
      <c r="BX50" s="58"/>
      <c r="BY50" s="58"/>
      <c r="BZ50" s="58"/>
      <c r="CA50" s="58"/>
      <c r="CB50" s="58"/>
      <c r="CC50" s="58"/>
      <c r="CD50" s="58"/>
      <c r="CE50" s="58"/>
      <c r="CF50" s="58"/>
      <c r="CG50" s="58"/>
      <c r="CH50" s="58"/>
      <c r="CI50" s="289"/>
      <c r="CJ50" s="58"/>
      <c r="CK50" s="58"/>
      <c r="CL50" s="58"/>
      <c r="CM50" s="58"/>
      <c r="CN50" s="58"/>
      <c r="CO50" s="58"/>
      <c r="CP50" s="58"/>
      <c r="CQ50" s="58"/>
      <c r="CR50" s="58"/>
      <c r="CS50" s="58"/>
      <c r="CT50" s="58"/>
      <c r="CU50" s="289"/>
      <c r="CV50" s="58"/>
      <c r="CW50" s="58"/>
      <c r="CX50" s="58"/>
      <c r="CY50" s="58"/>
      <c r="CZ50" s="58"/>
      <c r="DA50" s="58"/>
      <c r="DB50" s="58"/>
      <c r="DC50" s="58"/>
      <c r="DD50" s="58"/>
      <c r="DE50" s="58"/>
      <c r="DF50" s="58"/>
      <c r="DG50" s="58"/>
    </row>
    <row r="51" spans="1:111" hidden="1" x14ac:dyDescent="0.3">
      <c r="B51" s="1"/>
      <c r="C51" s="1"/>
      <c r="D51" s="58"/>
      <c r="E51" s="58"/>
      <c r="F51" s="58"/>
      <c r="G51" s="58"/>
      <c r="H51" s="58"/>
      <c r="I51" s="58"/>
      <c r="J51" s="58"/>
      <c r="K51" s="58"/>
      <c r="L51" s="58"/>
      <c r="M51" s="58"/>
      <c r="N51" s="58"/>
      <c r="O51" s="58"/>
      <c r="P51" s="58"/>
      <c r="Q51" s="58"/>
      <c r="R51" s="58"/>
      <c r="S51" s="58"/>
      <c r="T51" s="58"/>
      <c r="U51" s="58"/>
      <c r="V51" s="58"/>
      <c r="W51" s="58"/>
      <c r="X51" s="58"/>
      <c r="Y51" s="58"/>
      <c r="Z51" s="58"/>
      <c r="AA51" s="58"/>
      <c r="AB51" s="58"/>
      <c r="AC51" s="58"/>
      <c r="AD51" s="58"/>
      <c r="AE51" s="58"/>
      <c r="AF51" s="58"/>
      <c r="AG51" s="58"/>
      <c r="AH51" s="58"/>
      <c r="AI51" s="58"/>
      <c r="AJ51" s="58"/>
      <c r="AK51" s="289"/>
      <c r="AL51" s="58"/>
      <c r="AM51" s="289"/>
      <c r="AN51" s="58"/>
      <c r="AO51" s="58"/>
      <c r="AP51" s="58"/>
      <c r="AQ51" s="58"/>
      <c r="AR51" s="58"/>
      <c r="AS51" s="58"/>
      <c r="AT51" s="58"/>
      <c r="AU51" s="58"/>
      <c r="AV51" s="58"/>
      <c r="AW51" s="58"/>
      <c r="AX51" s="58"/>
      <c r="AY51" s="289"/>
      <c r="AZ51" s="58"/>
      <c r="BA51" s="58"/>
      <c r="BB51" s="58"/>
      <c r="BC51" s="58"/>
      <c r="BD51" s="58"/>
      <c r="BE51" s="58"/>
      <c r="BF51" s="58"/>
      <c r="BG51" s="58"/>
      <c r="BH51" s="58"/>
      <c r="BI51" s="58"/>
      <c r="BJ51" s="58"/>
      <c r="BK51" s="289"/>
      <c r="BL51" s="58"/>
      <c r="BM51" s="58"/>
      <c r="BN51" s="58"/>
      <c r="BO51" s="58"/>
      <c r="BP51" s="58"/>
      <c r="BQ51" s="58"/>
      <c r="BR51" s="58"/>
      <c r="BS51" s="58"/>
      <c r="BT51" s="58"/>
      <c r="BU51" s="58"/>
      <c r="BV51" s="58"/>
      <c r="BW51" s="289"/>
      <c r="BX51" s="58"/>
      <c r="BY51" s="58"/>
      <c r="BZ51" s="58"/>
      <c r="CA51" s="58"/>
      <c r="CB51" s="58"/>
      <c r="CC51" s="58"/>
      <c r="CD51" s="58"/>
      <c r="CE51" s="58"/>
      <c r="CF51" s="58"/>
      <c r="CG51" s="58"/>
      <c r="CH51" s="58"/>
      <c r="CI51" s="289"/>
      <c r="CJ51" s="58"/>
      <c r="CK51" s="58"/>
      <c r="CL51" s="58"/>
      <c r="CM51" s="58"/>
      <c r="CN51" s="58"/>
      <c r="CO51" s="58"/>
      <c r="CP51" s="58"/>
      <c r="CQ51" s="58"/>
      <c r="CR51" s="58"/>
      <c r="CS51" s="58"/>
      <c r="CT51" s="58"/>
      <c r="CU51" s="289"/>
      <c r="CV51" s="58"/>
      <c r="CW51" s="58"/>
      <c r="CX51" s="58"/>
      <c r="CY51" s="58"/>
      <c r="CZ51" s="58"/>
      <c r="DA51" s="58"/>
      <c r="DB51" s="58"/>
      <c r="DC51" s="58"/>
      <c r="DD51" s="58"/>
      <c r="DE51" s="58"/>
      <c r="DF51" s="58"/>
      <c r="DG51" s="58"/>
    </row>
    <row r="52" spans="1:111" hidden="1" x14ac:dyDescent="0.3">
      <c r="B52" s="1"/>
      <c r="C52" s="1"/>
      <c r="D52" s="58"/>
      <c r="E52" s="58"/>
      <c r="F52" s="58"/>
      <c r="G52" s="58"/>
      <c r="H52" s="58"/>
      <c r="I52" s="58"/>
      <c r="J52" s="58"/>
      <c r="K52" s="58"/>
      <c r="L52" s="58"/>
      <c r="M52" s="58"/>
      <c r="N52" s="58"/>
      <c r="O52" s="58"/>
      <c r="P52" s="58"/>
      <c r="Q52" s="58"/>
      <c r="R52" s="58"/>
      <c r="S52" s="58"/>
      <c r="T52" s="58"/>
      <c r="U52" s="58"/>
      <c r="V52" s="58"/>
      <c r="W52" s="58"/>
      <c r="X52" s="58"/>
      <c r="Y52" s="58"/>
      <c r="Z52" s="58"/>
      <c r="AA52" s="58"/>
      <c r="AB52" s="58"/>
      <c r="AC52" s="58"/>
      <c r="AD52" s="58"/>
      <c r="AE52" s="58"/>
      <c r="AF52" s="58"/>
      <c r="AG52" s="58"/>
      <c r="AH52" s="58"/>
      <c r="AI52" s="58"/>
      <c r="AJ52" s="58"/>
      <c r="AK52" s="289"/>
      <c r="AL52" s="58"/>
      <c r="AM52" s="289"/>
      <c r="AN52" s="58"/>
      <c r="AO52" s="58"/>
      <c r="AP52" s="58"/>
      <c r="AQ52" s="58"/>
      <c r="AR52" s="58"/>
      <c r="AS52" s="58"/>
      <c r="AT52" s="58"/>
      <c r="AU52" s="58"/>
      <c r="AV52" s="58"/>
      <c r="AW52" s="58"/>
      <c r="AX52" s="58"/>
      <c r="AY52" s="289"/>
      <c r="AZ52" s="58"/>
      <c r="BA52" s="58"/>
      <c r="BB52" s="58"/>
      <c r="BC52" s="58"/>
      <c r="BD52" s="58"/>
      <c r="BE52" s="58"/>
      <c r="BF52" s="58"/>
      <c r="BG52" s="58"/>
      <c r="BH52" s="58"/>
      <c r="BI52" s="58"/>
      <c r="BJ52" s="58"/>
      <c r="BK52" s="289"/>
      <c r="BL52" s="58"/>
      <c r="BM52" s="58"/>
      <c r="BN52" s="58"/>
      <c r="BO52" s="58"/>
      <c r="BP52" s="58"/>
      <c r="BQ52" s="58"/>
      <c r="BR52" s="58"/>
      <c r="BS52" s="58"/>
      <c r="BT52" s="58"/>
      <c r="BU52" s="58"/>
      <c r="BV52" s="58"/>
      <c r="BW52" s="289"/>
      <c r="BX52" s="58"/>
      <c r="BY52" s="58"/>
      <c r="BZ52" s="58"/>
      <c r="CA52" s="58"/>
      <c r="CB52" s="58"/>
      <c r="CC52" s="58"/>
      <c r="CD52" s="58"/>
      <c r="CE52" s="58"/>
      <c r="CF52" s="58"/>
      <c r="CG52" s="58"/>
      <c r="CH52" s="58"/>
      <c r="CI52" s="289"/>
      <c r="CJ52" s="58"/>
      <c r="CK52" s="58"/>
      <c r="CL52" s="58"/>
      <c r="CM52" s="58"/>
      <c r="CN52" s="58"/>
      <c r="CO52" s="58"/>
      <c r="CP52" s="58"/>
      <c r="CQ52" s="58"/>
      <c r="CR52" s="58"/>
      <c r="CS52" s="58"/>
      <c r="CT52" s="58"/>
      <c r="CU52" s="289"/>
      <c r="CV52" s="58"/>
      <c r="CW52" s="58"/>
      <c r="CX52" s="58"/>
      <c r="CY52" s="58"/>
      <c r="CZ52" s="58"/>
      <c r="DA52" s="58"/>
      <c r="DB52" s="58"/>
      <c r="DC52" s="58"/>
      <c r="DD52" s="58"/>
      <c r="DE52" s="58"/>
      <c r="DF52" s="58"/>
      <c r="DG52" s="58"/>
    </row>
    <row r="53" spans="1:111" s="116" customFormat="1" x14ac:dyDescent="0.3">
      <c r="A53"/>
      <c r="B53" s="1" t="s">
        <v>219</v>
      </c>
      <c r="C53" s="1"/>
      <c r="D53" s="58"/>
      <c r="E53" s="58"/>
      <c r="F53" s="58"/>
      <c r="G53" s="58"/>
      <c r="H53" s="58"/>
      <c r="I53" s="58"/>
      <c r="J53" s="58"/>
      <c r="K53" s="58"/>
      <c r="L53" s="58"/>
      <c r="M53" s="58"/>
      <c r="N53" s="58"/>
      <c r="O53" s="58"/>
      <c r="P53" s="58"/>
      <c r="Q53" s="58"/>
      <c r="R53" s="58"/>
      <c r="S53" s="58"/>
      <c r="T53" s="58"/>
      <c r="U53" s="58"/>
      <c r="AK53" s="287"/>
      <c r="AM53" s="287"/>
      <c r="AY53" s="287"/>
      <c r="BK53" s="287"/>
      <c r="BW53" s="287"/>
      <c r="CI53" s="287"/>
      <c r="CU53" s="287"/>
    </row>
    <row r="54" spans="1:111" s="116" customFormat="1" x14ac:dyDescent="0.3">
      <c r="A54"/>
      <c r="B54" s="1" t="s">
        <v>246</v>
      </c>
      <c r="C54" s="1"/>
      <c r="D54" s="58"/>
      <c r="E54" s="58"/>
      <c r="F54" s="58"/>
      <c r="G54" s="58"/>
      <c r="H54" s="58"/>
      <c r="I54" s="58"/>
      <c r="J54" s="58"/>
      <c r="K54" s="58"/>
      <c r="L54" s="58"/>
      <c r="M54" s="58"/>
      <c r="N54" s="58"/>
      <c r="O54" s="58"/>
      <c r="P54" s="58"/>
      <c r="Q54" s="58"/>
      <c r="R54" s="58"/>
      <c r="S54" s="58"/>
      <c r="T54" s="58"/>
      <c r="U54" s="58"/>
      <c r="W54" s="116">
        <v>31.79</v>
      </c>
      <c r="X54" s="116">
        <v>164.79</v>
      </c>
      <c r="Y54" s="116">
        <v>216.79</v>
      </c>
      <c r="Z54" s="116">
        <v>289.98</v>
      </c>
      <c r="AA54" s="116">
        <v>65.5</v>
      </c>
      <c r="AB54" s="116">
        <v>80.44</v>
      </c>
      <c r="AC54" s="116">
        <v>458.23</v>
      </c>
      <c r="AD54" s="116">
        <v>396.32</v>
      </c>
      <c r="AE54" s="116">
        <v>392.37</v>
      </c>
      <c r="AF54" s="116">
        <v>362.59</v>
      </c>
      <c r="AG54" s="116">
        <v>458.15</v>
      </c>
      <c r="AH54" s="116">
        <v>390.97</v>
      </c>
      <c r="AI54" s="116">
        <v>386.64</v>
      </c>
      <c r="AJ54" s="116">
        <v>306.56</v>
      </c>
      <c r="AK54" s="287">
        <v>298.52</v>
      </c>
      <c r="AL54" s="116">
        <f>+AL58*AL7</f>
        <v>322.09142858050069</v>
      </c>
      <c r="AM54" s="287">
        <f t="shared" ref="AM54:BL54" si="158">+AM58*AM7</f>
        <v>370.79789249218169</v>
      </c>
      <c r="AN54" s="116">
        <f t="shared" si="158"/>
        <v>310.09702660382897</v>
      </c>
      <c r="AO54" s="116">
        <f t="shared" si="158"/>
        <v>299.79257162008338</v>
      </c>
      <c r="AP54" s="116">
        <f t="shared" si="158"/>
        <v>359.77762966842022</v>
      </c>
      <c r="AQ54" s="116">
        <f t="shared" si="158"/>
        <v>287.17444181813568</v>
      </c>
      <c r="AR54" s="116">
        <f t="shared" si="158"/>
        <v>317.27689089784622</v>
      </c>
      <c r="AS54" s="116">
        <f t="shared" si="158"/>
        <v>404.95257451681852</v>
      </c>
      <c r="AT54" s="116">
        <f t="shared" si="158"/>
        <v>389.6516378354508</v>
      </c>
      <c r="AU54" s="116">
        <f t="shared" si="158"/>
        <v>455.49147675300037</v>
      </c>
      <c r="AV54" s="116">
        <f t="shared" si="158"/>
        <v>456.95318622671084</v>
      </c>
      <c r="AW54" s="116">
        <f t="shared" si="158"/>
        <v>420.31442072094563</v>
      </c>
      <c r="AX54" s="116">
        <f t="shared" si="158"/>
        <v>463.68984689820257</v>
      </c>
      <c r="AY54" s="287">
        <f t="shared" si="158"/>
        <v>563.08078769487099</v>
      </c>
      <c r="AZ54" s="116">
        <f t="shared" si="158"/>
        <v>408.01745269925453</v>
      </c>
      <c r="BA54" s="116">
        <f t="shared" si="158"/>
        <v>412.0785166268783</v>
      </c>
      <c r="BB54" s="116">
        <f t="shared" si="158"/>
        <v>506.56690257313562</v>
      </c>
      <c r="BC54" s="116">
        <f t="shared" si="158"/>
        <v>394.31259895797865</v>
      </c>
      <c r="BD54" s="116">
        <f t="shared" si="158"/>
        <v>401.40727959084074</v>
      </c>
      <c r="BE54" s="116">
        <f t="shared" si="158"/>
        <v>548.66135400998201</v>
      </c>
      <c r="BF54" s="116">
        <f t="shared" si="158"/>
        <v>523.52520303637368</v>
      </c>
      <c r="BG54" s="116">
        <f t="shared" si="158"/>
        <v>584.29673161782296</v>
      </c>
      <c r="BH54" s="116">
        <f t="shared" si="158"/>
        <v>588.84649225123871</v>
      </c>
      <c r="BI54" s="116">
        <f t="shared" si="158"/>
        <v>520.41829000376026</v>
      </c>
      <c r="BJ54" s="116">
        <f t="shared" si="158"/>
        <v>693.35782270928428</v>
      </c>
      <c r="BK54" s="287">
        <f t="shared" si="158"/>
        <v>791.79751358776286</v>
      </c>
      <c r="BL54" s="116">
        <f t="shared" si="158"/>
        <v>503.31663395908038</v>
      </c>
      <c r="BM54" s="116">
        <f t="shared" ref="BM54:CR54" si="159">+BM58*BM7</f>
        <v>534.84357470530244</v>
      </c>
      <c r="BN54" s="116">
        <f t="shared" si="159"/>
        <v>677.71312100640307</v>
      </c>
      <c r="BO54" s="116">
        <f t="shared" si="159"/>
        <v>508.40231049471743</v>
      </c>
      <c r="BP54" s="116">
        <f t="shared" si="159"/>
        <v>511.79428147832192</v>
      </c>
      <c r="BQ54" s="116">
        <f t="shared" si="159"/>
        <v>687.3205724367624</v>
      </c>
      <c r="BR54" s="116">
        <f t="shared" si="159"/>
        <v>624.24932119317759</v>
      </c>
      <c r="BS54" s="116">
        <f t="shared" si="159"/>
        <v>761.84172303991818</v>
      </c>
      <c r="BT54" s="116">
        <f t="shared" si="159"/>
        <v>735.33114433596052</v>
      </c>
      <c r="BU54" s="116">
        <f t="shared" si="159"/>
        <v>622.33946076746986</v>
      </c>
      <c r="BV54" s="116">
        <f t="shared" si="159"/>
        <v>906.43201514956058</v>
      </c>
      <c r="BW54" s="287">
        <f t="shared" si="159"/>
        <v>992.95254993445178</v>
      </c>
      <c r="BX54" s="116">
        <f t="shared" si="159"/>
        <v>632.65449013750765</v>
      </c>
      <c r="BY54" s="116">
        <f t="shared" si="159"/>
        <v>708.92313931514366</v>
      </c>
      <c r="BZ54" s="116">
        <f t="shared" si="159"/>
        <v>846.62008347261451</v>
      </c>
      <c r="CA54" s="116">
        <f t="shared" si="159"/>
        <v>578.28341196445956</v>
      </c>
      <c r="CB54" s="116">
        <f t="shared" si="159"/>
        <v>695.57495528190134</v>
      </c>
      <c r="CC54" s="116">
        <f t="shared" si="159"/>
        <v>841.46860953305713</v>
      </c>
      <c r="CD54" s="116">
        <f t="shared" si="159"/>
        <v>726.58227443276303</v>
      </c>
      <c r="CE54" s="116">
        <f t="shared" si="159"/>
        <v>967.05057033639036</v>
      </c>
      <c r="CF54" s="116">
        <f t="shared" si="159"/>
        <v>856.86086539104519</v>
      </c>
      <c r="CG54" s="116">
        <f t="shared" si="159"/>
        <v>795.38564895928801</v>
      </c>
      <c r="CH54" s="116">
        <f t="shared" si="159"/>
        <v>1102.6789465848537</v>
      </c>
      <c r="CI54" s="287">
        <f t="shared" si="159"/>
        <v>1103.6041966559612</v>
      </c>
      <c r="CJ54" s="116">
        <f t="shared" si="159"/>
        <v>847.3504918106778</v>
      </c>
      <c r="CK54" s="116">
        <f t="shared" si="159"/>
        <v>828.18123751769133</v>
      </c>
      <c r="CL54" s="116">
        <f t="shared" si="159"/>
        <v>985.90939593149926</v>
      </c>
      <c r="CM54" s="116">
        <f t="shared" si="159"/>
        <v>743.28307091592706</v>
      </c>
      <c r="CN54" s="116">
        <f t="shared" si="159"/>
        <v>842.71581120691917</v>
      </c>
      <c r="CO54" s="116">
        <f t="shared" si="159"/>
        <v>966.4366345107826</v>
      </c>
      <c r="CP54" s="116">
        <f t="shared" si="159"/>
        <v>910.24612713660042</v>
      </c>
      <c r="CQ54" s="116">
        <f t="shared" si="159"/>
        <v>1155.5573293991461</v>
      </c>
      <c r="CR54" s="116">
        <f t="shared" si="159"/>
        <v>976.71937929991168</v>
      </c>
      <c r="CS54" s="116">
        <f t="shared" ref="CS54:DG54" si="160">+CS58*CS7</f>
        <v>997.46128663852403</v>
      </c>
      <c r="CT54" s="116">
        <f t="shared" si="160"/>
        <v>1319.5186053546133</v>
      </c>
      <c r="CU54" s="287">
        <f t="shared" si="160"/>
        <v>1324.8090729155113</v>
      </c>
      <c r="CV54" s="116">
        <f t="shared" si="160"/>
        <v>1021.6417222813916</v>
      </c>
      <c r="CW54" s="116">
        <f t="shared" si="160"/>
        <v>998.28966370382489</v>
      </c>
      <c r="CX54" s="116">
        <f t="shared" si="160"/>
        <v>1127.7400759291809</v>
      </c>
      <c r="CY54" s="116">
        <f t="shared" si="160"/>
        <v>937.43373512931146</v>
      </c>
      <c r="CZ54" s="116">
        <f t="shared" si="160"/>
        <v>1009.771827899114</v>
      </c>
      <c r="DA54" s="116">
        <f t="shared" si="160"/>
        <v>1092.4935868382763</v>
      </c>
      <c r="DB54" s="116">
        <f t="shared" si="160"/>
        <v>1126.471629916869</v>
      </c>
      <c r="DC54" s="116">
        <f t="shared" si="160"/>
        <v>1307.0905413957948</v>
      </c>
      <c r="DD54" s="116">
        <f t="shared" si="160"/>
        <v>1214.6002766918068</v>
      </c>
      <c r="DE54" s="116">
        <f t="shared" si="160"/>
        <v>1183.5729657308341</v>
      </c>
      <c r="DF54" s="116">
        <f t="shared" si="160"/>
        <v>1491.0736646737789</v>
      </c>
      <c r="DG54" s="116">
        <f t="shared" si="160"/>
        <v>1643.6441976248454</v>
      </c>
    </row>
    <row r="55" spans="1:111" s="116" customFormat="1" x14ac:dyDescent="0.3">
      <c r="A55"/>
      <c r="B55" s="1" t="s">
        <v>247</v>
      </c>
      <c r="C55" s="1"/>
      <c r="D55" s="58"/>
      <c r="E55" s="58"/>
      <c r="F55" s="58"/>
      <c r="G55" s="58"/>
      <c r="H55" s="58"/>
      <c r="I55" s="58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Z55" s="116">
        <v>62.29</v>
      </c>
      <c r="AB55" s="116">
        <v>134.32</v>
      </c>
      <c r="AC55" s="116">
        <v>96.36</v>
      </c>
      <c r="AD55" s="116">
        <v>239.2</v>
      </c>
      <c r="AE55" s="116">
        <v>143.91999999999999</v>
      </c>
      <c r="AF55" s="116">
        <v>31.44</v>
      </c>
      <c r="AG55" s="116">
        <v>79.58</v>
      </c>
      <c r="AH55" s="116">
        <v>360.51</v>
      </c>
      <c r="AI55" s="116">
        <v>162.63</v>
      </c>
      <c r="AJ55" s="116">
        <v>136.44</v>
      </c>
      <c r="AK55" s="287">
        <v>345.16</v>
      </c>
      <c r="AL55" s="116">
        <f>+AL59*AL7</f>
        <v>207.10595175277763</v>
      </c>
      <c r="AM55" s="287">
        <f t="shared" ref="AM55:BL55" si="161">+AM59*AM7</f>
        <v>238.42438394266082</v>
      </c>
      <c r="AN55" s="116">
        <f t="shared" si="161"/>
        <v>199.39350796614289</v>
      </c>
      <c r="AO55" s="116">
        <f t="shared" si="161"/>
        <v>192.76770619890058</v>
      </c>
      <c r="AP55" s="116">
        <f t="shared" si="161"/>
        <v>231.33831514927644</v>
      </c>
      <c r="AQ55" s="116">
        <f t="shared" si="161"/>
        <v>184.65420316813203</v>
      </c>
      <c r="AR55" s="116">
        <f t="shared" si="161"/>
        <v>204.01018663599012</v>
      </c>
      <c r="AS55" s="116">
        <f t="shared" si="161"/>
        <v>260.38596782802017</v>
      </c>
      <c r="AT55" s="116">
        <f t="shared" si="161"/>
        <v>250.54741028530793</v>
      </c>
      <c r="AU55" s="116">
        <f t="shared" si="161"/>
        <v>292.88266447808024</v>
      </c>
      <c r="AV55" s="116">
        <f t="shared" si="161"/>
        <v>293.82254894837808</v>
      </c>
      <c r="AW55" s="116">
        <f t="shared" si="161"/>
        <v>270.26369041383055</v>
      </c>
      <c r="AX55" s="116">
        <f t="shared" si="161"/>
        <v>298.15424608839095</v>
      </c>
      <c r="AY55" s="287">
        <f t="shared" si="161"/>
        <v>362.06297995323297</v>
      </c>
      <c r="AZ55" s="116">
        <f t="shared" si="161"/>
        <v>262.35669556758523</v>
      </c>
      <c r="BA55" s="116">
        <f t="shared" si="161"/>
        <v>264.96797433885246</v>
      </c>
      <c r="BB55" s="116">
        <f t="shared" si="161"/>
        <v>325.72434773018125</v>
      </c>
      <c r="BC55" s="116">
        <f t="shared" si="161"/>
        <v>253.54442511931975</v>
      </c>
      <c r="BD55" s="116">
        <f t="shared" si="161"/>
        <v>258.10633038741872</v>
      </c>
      <c r="BE55" s="116">
        <f t="shared" si="161"/>
        <v>352.79123202064676</v>
      </c>
      <c r="BF55" s="116">
        <f t="shared" si="161"/>
        <v>336.62859616990858</v>
      </c>
      <c r="BG55" s="116">
        <f t="shared" si="161"/>
        <v>375.70490851327332</v>
      </c>
      <c r="BH55" s="116">
        <f t="shared" si="161"/>
        <v>378.6304210312054</v>
      </c>
      <c r="BI55" s="116">
        <f t="shared" si="161"/>
        <v>334.63083986987817</v>
      </c>
      <c r="BJ55" s="116">
        <f t="shared" si="161"/>
        <v>445.83158393968324</v>
      </c>
      <c r="BK55" s="287">
        <f t="shared" si="161"/>
        <v>509.12866067186047</v>
      </c>
      <c r="BL55" s="116">
        <f t="shared" si="161"/>
        <v>323.63441327358066</v>
      </c>
      <c r="BM55" s="116">
        <f t="shared" ref="BM55:CR55" si="162">+BM59*BM7</f>
        <v>343.90635002730227</v>
      </c>
      <c r="BN55" s="116">
        <f t="shared" si="162"/>
        <v>435.77198424669206</v>
      </c>
      <c r="BO55" s="116">
        <f t="shared" si="162"/>
        <v>326.90452165200537</v>
      </c>
      <c r="BP55" s="116">
        <f t="shared" si="162"/>
        <v>329.08557124395884</v>
      </c>
      <c r="BQ55" s="116">
        <f t="shared" si="162"/>
        <v>441.94961021200345</v>
      </c>
      <c r="BR55" s="116">
        <f t="shared" si="162"/>
        <v>401.39456789184902</v>
      </c>
      <c r="BS55" s="116">
        <f t="shared" si="162"/>
        <v>489.86697916962311</v>
      </c>
      <c r="BT55" s="116">
        <f t="shared" si="162"/>
        <v>472.82058132477079</v>
      </c>
      <c r="BU55" s="116">
        <f t="shared" si="162"/>
        <v>400.16652074100006</v>
      </c>
      <c r="BV55" s="116">
        <f t="shared" si="162"/>
        <v>582.83905915807065</v>
      </c>
      <c r="BW55" s="287">
        <f t="shared" si="162"/>
        <v>638.47207547817334</v>
      </c>
      <c r="BX55" s="116">
        <f t="shared" si="162"/>
        <v>406.79912187681578</v>
      </c>
      <c r="BY55" s="116">
        <f t="shared" si="162"/>
        <v>455.84013872860442</v>
      </c>
      <c r="BZ55" s="116">
        <f t="shared" si="162"/>
        <v>544.37977108971393</v>
      </c>
      <c r="CA55" s="116">
        <f t="shared" si="162"/>
        <v>371.83832226013357</v>
      </c>
      <c r="CB55" s="116">
        <f t="shared" si="162"/>
        <v>447.25720819065327</v>
      </c>
      <c r="CC55" s="116">
        <f t="shared" si="162"/>
        <v>541.06735474295283</v>
      </c>
      <c r="CD55" s="116">
        <f t="shared" si="162"/>
        <v>467.19502638203784</v>
      </c>
      <c r="CE55" s="116">
        <f t="shared" si="162"/>
        <v>621.81700905625894</v>
      </c>
      <c r="CF55" s="116">
        <f t="shared" si="162"/>
        <v>550.96463084601476</v>
      </c>
      <c r="CG55" s="116">
        <f t="shared" si="162"/>
        <v>511.43584467365946</v>
      </c>
      <c r="CH55" s="116">
        <f t="shared" si="162"/>
        <v>709.02654478161401</v>
      </c>
      <c r="CI55" s="287">
        <f t="shared" si="162"/>
        <v>709.62148391871108</v>
      </c>
      <c r="CJ55" s="116">
        <f t="shared" si="162"/>
        <v>544.84942628882743</v>
      </c>
      <c r="CK55" s="116">
        <f t="shared" si="162"/>
        <v>532.52352655210802</v>
      </c>
      <c r="CL55" s="116">
        <f t="shared" si="162"/>
        <v>633.94330201918547</v>
      </c>
      <c r="CM55" s="116">
        <f t="shared" si="162"/>
        <v>477.93369883264813</v>
      </c>
      <c r="CN55" s="116">
        <f t="shared" si="162"/>
        <v>541.86930992329155</v>
      </c>
      <c r="CO55" s="116">
        <f t="shared" si="162"/>
        <v>621.42224610327389</v>
      </c>
      <c r="CP55" s="116">
        <f t="shared" si="162"/>
        <v>585.29154693971964</v>
      </c>
      <c r="CQ55" s="116">
        <f t="shared" si="162"/>
        <v>743.02753589201427</v>
      </c>
      <c r="CR55" s="116">
        <f t="shared" si="162"/>
        <v>628.03408813697524</v>
      </c>
      <c r="CS55" s="116">
        <f t="shared" ref="CS55:DG55" si="163">+CS59*CS7</f>
        <v>641.37120946138691</v>
      </c>
      <c r="CT55" s="116">
        <f t="shared" si="163"/>
        <v>848.45522844816639</v>
      </c>
      <c r="CU55" s="287">
        <f t="shared" si="163"/>
        <v>851.85701819540009</v>
      </c>
      <c r="CV55" s="116">
        <f t="shared" si="163"/>
        <v>656.91931690306399</v>
      </c>
      <c r="CW55" s="116">
        <f t="shared" si="163"/>
        <v>641.90385890591085</v>
      </c>
      <c r="CX55" s="116">
        <f t="shared" si="163"/>
        <v>725.14094145379715</v>
      </c>
      <c r="CY55" s="116">
        <f t="shared" si="163"/>
        <v>602.77327706221047</v>
      </c>
      <c r="CZ55" s="116">
        <f t="shared" si="163"/>
        <v>649.28693194926154</v>
      </c>
      <c r="DA55" s="116">
        <f t="shared" si="163"/>
        <v>702.47732168196194</v>
      </c>
      <c r="DB55" s="116">
        <f t="shared" si="163"/>
        <v>724.32532608711506</v>
      </c>
      <c r="DC55" s="116">
        <f t="shared" si="163"/>
        <v>840.4639384409187</v>
      </c>
      <c r="DD55" s="116">
        <f t="shared" si="163"/>
        <v>780.99236422422621</v>
      </c>
      <c r="DE55" s="116">
        <f t="shared" si="163"/>
        <v>761.04169122674341</v>
      </c>
      <c r="DF55" s="116">
        <f t="shared" si="163"/>
        <v>958.76575113076535</v>
      </c>
      <c r="DG55" s="116">
        <f t="shared" si="163"/>
        <v>1056.8691547994592</v>
      </c>
    </row>
    <row r="56" spans="1:111" x14ac:dyDescent="0.3">
      <c r="B56" s="1" t="s">
        <v>273</v>
      </c>
      <c r="C56" s="1"/>
      <c r="D56" s="116"/>
      <c r="E56" s="318"/>
      <c r="F56" s="318"/>
      <c r="G56" s="318"/>
      <c r="H56" s="318"/>
      <c r="I56" s="318"/>
      <c r="J56" s="318"/>
      <c r="K56" s="318"/>
      <c r="L56" s="318"/>
      <c r="M56" s="318"/>
      <c r="N56" s="318"/>
      <c r="O56" s="318"/>
      <c r="P56" s="318"/>
      <c r="Q56" s="318"/>
      <c r="R56" s="318"/>
      <c r="S56" s="318"/>
      <c r="T56" s="318"/>
      <c r="U56" s="318"/>
      <c r="V56" s="318"/>
      <c r="W56" s="318"/>
      <c r="X56" s="318"/>
      <c r="Y56" s="318"/>
      <c r="Z56" s="318"/>
      <c r="AA56" s="318"/>
      <c r="AB56" s="318"/>
      <c r="AC56" s="318"/>
      <c r="AD56" s="318"/>
      <c r="AE56" s="318"/>
      <c r="AF56" s="318"/>
      <c r="AG56" s="318"/>
      <c r="AH56" s="318"/>
      <c r="AI56" s="318"/>
      <c r="AJ56" s="318"/>
      <c r="AK56" s="319"/>
      <c r="AL56" s="320">
        <f>+'People Plan'!M4</f>
        <v>0</v>
      </c>
      <c r="AM56" s="319">
        <f>+'People Plan'!N4</f>
        <v>0</v>
      </c>
      <c r="AN56" s="320">
        <f>+'People Plan'!O4</f>
        <v>0</v>
      </c>
      <c r="AO56" s="318">
        <f>+'People Plan'!P4</f>
        <v>0</v>
      </c>
      <c r="AP56" s="318">
        <f>+'People Plan'!Q4</f>
        <v>0</v>
      </c>
      <c r="AQ56" s="318">
        <f>+'People Plan'!R4</f>
        <v>0</v>
      </c>
      <c r="AR56" s="318">
        <f>+'People Plan'!S4</f>
        <v>0</v>
      </c>
      <c r="AS56" s="318">
        <f>+'People Plan'!T4</f>
        <v>0</v>
      </c>
      <c r="AT56" s="318">
        <f>+'People Plan'!U4</f>
        <v>0</v>
      </c>
      <c r="AU56" s="318">
        <f>+'People Plan'!V4</f>
        <v>0</v>
      </c>
      <c r="AV56" s="318">
        <f>+'People Plan'!W4</f>
        <v>0</v>
      </c>
      <c r="AW56" s="318">
        <f>+'People Plan'!X4</f>
        <v>0</v>
      </c>
      <c r="AX56" s="318">
        <f>+'People Plan'!Y4</f>
        <v>0</v>
      </c>
      <c r="AY56" s="319">
        <f>+'People Plan'!Z4</f>
        <v>0</v>
      </c>
      <c r="AZ56" s="318">
        <f>+'People Plan'!AA4</f>
        <v>0</v>
      </c>
      <c r="BA56" s="318">
        <f>+'People Plan'!AB4</f>
        <v>0</v>
      </c>
      <c r="BB56" s="318">
        <f>+'People Plan'!AC4</f>
        <v>0</v>
      </c>
      <c r="BC56" s="318">
        <f>+'People Plan'!AD4</f>
        <v>0</v>
      </c>
      <c r="BD56" s="318">
        <f>+'People Plan'!AE4</f>
        <v>0</v>
      </c>
      <c r="BE56" s="318">
        <f>+'People Plan'!AF4</f>
        <v>0</v>
      </c>
      <c r="BF56" s="318">
        <f>+'People Plan'!AG4</f>
        <v>0</v>
      </c>
      <c r="BG56" s="318">
        <f>+'People Plan'!AH4</f>
        <v>0</v>
      </c>
      <c r="BH56" s="318">
        <f>+'People Plan'!AI4</f>
        <v>0</v>
      </c>
      <c r="BI56" s="318">
        <f>+'People Plan'!AJ4</f>
        <v>0</v>
      </c>
      <c r="BJ56" s="318">
        <f>+'People Plan'!AK4</f>
        <v>856.28409244792067</v>
      </c>
      <c r="BK56" s="319">
        <f>+'People Plan'!AL4</f>
        <v>2253.878031794256</v>
      </c>
      <c r="BL56" s="318">
        <f>+'People Plan'!AM4</f>
        <v>0</v>
      </c>
      <c r="BM56" s="318">
        <f>+'People Plan'!AN4</f>
        <v>0</v>
      </c>
      <c r="BN56" s="318">
        <f>+'People Plan'!AO4</f>
        <v>0</v>
      </c>
      <c r="BO56" s="318">
        <f>+'People Plan'!AP4</f>
        <v>0</v>
      </c>
      <c r="BP56" s="318">
        <f>+'People Plan'!AQ4</f>
        <v>0</v>
      </c>
      <c r="BQ56" s="318">
        <f>+'People Plan'!AR4</f>
        <v>29.117384924315388</v>
      </c>
      <c r="BR56" s="318">
        <f>+'People Plan'!AS4</f>
        <v>0</v>
      </c>
      <c r="BS56" s="318">
        <f>+'People Plan'!AT4</f>
        <v>1136.5350982462587</v>
      </c>
      <c r="BT56" s="318">
        <f>+'People Plan'!AU4</f>
        <v>842.15843552578667</v>
      </c>
      <c r="BU56" s="318">
        <f>+'People Plan'!AV4</f>
        <v>0</v>
      </c>
      <c r="BV56" s="318">
        <f>+'People Plan'!AW4</f>
        <v>2990.8623871028949</v>
      </c>
      <c r="BW56" s="319">
        <f>+'People Plan'!AX4</f>
        <v>4152.2772439521887</v>
      </c>
      <c r="BX56" s="318">
        <f>+'People Plan'!AY4</f>
        <v>0</v>
      </c>
      <c r="BY56" s="318">
        <f>+'People Plan'!AZ4</f>
        <v>0</v>
      </c>
      <c r="BZ56" s="318">
        <f>+'People Plan'!BA4</f>
        <v>1460.31252491748</v>
      </c>
      <c r="CA56" s="318">
        <f>+'People Plan'!BB4</f>
        <v>0</v>
      </c>
      <c r="CB56" s="318">
        <f>+'People Plan'!BC4</f>
        <v>0</v>
      </c>
      <c r="CC56" s="318">
        <f>+'People Plan'!BD4</f>
        <v>1404.2239121994564</v>
      </c>
      <c r="CD56" s="318">
        <f>+'People Plan'!BE4</f>
        <v>58.793806088054339</v>
      </c>
      <c r="CE56" s="318">
        <f>+'People Plan'!BF4</f>
        <v>3040.7778161946662</v>
      </c>
      <c r="CF56" s="318">
        <f>+'People Plan'!BG4</f>
        <v>1724.2306616801029</v>
      </c>
      <c r="CG56" s="318">
        <f>+'People Plan'!BH4</f>
        <v>954.01465427473136</v>
      </c>
      <c r="CH56" s="318">
        <f>+'People Plan'!BI4</f>
        <v>4697.8239905637492</v>
      </c>
      <c r="CI56" s="319">
        <f>+'People Plan'!BJ4</f>
        <v>4743.5706716270997</v>
      </c>
      <c r="CJ56" s="318">
        <f>+'People Plan'!BK4</f>
        <v>1101.9067823790522</v>
      </c>
      <c r="CK56" s="318">
        <f>+'People Plan'!BL4</f>
        <v>827.5639222657037</v>
      </c>
      <c r="CL56" s="318">
        <f>+'People Plan'!BM4</f>
        <v>2624.5855362011557</v>
      </c>
      <c r="CM56" s="318">
        <f>+'People Plan'!BN4</f>
        <v>0</v>
      </c>
      <c r="CN56" s="318">
        <f>+'People Plan'!BO4</f>
        <v>939.72030251676983</v>
      </c>
      <c r="CO56" s="318">
        <f>+'People Plan'!BP4</f>
        <v>2402.7900111764138</v>
      </c>
      <c r="CP56" s="318">
        <f>+'People Plan'!BQ4</f>
        <v>1814.5022889907586</v>
      </c>
      <c r="CQ56" s="318">
        <f>+'People Plan'!BR4</f>
        <v>4716.8215254342776</v>
      </c>
      <c r="CR56" s="318">
        <f>+'People Plan'!BS4</f>
        <v>2669.1062192787431</v>
      </c>
      <c r="CS56" s="318">
        <f>+'People Plan'!BT4</f>
        <v>2889.9359635411047</v>
      </c>
      <c r="CT56" s="318">
        <f>+'People Plan'!BU4</f>
        <v>6625.7683265889482</v>
      </c>
      <c r="CU56" s="319">
        <f>+'People Plan'!BV4</f>
        <v>6725.7346758334852</v>
      </c>
      <c r="CV56" s="318">
        <f>+'People Plan'!BW4</f>
        <v>2612.9205369757879</v>
      </c>
      <c r="CW56" s="318">
        <f>+'People Plan'!BX4</f>
        <v>2296.9220928915497</v>
      </c>
      <c r="CX56" s="318">
        <f>+'People Plan'!BY4</f>
        <v>3687.0430547262622</v>
      </c>
      <c r="CY56" s="318">
        <f>+'People Plan'!BZ4</f>
        <v>1596.5551962139407</v>
      </c>
      <c r="CZ56" s="318">
        <f>+'People Plan'!CA4</f>
        <v>2358.3195325537695</v>
      </c>
      <c r="DA56" s="318">
        <f>+'People Plan'!CB4</f>
        <v>3300.1564734211752</v>
      </c>
      <c r="DB56" s="318">
        <f>+'People Plan'!CC4</f>
        <v>3748.736701475741</v>
      </c>
      <c r="DC56" s="318">
        <f>+'People Plan'!CD4</f>
        <v>5802.6469829011494</v>
      </c>
      <c r="DD56" s="318">
        <f>+'People Plan'!CE4</f>
        <v>4815.4624555436403</v>
      </c>
      <c r="DE56" s="318">
        <f>+'People Plan'!CF4</f>
        <v>4448.7945316457508</v>
      </c>
      <c r="DF56" s="318">
        <f>+'People Plan'!CG4</f>
        <v>7843.6827971815901</v>
      </c>
      <c r="DG56" s="318">
        <f>+'People Plan'!CH4</f>
        <v>9577.7305924425418</v>
      </c>
    </row>
    <row r="57" spans="1:111" s="56" customFormat="1" x14ac:dyDescent="0.3">
      <c r="A57" s="3"/>
      <c r="B57" s="4" t="s">
        <v>222</v>
      </c>
      <c r="C57" s="4"/>
      <c r="V57" s="56">
        <f t="shared" ref="V57:AA57" si="164">+SUM(V54:V55)</f>
        <v>0</v>
      </c>
      <c r="W57" s="56">
        <f t="shared" si="164"/>
        <v>31.79</v>
      </c>
      <c r="X57" s="56">
        <f t="shared" si="164"/>
        <v>164.79</v>
      </c>
      <c r="Y57" s="56">
        <f t="shared" si="164"/>
        <v>216.79</v>
      </c>
      <c r="Z57" s="56">
        <f t="shared" si="164"/>
        <v>352.27000000000004</v>
      </c>
      <c r="AA57" s="56">
        <f t="shared" si="164"/>
        <v>65.5</v>
      </c>
      <c r="AB57" s="56">
        <f>SUM(AB54:AB56)</f>
        <v>214.76</v>
      </c>
      <c r="AC57" s="56">
        <f t="shared" ref="AC57:CN57" si="165">SUM(AC54:AC56)</f>
        <v>554.59</v>
      </c>
      <c r="AD57" s="56">
        <f t="shared" si="165"/>
        <v>635.52</v>
      </c>
      <c r="AE57" s="56">
        <f t="shared" si="165"/>
        <v>536.29</v>
      </c>
      <c r="AF57" s="56">
        <f t="shared" si="165"/>
        <v>394.03</v>
      </c>
      <c r="AG57" s="56">
        <f t="shared" si="165"/>
        <v>537.73</v>
      </c>
      <c r="AH57" s="56">
        <f>SUM(AH54:AH56)</f>
        <v>751.48</v>
      </c>
      <c r="AI57" s="56">
        <f>SUM(AI54:AI56)</f>
        <v>549.27</v>
      </c>
      <c r="AJ57" s="56">
        <f>SUM(AJ54:AJ56)</f>
        <v>443</v>
      </c>
      <c r="AK57" s="288">
        <f>SUM(AK54:AK56)</f>
        <v>643.68000000000006</v>
      </c>
      <c r="AL57" s="56">
        <f>SUM(AL54:AL56)</f>
        <v>529.19738033327826</v>
      </c>
      <c r="AM57" s="288">
        <f t="shared" si="165"/>
        <v>609.22227643484257</v>
      </c>
      <c r="AN57" s="56">
        <f t="shared" si="165"/>
        <v>509.49053456997183</v>
      </c>
      <c r="AO57" s="56">
        <f t="shared" si="165"/>
        <v>492.56027781898399</v>
      </c>
      <c r="AP57" s="56">
        <f t="shared" si="165"/>
        <v>591.11594481769669</v>
      </c>
      <c r="AQ57" s="56">
        <f t="shared" si="165"/>
        <v>471.8286449862677</v>
      </c>
      <c r="AR57" s="56">
        <f t="shared" si="165"/>
        <v>521.28707753383628</v>
      </c>
      <c r="AS57" s="56">
        <f t="shared" si="165"/>
        <v>665.33854234483874</v>
      </c>
      <c r="AT57" s="56">
        <f t="shared" si="165"/>
        <v>640.19904812075879</v>
      </c>
      <c r="AU57" s="56">
        <f t="shared" si="165"/>
        <v>748.37414123108056</v>
      </c>
      <c r="AV57" s="56">
        <f t="shared" si="165"/>
        <v>750.77573517508893</v>
      </c>
      <c r="AW57" s="56">
        <f t="shared" si="165"/>
        <v>690.57811113477624</v>
      </c>
      <c r="AX57" s="56">
        <f t="shared" si="165"/>
        <v>761.84409298659352</v>
      </c>
      <c r="AY57" s="288">
        <f t="shared" si="165"/>
        <v>925.1437676481039</v>
      </c>
      <c r="AZ57" s="56">
        <f t="shared" si="165"/>
        <v>670.37414826683971</v>
      </c>
      <c r="BA57" s="56">
        <f t="shared" si="165"/>
        <v>677.04649096573075</v>
      </c>
      <c r="BB57" s="56">
        <f t="shared" si="165"/>
        <v>832.29125030331693</v>
      </c>
      <c r="BC57" s="56">
        <f t="shared" si="165"/>
        <v>647.85702407729843</v>
      </c>
      <c r="BD57" s="56">
        <f t="shared" si="165"/>
        <v>659.51360997825941</v>
      </c>
      <c r="BE57" s="56">
        <f t="shared" si="165"/>
        <v>901.45258603062871</v>
      </c>
      <c r="BF57" s="56">
        <f t="shared" si="165"/>
        <v>860.1537992062822</v>
      </c>
      <c r="BG57" s="56">
        <f t="shared" si="165"/>
        <v>960.00164013109634</v>
      </c>
      <c r="BH57" s="56">
        <f t="shared" si="165"/>
        <v>967.47691328244412</v>
      </c>
      <c r="BI57" s="56">
        <f t="shared" si="165"/>
        <v>855.04912987363844</v>
      </c>
      <c r="BJ57" s="56">
        <f t="shared" si="165"/>
        <v>1995.4734990968882</v>
      </c>
      <c r="BK57" s="288">
        <f t="shared" si="165"/>
        <v>3554.8042060538792</v>
      </c>
      <c r="BL57" s="56">
        <f t="shared" si="165"/>
        <v>826.95104723266104</v>
      </c>
      <c r="BM57" s="56">
        <f t="shared" si="165"/>
        <v>878.74992473260477</v>
      </c>
      <c r="BN57" s="56">
        <f t="shared" si="165"/>
        <v>1113.4851052530951</v>
      </c>
      <c r="BO57" s="56">
        <f t="shared" si="165"/>
        <v>835.30683214672285</v>
      </c>
      <c r="BP57" s="56">
        <f t="shared" si="165"/>
        <v>840.8798527222807</v>
      </c>
      <c r="BQ57" s="56">
        <f t="shared" si="165"/>
        <v>1158.3875675730815</v>
      </c>
      <c r="BR57" s="56">
        <f t="shared" si="165"/>
        <v>1025.6438890850266</v>
      </c>
      <c r="BS57" s="56">
        <f t="shared" si="165"/>
        <v>2388.2438004557998</v>
      </c>
      <c r="BT57" s="56">
        <f t="shared" si="165"/>
        <v>2050.3101611865177</v>
      </c>
      <c r="BU57" s="56">
        <f t="shared" si="165"/>
        <v>1022.5059815084699</v>
      </c>
      <c r="BV57" s="56">
        <f t="shared" si="165"/>
        <v>4480.1334614105263</v>
      </c>
      <c r="BW57" s="288">
        <f t="shared" si="165"/>
        <v>5783.7018693648133</v>
      </c>
      <c r="BX57" s="56">
        <f t="shared" si="165"/>
        <v>1039.4536120143234</v>
      </c>
      <c r="BY57" s="56">
        <f t="shared" si="165"/>
        <v>1164.763278043748</v>
      </c>
      <c r="BZ57" s="56">
        <f t="shared" si="165"/>
        <v>2851.3123794798084</v>
      </c>
      <c r="CA57" s="56">
        <f t="shared" si="165"/>
        <v>950.12173422459318</v>
      </c>
      <c r="CB57" s="56">
        <f t="shared" si="165"/>
        <v>1142.8321634725546</v>
      </c>
      <c r="CC57" s="56">
        <f t="shared" si="165"/>
        <v>2786.7598764754666</v>
      </c>
      <c r="CD57" s="56">
        <f t="shared" si="165"/>
        <v>1252.5711069028553</v>
      </c>
      <c r="CE57" s="56">
        <f t="shared" si="165"/>
        <v>4629.6453955873158</v>
      </c>
      <c r="CF57" s="56">
        <f t="shared" si="165"/>
        <v>3132.0561579171626</v>
      </c>
      <c r="CG57" s="56">
        <f t="shared" si="165"/>
        <v>2260.8361479076789</v>
      </c>
      <c r="CH57" s="56">
        <f t="shared" si="165"/>
        <v>6509.5294819302171</v>
      </c>
      <c r="CI57" s="288">
        <f t="shared" si="165"/>
        <v>6556.7963522017726</v>
      </c>
      <c r="CJ57" s="56">
        <f t="shared" si="165"/>
        <v>2494.1067004785573</v>
      </c>
      <c r="CK57" s="56">
        <f t="shared" si="165"/>
        <v>2188.2686863355029</v>
      </c>
      <c r="CL57" s="56">
        <f t="shared" si="165"/>
        <v>4244.4382341518403</v>
      </c>
      <c r="CM57" s="56">
        <f t="shared" si="165"/>
        <v>1221.2167697485752</v>
      </c>
      <c r="CN57" s="56">
        <f t="shared" si="165"/>
        <v>2324.3054236469807</v>
      </c>
      <c r="CO57" s="56">
        <f t="shared" ref="CO57:DG57" si="166">SUM(CO54:CO56)</f>
        <v>3990.6488917904703</v>
      </c>
      <c r="CP57" s="56">
        <f t="shared" si="166"/>
        <v>3310.0399630670786</v>
      </c>
      <c r="CQ57" s="56">
        <f t="shared" si="166"/>
        <v>6615.4063907254385</v>
      </c>
      <c r="CR57" s="56">
        <f t="shared" si="166"/>
        <v>4273.8596867156302</v>
      </c>
      <c r="CS57" s="56">
        <f t="shared" si="166"/>
        <v>4528.7684596410154</v>
      </c>
      <c r="CT57" s="56">
        <f t="shared" si="166"/>
        <v>8793.7421603917282</v>
      </c>
      <c r="CU57" s="288">
        <f t="shared" si="166"/>
        <v>8902.4007669443963</v>
      </c>
      <c r="CV57" s="56">
        <f t="shared" si="166"/>
        <v>4291.481576160244</v>
      </c>
      <c r="CW57" s="56">
        <f t="shared" si="166"/>
        <v>3937.1156155012854</v>
      </c>
      <c r="CX57" s="56">
        <f t="shared" si="166"/>
        <v>5539.9240721092401</v>
      </c>
      <c r="CY57" s="56">
        <f t="shared" si="166"/>
        <v>3136.7622084054628</v>
      </c>
      <c r="CZ57" s="56">
        <f t="shared" si="166"/>
        <v>4017.3782924021452</v>
      </c>
      <c r="DA57" s="56">
        <f t="shared" si="166"/>
        <v>5095.1273819414137</v>
      </c>
      <c r="DB57" s="56">
        <f t="shared" si="166"/>
        <v>5599.5336574797257</v>
      </c>
      <c r="DC57" s="56">
        <f t="shared" si="166"/>
        <v>7950.201462737863</v>
      </c>
      <c r="DD57" s="56">
        <f t="shared" si="166"/>
        <v>6811.0550964596732</v>
      </c>
      <c r="DE57" s="56">
        <f t="shared" si="166"/>
        <v>6393.4091886033284</v>
      </c>
      <c r="DF57" s="56">
        <f t="shared" si="166"/>
        <v>10293.522212986134</v>
      </c>
      <c r="DG57" s="56">
        <f t="shared" si="166"/>
        <v>12278.243944866847</v>
      </c>
    </row>
    <row r="58" spans="1:111" s="281" customFormat="1" x14ac:dyDescent="0.3">
      <c r="A58" s="279"/>
      <c r="B58" s="280"/>
      <c r="C58" s="280" t="s">
        <v>248</v>
      </c>
      <c r="W58" s="282">
        <f t="shared" ref="W58:AF58" si="167">+W54/W9</f>
        <v>1.5780904063620028E-2</v>
      </c>
      <c r="X58" s="282">
        <f t="shared" si="167"/>
        <v>1.8584304331939427E-2</v>
      </c>
      <c r="Y58" s="282">
        <f t="shared" si="167"/>
        <v>2.5951530169446888E-2</v>
      </c>
      <c r="Z58" s="282">
        <f t="shared" si="167"/>
        <v>3.2094084209617603E-2</v>
      </c>
      <c r="AA58" s="282">
        <f t="shared" si="167"/>
        <v>6.1844378770854773E-3</v>
      </c>
      <c r="AB58" s="282">
        <f t="shared" si="167"/>
        <v>1.4726316425408205E-2</v>
      </c>
      <c r="AC58" s="282">
        <f t="shared" si="167"/>
        <v>6.4007453544554352E-2</v>
      </c>
      <c r="AD58" s="282">
        <f t="shared" si="167"/>
        <v>3.8680989199540106E-2</v>
      </c>
      <c r="AE58" s="282">
        <f t="shared" si="167"/>
        <v>3.4071193746537477E-2</v>
      </c>
      <c r="AF58" s="282">
        <f t="shared" si="167"/>
        <v>3.3390028574770032E-2</v>
      </c>
      <c r="AG58" s="282">
        <f>+AG54/AG9</f>
        <v>3.7464775832827694E-2</v>
      </c>
      <c r="AH58" s="282">
        <f>+AH54/AH9</f>
        <v>3.2002285351323656E-2</v>
      </c>
      <c r="AI58" s="282">
        <f>+AI54/AI9</f>
        <v>3.2024941419305245E-2</v>
      </c>
      <c r="AJ58" s="282">
        <f>+AJ54/AJ9</f>
        <v>3.3866661069358386E-2</v>
      </c>
      <c r="AK58" s="291">
        <f>+AK54/AK9</f>
        <v>2.6937278695980157E-2</v>
      </c>
      <c r="AL58" s="507">
        <f>+AVERAGE(AI58:AK58)</f>
        <v>3.0942960394881262E-2</v>
      </c>
      <c r="AM58" s="291">
        <f t="shared" ref="AM58:CT58" si="168">+AL58</f>
        <v>3.0942960394881262E-2</v>
      </c>
      <c r="AN58" s="282">
        <f t="shared" si="168"/>
        <v>3.0942960394881262E-2</v>
      </c>
      <c r="AO58" s="282">
        <f t="shared" si="168"/>
        <v>3.0942960394881262E-2</v>
      </c>
      <c r="AP58" s="282">
        <f t="shared" si="168"/>
        <v>3.0942960394881262E-2</v>
      </c>
      <c r="AQ58" s="282">
        <f t="shared" si="168"/>
        <v>3.0942960394881262E-2</v>
      </c>
      <c r="AR58" s="282">
        <f t="shared" si="168"/>
        <v>3.0942960394881262E-2</v>
      </c>
      <c r="AS58" s="282">
        <f t="shared" si="168"/>
        <v>3.0942960394881262E-2</v>
      </c>
      <c r="AT58" s="282">
        <f t="shared" si="168"/>
        <v>3.0942960394881262E-2</v>
      </c>
      <c r="AU58" s="282">
        <f t="shared" si="168"/>
        <v>3.0942960394881262E-2</v>
      </c>
      <c r="AV58" s="282">
        <f t="shared" si="168"/>
        <v>3.0942960394881262E-2</v>
      </c>
      <c r="AW58" s="282">
        <f t="shared" si="168"/>
        <v>3.0942960394881262E-2</v>
      </c>
      <c r="AX58" s="282">
        <f t="shared" si="168"/>
        <v>3.0942960394881262E-2</v>
      </c>
      <c r="AY58" s="291">
        <f t="shared" si="168"/>
        <v>3.0942960394881262E-2</v>
      </c>
      <c r="AZ58" s="282">
        <f t="shared" si="168"/>
        <v>3.0942960394881262E-2</v>
      </c>
      <c r="BA58" s="282">
        <f t="shared" si="168"/>
        <v>3.0942960394881262E-2</v>
      </c>
      <c r="BB58" s="282">
        <f t="shared" si="168"/>
        <v>3.0942960394881262E-2</v>
      </c>
      <c r="BC58" s="282">
        <f t="shared" si="168"/>
        <v>3.0942960394881262E-2</v>
      </c>
      <c r="BD58" s="282">
        <f t="shared" si="168"/>
        <v>3.0942960394881262E-2</v>
      </c>
      <c r="BE58" s="282">
        <f t="shared" si="168"/>
        <v>3.0942960394881262E-2</v>
      </c>
      <c r="BF58" s="282">
        <f t="shared" si="168"/>
        <v>3.0942960394881262E-2</v>
      </c>
      <c r="BG58" s="282">
        <f t="shared" si="168"/>
        <v>3.0942960394881262E-2</v>
      </c>
      <c r="BH58" s="282">
        <f t="shared" si="168"/>
        <v>3.0942960394881262E-2</v>
      </c>
      <c r="BI58" s="282">
        <f t="shared" si="168"/>
        <v>3.0942960394881262E-2</v>
      </c>
      <c r="BJ58" s="282">
        <f t="shared" si="168"/>
        <v>3.0942960394881262E-2</v>
      </c>
      <c r="BK58" s="291">
        <f t="shared" si="168"/>
        <v>3.0942960394881262E-2</v>
      </c>
      <c r="BL58" s="282">
        <f t="shared" si="168"/>
        <v>3.0942960394881262E-2</v>
      </c>
      <c r="BM58" s="282">
        <f t="shared" si="168"/>
        <v>3.0942960394881262E-2</v>
      </c>
      <c r="BN58" s="282">
        <f t="shared" si="168"/>
        <v>3.0942960394881262E-2</v>
      </c>
      <c r="BO58" s="282">
        <f t="shared" si="168"/>
        <v>3.0942960394881262E-2</v>
      </c>
      <c r="BP58" s="282">
        <f t="shared" si="168"/>
        <v>3.0942960394881262E-2</v>
      </c>
      <c r="BQ58" s="282">
        <f t="shared" si="168"/>
        <v>3.0942960394881262E-2</v>
      </c>
      <c r="BR58" s="282">
        <f t="shared" si="168"/>
        <v>3.0942960394881262E-2</v>
      </c>
      <c r="BS58" s="282">
        <f t="shared" si="168"/>
        <v>3.0942960394881262E-2</v>
      </c>
      <c r="BT58" s="282">
        <f t="shared" si="168"/>
        <v>3.0942960394881262E-2</v>
      </c>
      <c r="BU58" s="282">
        <f t="shared" si="168"/>
        <v>3.0942960394881262E-2</v>
      </c>
      <c r="BV58" s="282">
        <f t="shared" si="168"/>
        <v>3.0942960394881262E-2</v>
      </c>
      <c r="BW58" s="291">
        <f t="shared" si="168"/>
        <v>3.0942960394881262E-2</v>
      </c>
      <c r="BX58" s="282">
        <f t="shared" si="168"/>
        <v>3.0942960394881262E-2</v>
      </c>
      <c r="BY58" s="282">
        <f t="shared" si="168"/>
        <v>3.0942960394881262E-2</v>
      </c>
      <c r="BZ58" s="282">
        <f t="shared" si="168"/>
        <v>3.0942960394881262E-2</v>
      </c>
      <c r="CA58" s="282">
        <f t="shared" si="168"/>
        <v>3.0942960394881262E-2</v>
      </c>
      <c r="CB58" s="282">
        <f t="shared" si="168"/>
        <v>3.0942960394881262E-2</v>
      </c>
      <c r="CC58" s="282">
        <f t="shared" si="168"/>
        <v>3.0942960394881262E-2</v>
      </c>
      <c r="CD58" s="282">
        <f t="shared" si="168"/>
        <v>3.0942960394881262E-2</v>
      </c>
      <c r="CE58" s="282">
        <f t="shared" si="168"/>
        <v>3.0942960394881262E-2</v>
      </c>
      <c r="CF58" s="282">
        <f t="shared" si="168"/>
        <v>3.0942960394881262E-2</v>
      </c>
      <c r="CG58" s="282">
        <f t="shared" si="168"/>
        <v>3.0942960394881262E-2</v>
      </c>
      <c r="CH58" s="282">
        <f t="shared" si="168"/>
        <v>3.0942960394881262E-2</v>
      </c>
      <c r="CI58" s="291">
        <f t="shared" si="168"/>
        <v>3.0942960394881262E-2</v>
      </c>
      <c r="CJ58" s="282">
        <f t="shared" si="168"/>
        <v>3.0942960394881262E-2</v>
      </c>
      <c r="CK58" s="282">
        <f t="shared" si="168"/>
        <v>3.0942960394881262E-2</v>
      </c>
      <c r="CL58" s="282">
        <f t="shared" si="168"/>
        <v>3.0942960394881262E-2</v>
      </c>
      <c r="CM58" s="282">
        <f t="shared" si="168"/>
        <v>3.0942960394881262E-2</v>
      </c>
      <c r="CN58" s="282">
        <f t="shared" si="168"/>
        <v>3.0942960394881262E-2</v>
      </c>
      <c r="CO58" s="282">
        <f t="shared" si="168"/>
        <v>3.0942960394881262E-2</v>
      </c>
      <c r="CP58" s="282">
        <f t="shared" si="168"/>
        <v>3.0942960394881262E-2</v>
      </c>
      <c r="CQ58" s="282">
        <f t="shared" si="168"/>
        <v>3.0942960394881262E-2</v>
      </c>
      <c r="CR58" s="282">
        <f t="shared" si="168"/>
        <v>3.0942960394881262E-2</v>
      </c>
      <c r="CS58" s="282">
        <f t="shared" si="168"/>
        <v>3.0942960394881262E-2</v>
      </c>
      <c r="CT58" s="282">
        <f t="shared" si="168"/>
        <v>3.0942960394881262E-2</v>
      </c>
      <c r="CU58" s="291">
        <f t="shared" ref="CU58:DG58" si="169">+CT58</f>
        <v>3.0942960394881262E-2</v>
      </c>
      <c r="CV58" s="282">
        <f t="shared" si="169"/>
        <v>3.0942960394881262E-2</v>
      </c>
      <c r="CW58" s="282">
        <f t="shared" si="169"/>
        <v>3.0942960394881262E-2</v>
      </c>
      <c r="CX58" s="282">
        <f t="shared" si="169"/>
        <v>3.0942960394881262E-2</v>
      </c>
      <c r="CY58" s="282">
        <f t="shared" si="169"/>
        <v>3.0942960394881262E-2</v>
      </c>
      <c r="CZ58" s="282">
        <f t="shared" si="169"/>
        <v>3.0942960394881262E-2</v>
      </c>
      <c r="DA58" s="282">
        <f t="shared" si="169"/>
        <v>3.0942960394881262E-2</v>
      </c>
      <c r="DB58" s="282">
        <f t="shared" si="169"/>
        <v>3.0942960394881262E-2</v>
      </c>
      <c r="DC58" s="282">
        <f t="shared" si="169"/>
        <v>3.0942960394881262E-2</v>
      </c>
      <c r="DD58" s="282">
        <f t="shared" si="169"/>
        <v>3.0942960394881262E-2</v>
      </c>
      <c r="DE58" s="282">
        <f t="shared" si="169"/>
        <v>3.0942960394881262E-2</v>
      </c>
      <c r="DF58" s="282">
        <f t="shared" si="169"/>
        <v>3.0942960394881262E-2</v>
      </c>
      <c r="DG58" s="282">
        <f t="shared" si="169"/>
        <v>3.0942960394881262E-2</v>
      </c>
    </row>
    <row r="59" spans="1:111" s="281" customFormat="1" x14ac:dyDescent="0.3">
      <c r="A59" s="279"/>
      <c r="B59" s="280"/>
      <c r="C59" s="280" t="s">
        <v>249</v>
      </c>
      <c r="W59" s="282">
        <f t="shared" ref="W59:AF59" si="170">+W55/W9</f>
        <v>0</v>
      </c>
      <c r="X59" s="282">
        <f t="shared" si="170"/>
        <v>0</v>
      </c>
      <c r="Y59" s="282">
        <f t="shared" si="170"/>
        <v>0</v>
      </c>
      <c r="Z59" s="282">
        <f t="shared" si="170"/>
        <v>6.8940634023625094E-3</v>
      </c>
      <c r="AA59" s="282">
        <f t="shared" si="170"/>
        <v>0</v>
      </c>
      <c r="AB59" s="282">
        <f t="shared" si="170"/>
        <v>2.4590238963958604E-2</v>
      </c>
      <c r="AC59" s="282">
        <f t="shared" si="170"/>
        <v>1.3459961642741105E-2</v>
      </c>
      <c r="AD59" s="282">
        <f t="shared" si="170"/>
        <v>2.3346014878204462E-2</v>
      </c>
      <c r="AE59" s="282">
        <f t="shared" si="170"/>
        <v>1.2497199592225892E-2</v>
      </c>
      <c r="AF59" s="282">
        <f t="shared" si="170"/>
        <v>2.8952329032537298E-3</v>
      </c>
      <c r="AG59" s="282">
        <f>+AG55/AG9</f>
        <v>6.5075780001668188E-3</v>
      </c>
      <c r="AH59" s="282">
        <f>+AH55/AH9</f>
        <v>2.9509025991778626E-2</v>
      </c>
      <c r="AI59" s="282">
        <f>+AI55/AI9</f>
        <v>1.3470453711518757E-2</v>
      </c>
      <c r="AJ59" s="282">
        <f>+AJ55/AJ9</f>
        <v>1.5072962018212611E-2</v>
      </c>
      <c r="AK59" s="291">
        <f>+AK55/AK9</f>
        <v>3.1145890106875629E-2</v>
      </c>
      <c r="AL59" s="507">
        <f>+AVERAGE(AI59:AK59)</f>
        <v>1.9896435278868998E-2</v>
      </c>
      <c r="AM59" s="291">
        <f t="shared" ref="AM59:CT59" si="171">+AL59</f>
        <v>1.9896435278868998E-2</v>
      </c>
      <c r="AN59" s="282">
        <f t="shared" si="171"/>
        <v>1.9896435278868998E-2</v>
      </c>
      <c r="AO59" s="282">
        <f t="shared" si="171"/>
        <v>1.9896435278868998E-2</v>
      </c>
      <c r="AP59" s="282">
        <f t="shared" si="171"/>
        <v>1.9896435278868998E-2</v>
      </c>
      <c r="AQ59" s="282">
        <f t="shared" si="171"/>
        <v>1.9896435278868998E-2</v>
      </c>
      <c r="AR59" s="282">
        <f t="shared" si="171"/>
        <v>1.9896435278868998E-2</v>
      </c>
      <c r="AS59" s="282">
        <f t="shared" si="171"/>
        <v>1.9896435278868998E-2</v>
      </c>
      <c r="AT59" s="282">
        <f t="shared" si="171"/>
        <v>1.9896435278868998E-2</v>
      </c>
      <c r="AU59" s="282">
        <f t="shared" si="171"/>
        <v>1.9896435278868998E-2</v>
      </c>
      <c r="AV59" s="282">
        <f t="shared" si="171"/>
        <v>1.9896435278868998E-2</v>
      </c>
      <c r="AW59" s="282">
        <f t="shared" si="171"/>
        <v>1.9896435278868998E-2</v>
      </c>
      <c r="AX59" s="282">
        <f t="shared" si="171"/>
        <v>1.9896435278868998E-2</v>
      </c>
      <c r="AY59" s="291">
        <f t="shared" si="171"/>
        <v>1.9896435278868998E-2</v>
      </c>
      <c r="AZ59" s="282">
        <f t="shared" si="171"/>
        <v>1.9896435278868998E-2</v>
      </c>
      <c r="BA59" s="282">
        <f t="shared" si="171"/>
        <v>1.9896435278868998E-2</v>
      </c>
      <c r="BB59" s="282">
        <f t="shared" si="171"/>
        <v>1.9896435278868998E-2</v>
      </c>
      <c r="BC59" s="282">
        <f t="shared" si="171"/>
        <v>1.9896435278868998E-2</v>
      </c>
      <c r="BD59" s="282">
        <f t="shared" si="171"/>
        <v>1.9896435278868998E-2</v>
      </c>
      <c r="BE59" s="282">
        <f t="shared" si="171"/>
        <v>1.9896435278868998E-2</v>
      </c>
      <c r="BF59" s="282">
        <f t="shared" si="171"/>
        <v>1.9896435278868998E-2</v>
      </c>
      <c r="BG59" s="282">
        <f t="shared" si="171"/>
        <v>1.9896435278868998E-2</v>
      </c>
      <c r="BH59" s="282">
        <f t="shared" si="171"/>
        <v>1.9896435278868998E-2</v>
      </c>
      <c r="BI59" s="282">
        <f t="shared" si="171"/>
        <v>1.9896435278868998E-2</v>
      </c>
      <c r="BJ59" s="282">
        <f t="shared" si="171"/>
        <v>1.9896435278868998E-2</v>
      </c>
      <c r="BK59" s="291">
        <f t="shared" si="171"/>
        <v>1.9896435278868998E-2</v>
      </c>
      <c r="BL59" s="282">
        <f t="shared" si="171"/>
        <v>1.9896435278868998E-2</v>
      </c>
      <c r="BM59" s="282">
        <f t="shared" si="171"/>
        <v>1.9896435278868998E-2</v>
      </c>
      <c r="BN59" s="282">
        <f t="shared" si="171"/>
        <v>1.9896435278868998E-2</v>
      </c>
      <c r="BO59" s="282">
        <f t="shared" si="171"/>
        <v>1.9896435278868998E-2</v>
      </c>
      <c r="BP59" s="282">
        <f t="shared" si="171"/>
        <v>1.9896435278868998E-2</v>
      </c>
      <c r="BQ59" s="282">
        <f t="shared" si="171"/>
        <v>1.9896435278868998E-2</v>
      </c>
      <c r="BR59" s="282">
        <f t="shared" si="171"/>
        <v>1.9896435278868998E-2</v>
      </c>
      <c r="BS59" s="282">
        <f t="shared" si="171"/>
        <v>1.9896435278868998E-2</v>
      </c>
      <c r="BT59" s="282">
        <f t="shared" si="171"/>
        <v>1.9896435278868998E-2</v>
      </c>
      <c r="BU59" s="282">
        <f t="shared" si="171"/>
        <v>1.9896435278868998E-2</v>
      </c>
      <c r="BV59" s="282">
        <f t="shared" si="171"/>
        <v>1.9896435278868998E-2</v>
      </c>
      <c r="BW59" s="291">
        <f t="shared" si="171"/>
        <v>1.9896435278868998E-2</v>
      </c>
      <c r="BX59" s="282">
        <f t="shared" si="171"/>
        <v>1.9896435278868998E-2</v>
      </c>
      <c r="BY59" s="282">
        <f t="shared" si="171"/>
        <v>1.9896435278868998E-2</v>
      </c>
      <c r="BZ59" s="282">
        <f t="shared" si="171"/>
        <v>1.9896435278868998E-2</v>
      </c>
      <c r="CA59" s="282">
        <f t="shared" si="171"/>
        <v>1.9896435278868998E-2</v>
      </c>
      <c r="CB59" s="282">
        <f t="shared" si="171"/>
        <v>1.9896435278868998E-2</v>
      </c>
      <c r="CC59" s="282">
        <f t="shared" si="171"/>
        <v>1.9896435278868998E-2</v>
      </c>
      <c r="CD59" s="282">
        <f t="shared" si="171"/>
        <v>1.9896435278868998E-2</v>
      </c>
      <c r="CE59" s="282">
        <f t="shared" si="171"/>
        <v>1.9896435278868998E-2</v>
      </c>
      <c r="CF59" s="282">
        <f t="shared" si="171"/>
        <v>1.9896435278868998E-2</v>
      </c>
      <c r="CG59" s="282">
        <f t="shared" si="171"/>
        <v>1.9896435278868998E-2</v>
      </c>
      <c r="CH59" s="282">
        <f t="shared" si="171"/>
        <v>1.9896435278868998E-2</v>
      </c>
      <c r="CI59" s="291">
        <f t="shared" si="171"/>
        <v>1.9896435278868998E-2</v>
      </c>
      <c r="CJ59" s="282">
        <f t="shared" si="171"/>
        <v>1.9896435278868998E-2</v>
      </c>
      <c r="CK59" s="282">
        <f t="shared" si="171"/>
        <v>1.9896435278868998E-2</v>
      </c>
      <c r="CL59" s="282">
        <f t="shared" si="171"/>
        <v>1.9896435278868998E-2</v>
      </c>
      <c r="CM59" s="282">
        <f t="shared" si="171"/>
        <v>1.9896435278868998E-2</v>
      </c>
      <c r="CN59" s="282">
        <f t="shared" si="171"/>
        <v>1.9896435278868998E-2</v>
      </c>
      <c r="CO59" s="282">
        <f t="shared" si="171"/>
        <v>1.9896435278868998E-2</v>
      </c>
      <c r="CP59" s="282">
        <f t="shared" si="171"/>
        <v>1.9896435278868998E-2</v>
      </c>
      <c r="CQ59" s="282">
        <f t="shared" si="171"/>
        <v>1.9896435278868998E-2</v>
      </c>
      <c r="CR59" s="282">
        <f t="shared" si="171"/>
        <v>1.9896435278868998E-2</v>
      </c>
      <c r="CS59" s="282">
        <f t="shared" si="171"/>
        <v>1.9896435278868998E-2</v>
      </c>
      <c r="CT59" s="282">
        <f t="shared" si="171"/>
        <v>1.9896435278868998E-2</v>
      </c>
      <c r="CU59" s="291">
        <f t="shared" ref="CU59:DG59" si="172">+CT59</f>
        <v>1.9896435278868998E-2</v>
      </c>
      <c r="CV59" s="282">
        <f t="shared" si="172"/>
        <v>1.9896435278868998E-2</v>
      </c>
      <c r="CW59" s="282">
        <f t="shared" si="172"/>
        <v>1.9896435278868998E-2</v>
      </c>
      <c r="CX59" s="282">
        <f t="shared" si="172"/>
        <v>1.9896435278868998E-2</v>
      </c>
      <c r="CY59" s="282">
        <f t="shared" si="172"/>
        <v>1.9896435278868998E-2</v>
      </c>
      <c r="CZ59" s="282">
        <f t="shared" si="172"/>
        <v>1.9896435278868998E-2</v>
      </c>
      <c r="DA59" s="282">
        <f t="shared" si="172"/>
        <v>1.9896435278868998E-2</v>
      </c>
      <c r="DB59" s="282">
        <f t="shared" si="172"/>
        <v>1.9896435278868998E-2</v>
      </c>
      <c r="DC59" s="282">
        <f t="shared" si="172"/>
        <v>1.9896435278868998E-2</v>
      </c>
      <c r="DD59" s="282">
        <f t="shared" si="172"/>
        <v>1.9896435278868998E-2</v>
      </c>
      <c r="DE59" s="282">
        <f t="shared" si="172"/>
        <v>1.9896435278868998E-2</v>
      </c>
      <c r="DF59" s="282">
        <f t="shared" si="172"/>
        <v>1.9896435278868998E-2</v>
      </c>
      <c r="DG59" s="282">
        <f t="shared" si="172"/>
        <v>1.9896435278868998E-2</v>
      </c>
    </row>
    <row r="60" spans="1:111" x14ac:dyDescent="0.3">
      <c r="B60" s="1"/>
      <c r="C60" s="1"/>
      <c r="D60" s="58"/>
      <c r="E60" s="58"/>
      <c r="F60" s="58"/>
      <c r="G60" s="58"/>
      <c r="H60" s="58"/>
      <c r="I60" s="58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8"/>
      <c r="Z60" s="58"/>
      <c r="AA60" s="58"/>
      <c r="AB60" s="58"/>
      <c r="AC60" s="58"/>
      <c r="AD60" s="58"/>
      <c r="AE60" s="58"/>
      <c r="AF60" s="58"/>
      <c r="AG60" s="58"/>
      <c r="AH60" s="58"/>
      <c r="AI60" s="58"/>
      <c r="AJ60" s="58"/>
      <c r="AK60" s="289"/>
      <c r="AL60" s="58"/>
      <c r="AM60" s="289"/>
      <c r="AN60" s="58"/>
      <c r="AO60" s="58"/>
      <c r="AP60" s="58"/>
      <c r="AQ60" s="58"/>
      <c r="AR60" s="58"/>
      <c r="AS60" s="58"/>
      <c r="AT60" s="58"/>
      <c r="AU60" s="58"/>
      <c r="AV60" s="58"/>
      <c r="AW60" s="58"/>
      <c r="AX60" s="58"/>
      <c r="AY60" s="289"/>
      <c r="AZ60" s="58"/>
      <c r="BA60" s="58"/>
      <c r="BB60" s="58"/>
      <c r="BC60" s="58"/>
      <c r="BD60" s="58"/>
      <c r="BE60" s="58"/>
      <c r="BF60" s="58"/>
      <c r="BG60" s="58"/>
      <c r="BH60" s="58"/>
      <c r="BI60" s="58"/>
      <c r="BJ60" s="58"/>
      <c r="BK60" s="289"/>
      <c r="BL60" s="58"/>
      <c r="BM60" s="58"/>
      <c r="BN60" s="58"/>
      <c r="BO60" s="58"/>
      <c r="BP60" s="58"/>
      <c r="BQ60" s="58"/>
      <c r="BR60" s="58"/>
      <c r="BS60" s="58"/>
      <c r="BT60" s="58"/>
      <c r="BU60" s="58"/>
      <c r="BV60" s="58"/>
      <c r="BW60" s="289"/>
      <c r="BX60" s="58"/>
      <c r="BY60" s="58"/>
      <c r="BZ60" s="58"/>
      <c r="CA60" s="58"/>
      <c r="CB60" s="58"/>
      <c r="CC60" s="58"/>
      <c r="CD60" s="58"/>
      <c r="CE60" s="58"/>
      <c r="CF60" s="58"/>
      <c r="CG60" s="58"/>
      <c r="CH60" s="58"/>
      <c r="CI60" s="289"/>
      <c r="CJ60" s="58"/>
      <c r="CK60" s="58"/>
      <c r="CL60" s="58"/>
      <c r="CM60" s="58"/>
      <c r="CN60" s="58"/>
      <c r="CO60" s="58"/>
      <c r="CP60" s="58"/>
      <c r="CQ60" s="58"/>
      <c r="CR60" s="58"/>
      <c r="CS60" s="58"/>
      <c r="CT60" s="58"/>
      <c r="CU60" s="289"/>
      <c r="CV60" s="58"/>
      <c r="CW60" s="58"/>
      <c r="CX60" s="58"/>
      <c r="CY60" s="58"/>
      <c r="CZ60" s="58"/>
      <c r="DA60" s="58"/>
      <c r="DB60" s="58"/>
      <c r="DC60" s="58"/>
      <c r="DD60" s="58"/>
      <c r="DE60" s="58"/>
      <c r="DF60" s="58"/>
      <c r="DG60" s="58"/>
    </row>
    <row r="61" spans="1:111" s="56" customFormat="1" x14ac:dyDescent="0.3">
      <c r="A61" s="3"/>
      <c r="B61" s="4" t="s">
        <v>4</v>
      </c>
      <c r="C61" s="4"/>
      <c r="D61" s="56">
        <f t="shared" ref="D61:J61" si="173">(D9)-(0)</f>
        <v>0</v>
      </c>
      <c r="E61" s="56">
        <f t="shared" si="173"/>
        <v>0</v>
      </c>
      <c r="F61" s="56">
        <f t="shared" si="173"/>
        <v>0</v>
      </c>
      <c r="G61" s="56">
        <f t="shared" si="173"/>
        <v>0</v>
      </c>
      <c r="H61" s="56">
        <f t="shared" si="173"/>
        <v>0</v>
      </c>
      <c r="I61" s="56">
        <f t="shared" si="173"/>
        <v>0</v>
      </c>
      <c r="J61" s="56">
        <f t="shared" si="173"/>
        <v>0</v>
      </c>
      <c r="K61" s="56">
        <f t="shared" ref="K61:U61" si="174">K9</f>
        <v>0</v>
      </c>
      <c r="L61" s="56">
        <f t="shared" si="174"/>
        <v>0</v>
      </c>
      <c r="M61" s="56">
        <f t="shared" si="174"/>
        <v>0</v>
      </c>
      <c r="N61" s="56">
        <f t="shared" si="174"/>
        <v>0</v>
      </c>
      <c r="O61" s="56">
        <f t="shared" si="174"/>
        <v>0</v>
      </c>
      <c r="P61" s="56">
        <f t="shared" si="174"/>
        <v>0</v>
      </c>
      <c r="Q61" s="56">
        <f t="shared" si="174"/>
        <v>0</v>
      </c>
      <c r="R61" s="56">
        <f t="shared" si="174"/>
        <v>0</v>
      </c>
      <c r="S61" s="56">
        <f t="shared" si="174"/>
        <v>0</v>
      </c>
      <c r="T61" s="56">
        <f t="shared" si="174"/>
        <v>0</v>
      </c>
      <c r="U61" s="56">
        <f t="shared" si="174"/>
        <v>0</v>
      </c>
      <c r="V61" s="56">
        <f t="shared" ref="V61:BA61" si="175">V9-V57</f>
        <v>0</v>
      </c>
      <c r="W61" s="56">
        <f t="shared" si="175"/>
        <v>1982.67</v>
      </c>
      <c r="X61" s="56">
        <f t="shared" si="175"/>
        <v>8702.369999999999</v>
      </c>
      <c r="Y61" s="56">
        <f t="shared" si="175"/>
        <v>8136.86</v>
      </c>
      <c r="Z61" s="56">
        <f t="shared" si="175"/>
        <v>8683.0399999999991</v>
      </c>
      <c r="AA61" s="56">
        <f t="shared" si="175"/>
        <v>10525.6</v>
      </c>
      <c r="AB61" s="56">
        <f t="shared" si="175"/>
        <v>5247.57</v>
      </c>
      <c r="AC61" s="56">
        <f t="shared" si="175"/>
        <v>6604.42</v>
      </c>
      <c r="AD61" s="56">
        <f t="shared" si="175"/>
        <v>9610.34</v>
      </c>
      <c r="AE61" s="56">
        <f t="shared" si="175"/>
        <v>10979.89</v>
      </c>
      <c r="AF61" s="56">
        <f t="shared" si="175"/>
        <v>10465.199999999999</v>
      </c>
      <c r="AG61" s="56">
        <f t="shared" ref="AG61:AL61" si="176">AG9-AG57</f>
        <v>11691.09</v>
      </c>
      <c r="AH61" s="56">
        <f t="shared" si="176"/>
        <v>11465.460000000001</v>
      </c>
      <c r="AI61" s="56">
        <f t="shared" si="176"/>
        <v>11523.82</v>
      </c>
      <c r="AJ61" s="56">
        <f t="shared" si="176"/>
        <v>8608.9699999999993</v>
      </c>
      <c r="AK61" s="288">
        <f t="shared" si="176"/>
        <v>10438.36</v>
      </c>
      <c r="AL61" s="56">
        <f t="shared" si="176"/>
        <v>9880.0014962481182</v>
      </c>
      <c r="AM61" s="288">
        <f t="shared" si="175"/>
        <v>11374.049128764025</v>
      </c>
      <c r="AN61" s="56">
        <f t="shared" si="175"/>
        <v>9512.0789160093846</v>
      </c>
      <c r="AO61" s="56">
        <f t="shared" si="175"/>
        <v>9195.9946566234412</v>
      </c>
      <c r="AP61" s="56">
        <f t="shared" si="175"/>
        <v>11036.00780407662</v>
      </c>
      <c r="AQ61" s="56">
        <f t="shared" si="175"/>
        <v>8808.9395217739329</v>
      </c>
      <c r="AR61" s="56">
        <f t="shared" si="175"/>
        <v>9732.3178409642569</v>
      </c>
      <c r="AS61" s="56">
        <f t="shared" si="175"/>
        <v>12421.727767697294</v>
      </c>
      <c r="AT61" s="56">
        <f t="shared" si="175"/>
        <v>11952.3788068381</v>
      </c>
      <c r="AU61" s="56">
        <f t="shared" si="175"/>
        <v>13971.984574942373</v>
      </c>
      <c r="AV61" s="56">
        <f t="shared" si="175"/>
        <v>14016.821818364173</v>
      </c>
      <c r="AW61" s="56">
        <f t="shared" si="175"/>
        <v>12892.945099219593</v>
      </c>
      <c r="AX61" s="56">
        <f t="shared" si="175"/>
        <v>14223.465682832673</v>
      </c>
      <c r="AY61" s="288">
        <f t="shared" si="175"/>
        <v>17272.235555760741</v>
      </c>
      <c r="AZ61" s="56">
        <f t="shared" si="175"/>
        <v>12515.741449345818</v>
      </c>
      <c r="BA61" s="56">
        <f t="shared" si="175"/>
        <v>12640.312655286039</v>
      </c>
      <c r="BB61" s="56">
        <f t="shared" ref="BB61:CG61" si="177">BB9-BB57</f>
        <v>15538.698988139882</v>
      </c>
      <c r="BC61" s="56">
        <f t="shared" si="177"/>
        <v>12095.351574128055</v>
      </c>
      <c r="BD61" s="56">
        <f t="shared" si="177"/>
        <v>12312.977530760929</v>
      </c>
      <c r="BE61" s="56">
        <f t="shared" si="177"/>
        <v>16829.92628038011</v>
      </c>
      <c r="BF61" s="56">
        <f t="shared" si="177"/>
        <v>16058.886795338052</v>
      </c>
      <c r="BG61" s="56">
        <f t="shared" si="177"/>
        <v>17923.024552620656</v>
      </c>
      <c r="BH61" s="56">
        <f t="shared" si="177"/>
        <v>18062.58629775565</v>
      </c>
      <c r="BI61" s="56">
        <f t="shared" si="177"/>
        <v>15963.583714637596</v>
      </c>
      <c r="BJ61" s="56">
        <f t="shared" si="177"/>
        <v>20412.137597609391</v>
      </c>
      <c r="BK61" s="288">
        <f t="shared" si="177"/>
        <v>22034.134392036623</v>
      </c>
      <c r="BL61" s="56">
        <f t="shared" si="177"/>
        <v>15438.998543109105</v>
      </c>
      <c r="BM61" s="56">
        <f t="shared" si="177"/>
        <v>16406.072467173341</v>
      </c>
      <c r="BN61" s="56">
        <f t="shared" si="177"/>
        <v>20788.527900539131</v>
      </c>
      <c r="BO61" s="56">
        <f t="shared" si="177"/>
        <v>15594.999253848198</v>
      </c>
      <c r="BP61" s="56">
        <f t="shared" si="177"/>
        <v>15699.046351720184</v>
      </c>
      <c r="BQ61" s="56">
        <f t="shared" si="177"/>
        <v>21054.114522254833</v>
      </c>
      <c r="BR61" s="56">
        <f t="shared" si="177"/>
        <v>19148.551250189495</v>
      </c>
      <c r="BS61" s="56">
        <f t="shared" si="177"/>
        <v>22232.59768715913</v>
      </c>
      <c r="BT61" s="56">
        <f t="shared" si="177"/>
        <v>21713.774947412294</v>
      </c>
      <c r="BU61" s="56">
        <f t="shared" si="177"/>
        <v>19089.967189301013</v>
      </c>
      <c r="BV61" s="56">
        <f t="shared" si="177"/>
        <v>24813.508891552803</v>
      </c>
      <c r="BW61" s="288">
        <f t="shared" si="177"/>
        <v>26306.070319940995</v>
      </c>
      <c r="BX61" s="56">
        <f t="shared" si="177"/>
        <v>19406.375812960945</v>
      </c>
      <c r="BY61" s="56">
        <f t="shared" si="177"/>
        <v>21745.88037945249</v>
      </c>
      <c r="BZ61" s="56">
        <f t="shared" si="177"/>
        <v>24509.356175448331</v>
      </c>
      <c r="CA61" s="56">
        <f t="shared" si="177"/>
        <v>17738.568830112039</v>
      </c>
      <c r="CB61" s="56">
        <f t="shared" si="177"/>
        <v>21336.431178019709</v>
      </c>
      <c r="CC61" s="56">
        <f t="shared" si="177"/>
        <v>24407.425773332528</v>
      </c>
      <c r="CD61" s="56">
        <f t="shared" si="177"/>
        <v>22228.772150510806</v>
      </c>
      <c r="CE61" s="56">
        <f t="shared" si="177"/>
        <v>26623.038833565002</v>
      </c>
      <c r="CF61" s="56">
        <f t="shared" si="177"/>
        <v>24559.569157054037</v>
      </c>
      <c r="CG61" s="56">
        <f t="shared" si="177"/>
        <v>23444.062116799556</v>
      </c>
      <c r="CH61" s="56">
        <f t="shared" ref="CH61:DG61" si="178">CH9-CH57</f>
        <v>29126.328642597011</v>
      </c>
      <c r="CI61" s="288">
        <f t="shared" si="178"/>
        <v>29108.96356773546</v>
      </c>
      <c r="CJ61" s="56">
        <f t="shared" si="178"/>
        <v>24890.166846626867</v>
      </c>
      <c r="CK61" s="56">
        <f t="shared" si="178"/>
        <v>24576.501941580667</v>
      </c>
      <c r="CL61" s="56">
        <f t="shared" si="178"/>
        <v>27617.716625943362</v>
      </c>
      <c r="CM61" s="56">
        <f t="shared" si="178"/>
        <v>22799.854951588233</v>
      </c>
      <c r="CN61" s="56">
        <f t="shared" si="178"/>
        <v>24910.186701622501</v>
      </c>
      <c r="CO61" s="56">
        <f t="shared" si="178"/>
        <v>27242.194448908609</v>
      </c>
      <c r="CP61" s="56">
        <f t="shared" si="178"/>
        <v>26106.865062192814</v>
      </c>
      <c r="CQ61" s="56">
        <f t="shared" si="178"/>
        <v>30729.350369856009</v>
      </c>
      <c r="CR61" s="56">
        <f t="shared" si="178"/>
        <v>27291.296550290233</v>
      </c>
      <c r="CS61" s="56">
        <f t="shared" si="178"/>
        <v>27706.714955951276</v>
      </c>
      <c r="CT61" s="56">
        <f t="shared" si="178"/>
        <v>33849.837785271608</v>
      </c>
      <c r="CU61" s="288">
        <f t="shared" si="178"/>
        <v>33912.154014138148</v>
      </c>
      <c r="CV61" s="56">
        <f t="shared" si="178"/>
        <v>28725.453753996357</v>
      </c>
      <c r="CW61" s="56">
        <f t="shared" si="178"/>
        <v>28325.138899388858</v>
      </c>
      <c r="CX61" s="56">
        <f t="shared" si="178"/>
        <v>30905.847810652736</v>
      </c>
      <c r="CY61" s="56">
        <f t="shared" si="178"/>
        <v>27158.779109108113</v>
      </c>
      <c r="CZ61" s="56">
        <f t="shared" si="178"/>
        <v>28615.951389464863</v>
      </c>
      <c r="DA61" s="56">
        <f t="shared" si="178"/>
        <v>30211.565090153214</v>
      </c>
      <c r="DB61" s="56">
        <f t="shared" si="178"/>
        <v>30805.245185310494</v>
      </c>
      <c r="DC61" s="56">
        <f t="shared" si="178"/>
        <v>34291.734173518198</v>
      </c>
      <c r="DD61" s="56">
        <f t="shared" si="178"/>
        <v>32441.823787512014</v>
      </c>
      <c r="DE61" s="56">
        <f t="shared" si="178"/>
        <v>31856.743693556797</v>
      </c>
      <c r="DF61" s="56">
        <f t="shared" si="178"/>
        <v>37894.293226949587</v>
      </c>
      <c r="DG61" s="56">
        <f t="shared" si="178"/>
        <v>40840.274020102828</v>
      </c>
    </row>
    <row r="62" spans="1:111" s="56" customFormat="1" x14ac:dyDescent="0.3">
      <c r="A62"/>
      <c r="B62" s="1" t="s">
        <v>5</v>
      </c>
      <c r="C62" s="1"/>
      <c r="D62" s="2"/>
      <c r="E62" s="2"/>
      <c r="F62" s="2"/>
      <c r="G62" s="2"/>
      <c r="H62" s="2"/>
      <c r="I62" s="2"/>
      <c r="J62" s="2"/>
      <c r="K62" s="2"/>
      <c r="L62" s="2"/>
      <c r="M62" s="2"/>
      <c r="N6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627"/>
      <c r="AL62"/>
      <c r="AM62" s="286"/>
      <c r="AN62"/>
      <c r="AO62"/>
      <c r="AP62"/>
      <c r="AQ62"/>
      <c r="AR62"/>
      <c r="AS62"/>
      <c r="AT62"/>
      <c r="AU62"/>
      <c r="AV62"/>
      <c r="AW62"/>
      <c r="AX62"/>
      <c r="AY62" s="286"/>
      <c r="AZ62"/>
      <c r="BA62"/>
      <c r="BB62"/>
      <c r="BC62"/>
      <c r="BD62"/>
      <c r="BE62"/>
      <c r="BF62"/>
      <c r="BG62"/>
      <c r="BH62"/>
      <c r="BI62"/>
      <c r="BJ62"/>
      <c r="BK62" s="286"/>
      <c r="BL62"/>
      <c r="BM62"/>
      <c r="BN62"/>
      <c r="BO62"/>
      <c r="BP62"/>
      <c r="BQ62"/>
      <c r="BR62"/>
      <c r="BS62"/>
      <c r="BT62"/>
      <c r="BU62"/>
      <c r="BV62"/>
      <c r="BW62" s="286"/>
      <c r="BX62"/>
      <c r="BY62"/>
      <c r="BZ62"/>
      <c r="CA62"/>
      <c r="CB62"/>
      <c r="CC62"/>
      <c r="CD62"/>
      <c r="CE62"/>
      <c r="CF62"/>
      <c r="CG62"/>
      <c r="CH62"/>
      <c r="CI62" s="286"/>
      <c r="CJ62"/>
      <c r="CK62"/>
      <c r="CL62"/>
      <c r="CM62"/>
      <c r="CN62"/>
      <c r="CO62"/>
      <c r="CP62"/>
      <c r="CQ62"/>
      <c r="CR62"/>
      <c r="CS62"/>
      <c r="CT62"/>
      <c r="CU62" s="286"/>
      <c r="CV62"/>
      <c r="CW62"/>
      <c r="CX62"/>
      <c r="CY62"/>
      <c r="CZ62"/>
      <c r="DA62"/>
      <c r="DB62"/>
      <c r="DC62"/>
      <c r="DD62"/>
      <c r="DE62"/>
      <c r="DF62"/>
      <c r="DG62"/>
    </row>
    <row r="63" spans="1:111" s="58" customFormat="1" x14ac:dyDescent="0.3">
      <c r="A63"/>
      <c r="B63" s="1" t="s">
        <v>339</v>
      </c>
      <c r="C63" s="1"/>
      <c r="D63" s="2"/>
      <c r="E63" s="2"/>
      <c r="F63" s="2"/>
      <c r="G63" s="2"/>
      <c r="H63" s="2"/>
      <c r="I63" s="2"/>
      <c r="J63" s="2"/>
      <c r="K63" s="2"/>
      <c r="L63" s="2"/>
      <c r="M63" s="2"/>
      <c r="N63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627"/>
      <c r="AL63"/>
      <c r="AM63" s="286"/>
      <c r="AN63"/>
      <c r="AO63"/>
      <c r="AP63"/>
      <c r="AQ63"/>
      <c r="AR63"/>
      <c r="AS63"/>
      <c r="AT63"/>
      <c r="AU63"/>
      <c r="AV63"/>
      <c r="AW63"/>
      <c r="AX63"/>
      <c r="AY63" s="286"/>
      <c r="AZ63"/>
      <c r="BA63"/>
      <c r="BB63"/>
      <c r="BC63"/>
      <c r="BD63"/>
      <c r="BE63"/>
      <c r="BF63"/>
      <c r="BG63"/>
      <c r="BH63"/>
      <c r="BI63"/>
      <c r="BJ63"/>
      <c r="BK63" s="286"/>
      <c r="BL63"/>
      <c r="BM63"/>
      <c r="BN63"/>
      <c r="BO63"/>
      <c r="BP63"/>
      <c r="BQ63"/>
      <c r="BR63"/>
      <c r="BS63"/>
      <c r="BT63"/>
      <c r="BU63"/>
      <c r="BV63"/>
      <c r="BW63" s="286"/>
      <c r="BX63"/>
      <c r="BY63"/>
      <c r="BZ63"/>
      <c r="CA63"/>
      <c r="CB63"/>
      <c r="CC63"/>
      <c r="CD63"/>
      <c r="CE63"/>
      <c r="CF63"/>
      <c r="CG63"/>
      <c r="CH63"/>
      <c r="CI63" s="286"/>
      <c r="CJ63"/>
      <c r="CK63"/>
      <c r="CL63"/>
      <c r="CM63"/>
      <c r="CN63"/>
      <c r="CO63"/>
      <c r="CP63"/>
      <c r="CQ63"/>
      <c r="CR63"/>
      <c r="CS63"/>
      <c r="CT63"/>
      <c r="CU63" s="286"/>
      <c r="CV63"/>
      <c r="CW63"/>
      <c r="CX63"/>
      <c r="CY63"/>
      <c r="CZ63"/>
      <c r="DA63"/>
      <c r="DB63"/>
      <c r="DC63"/>
      <c r="DD63"/>
      <c r="DE63"/>
      <c r="DF63"/>
      <c r="DG63"/>
    </row>
    <row r="64" spans="1:111" x14ac:dyDescent="0.3">
      <c r="B64" s="1" t="s">
        <v>340</v>
      </c>
      <c r="C64" s="1"/>
      <c r="D64" s="116"/>
      <c r="E64" s="116"/>
      <c r="F64" s="116"/>
      <c r="G64" s="116"/>
      <c r="H64" s="116"/>
      <c r="I64" s="116"/>
      <c r="J64" s="116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>
        <v>63</v>
      </c>
      <c r="AK64" s="287">
        <v>11.73</v>
      </c>
      <c r="AL64" s="234">
        <v>50</v>
      </c>
      <c r="AM64" s="287">
        <f>+AL64</f>
        <v>50</v>
      </c>
      <c r="AN64" s="234">
        <f>IF(AM$1&lt;&gt;AN$1, AM64*1.1,AM64)</f>
        <v>55.000000000000007</v>
      </c>
      <c r="AO64" s="116">
        <f t="shared" ref="AO64:CZ64" si="179">IF(AN$1&lt;&gt;AO$1, AN64*1.1,AN64)</f>
        <v>55.000000000000007</v>
      </c>
      <c r="AP64" s="116">
        <f t="shared" si="179"/>
        <v>55.000000000000007</v>
      </c>
      <c r="AQ64" s="116">
        <f t="shared" si="179"/>
        <v>55.000000000000007</v>
      </c>
      <c r="AR64" s="116">
        <f t="shared" si="179"/>
        <v>55.000000000000007</v>
      </c>
      <c r="AS64" s="116">
        <f t="shared" si="179"/>
        <v>55.000000000000007</v>
      </c>
      <c r="AT64" s="116">
        <f t="shared" si="179"/>
        <v>55.000000000000007</v>
      </c>
      <c r="AU64" s="116">
        <f t="shared" si="179"/>
        <v>55.000000000000007</v>
      </c>
      <c r="AV64" s="116">
        <f t="shared" si="179"/>
        <v>55.000000000000007</v>
      </c>
      <c r="AW64" s="116">
        <f t="shared" si="179"/>
        <v>55.000000000000007</v>
      </c>
      <c r="AX64" s="116">
        <f t="shared" si="179"/>
        <v>55.000000000000007</v>
      </c>
      <c r="AY64" s="287">
        <f t="shared" si="179"/>
        <v>55.000000000000007</v>
      </c>
      <c r="AZ64" s="116">
        <f t="shared" si="179"/>
        <v>60.500000000000014</v>
      </c>
      <c r="BA64" s="116">
        <f t="shared" si="179"/>
        <v>60.500000000000014</v>
      </c>
      <c r="BB64" s="116">
        <f t="shared" si="179"/>
        <v>60.500000000000014</v>
      </c>
      <c r="BC64" s="116">
        <f t="shared" si="179"/>
        <v>60.500000000000014</v>
      </c>
      <c r="BD64" s="116">
        <f t="shared" si="179"/>
        <v>60.500000000000014</v>
      </c>
      <c r="BE64" s="116">
        <f t="shared" si="179"/>
        <v>60.500000000000014</v>
      </c>
      <c r="BF64" s="116">
        <f t="shared" si="179"/>
        <v>60.500000000000014</v>
      </c>
      <c r="BG64" s="116">
        <f t="shared" si="179"/>
        <v>60.500000000000014</v>
      </c>
      <c r="BH64" s="116">
        <f t="shared" si="179"/>
        <v>60.500000000000014</v>
      </c>
      <c r="BI64" s="116">
        <f t="shared" si="179"/>
        <v>60.500000000000014</v>
      </c>
      <c r="BJ64" s="116">
        <f t="shared" si="179"/>
        <v>60.500000000000014</v>
      </c>
      <c r="BK64" s="287">
        <f t="shared" si="179"/>
        <v>60.500000000000014</v>
      </c>
      <c r="BL64" s="116">
        <f t="shared" si="179"/>
        <v>66.550000000000026</v>
      </c>
      <c r="BM64" s="116">
        <f t="shared" si="179"/>
        <v>66.550000000000026</v>
      </c>
      <c r="BN64" s="116">
        <f t="shared" si="179"/>
        <v>66.550000000000026</v>
      </c>
      <c r="BO64" s="116">
        <f t="shared" si="179"/>
        <v>66.550000000000026</v>
      </c>
      <c r="BP64" s="116">
        <f t="shared" si="179"/>
        <v>66.550000000000026</v>
      </c>
      <c r="BQ64" s="116">
        <f t="shared" si="179"/>
        <v>66.550000000000026</v>
      </c>
      <c r="BR64" s="116">
        <f t="shared" si="179"/>
        <v>66.550000000000026</v>
      </c>
      <c r="BS64" s="116">
        <f t="shared" si="179"/>
        <v>66.550000000000026</v>
      </c>
      <c r="BT64" s="116">
        <f t="shared" si="179"/>
        <v>66.550000000000026</v>
      </c>
      <c r="BU64" s="116">
        <f t="shared" si="179"/>
        <v>66.550000000000026</v>
      </c>
      <c r="BV64" s="116">
        <f t="shared" si="179"/>
        <v>66.550000000000026</v>
      </c>
      <c r="BW64" s="287">
        <f t="shared" si="179"/>
        <v>66.550000000000026</v>
      </c>
      <c r="BX64" s="116">
        <f t="shared" si="179"/>
        <v>73.205000000000041</v>
      </c>
      <c r="BY64" s="116">
        <f t="shared" si="179"/>
        <v>73.205000000000041</v>
      </c>
      <c r="BZ64" s="116">
        <f t="shared" si="179"/>
        <v>73.205000000000041</v>
      </c>
      <c r="CA64" s="116">
        <f t="shared" si="179"/>
        <v>73.205000000000041</v>
      </c>
      <c r="CB64" s="116">
        <f t="shared" si="179"/>
        <v>73.205000000000041</v>
      </c>
      <c r="CC64" s="116">
        <f t="shared" si="179"/>
        <v>73.205000000000041</v>
      </c>
      <c r="CD64" s="116">
        <f t="shared" si="179"/>
        <v>73.205000000000041</v>
      </c>
      <c r="CE64" s="116">
        <f t="shared" si="179"/>
        <v>73.205000000000041</v>
      </c>
      <c r="CF64" s="116">
        <f t="shared" si="179"/>
        <v>73.205000000000041</v>
      </c>
      <c r="CG64" s="116">
        <f t="shared" si="179"/>
        <v>73.205000000000041</v>
      </c>
      <c r="CH64" s="116">
        <f t="shared" si="179"/>
        <v>73.205000000000041</v>
      </c>
      <c r="CI64" s="287">
        <f t="shared" si="179"/>
        <v>73.205000000000041</v>
      </c>
      <c r="CJ64" s="116">
        <f t="shared" si="179"/>
        <v>80.525500000000051</v>
      </c>
      <c r="CK64" s="116">
        <f t="shared" si="179"/>
        <v>80.525500000000051</v>
      </c>
      <c r="CL64" s="116">
        <f t="shared" si="179"/>
        <v>80.525500000000051</v>
      </c>
      <c r="CM64" s="116">
        <f t="shared" si="179"/>
        <v>80.525500000000051</v>
      </c>
      <c r="CN64" s="116">
        <f t="shared" si="179"/>
        <v>80.525500000000051</v>
      </c>
      <c r="CO64" s="116">
        <f t="shared" si="179"/>
        <v>80.525500000000051</v>
      </c>
      <c r="CP64" s="116">
        <f t="shared" si="179"/>
        <v>80.525500000000051</v>
      </c>
      <c r="CQ64" s="116">
        <f t="shared" si="179"/>
        <v>80.525500000000051</v>
      </c>
      <c r="CR64" s="116">
        <f t="shared" si="179"/>
        <v>80.525500000000051</v>
      </c>
      <c r="CS64" s="116">
        <f t="shared" si="179"/>
        <v>80.525500000000051</v>
      </c>
      <c r="CT64" s="116">
        <f t="shared" si="179"/>
        <v>80.525500000000051</v>
      </c>
      <c r="CU64" s="287">
        <f t="shared" si="179"/>
        <v>80.525500000000051</v>
      </c>
      <c r="CV64" s="116">
        <f t="shared" si="179"/>
        <v>88.578050000000061</v>
      </c>
      <c r="CW64" s="116">
        <f t="shared" si="179"/>
        <v>88.578050000000061</v>
      </c>
      <c r="CX64" s="116">
        <f t="shared" si="179"/>
        <v>88.578050000000061</v>
      </c>
      <c r="CY64" s="116">
        <f t="shared" si="179"/>
        <v>88.578050000000061</v>
      </c>
      <c r="CZ64" s="116">
        <f t="shared" si="179"/>
        <v>88.578050000000061</v>
      </c>
      <c r="DA64" s="116">
        <f t="shared" ref="DA64:DG64" si="180">IF(CZ$1&lt;&gt;DA$1, CZ64*1.1,CZ64)</f>
        <v>88.578050000000061</v>
      </c>
      <c r="DB64" s="116">
        <f t="shared" si="180"/>
        <v>88.578050000000061</v>
      </c>
      <c r="DC64" s="116">
        <f t="shared" si="180"/>
        <v>88.578050000000061</v>
      </c>
      <c r="DD64" s="116">
        <f t="shared" si="180"/>
        <v>88.578050000000061</v>
      </c>
      <c r="DE64" s="116">
        <f t="shared" si="180"/>
        <v>88.578050000000061</v>
      </c>
      <c r="DF64" s="116">
        <f t="shared" si="180"/>
        <v>88.578050000000061</v>
      </c>
      <c r="DG64" s="116">
        <f t="shared" si="180"/>
        <v>88.578050000000061</v>
      </c>
    </row>
    <row r="65" spans="1:111" x14ac:dyDescent="0.3">
      <c r="B65" s="4" t="s">
        <v>341</v>
      </c>
      <c r="C65" s="4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56"/>
      <c r="W65" s="56"/>
      <c r="X65" s="56"/>
      <c r="Y65" s="56"/>
      <c r="Z65" s="56"/>
      <c r="AA65" s="56"/>
      <c r="AB65" s="56">
        <f>SUM(AB63:AB64)</f>
        <v>0</v>
      </c>
      <c r="AC65" s="56">
        <f t="shared" ref="AC65:CN65" si="181">SUM(AC63:AC64)</f>
        <v>0</v>
      </c>
      <c r="AD65" s="56">
        <f t="shared" si="181"/>
        <v>0</v>
      </c>
      <c r="AE65" s="56">
        <f t="shared" si="181"/>
        <v>0</v>
      </c>
      <c r="AF65" s="56">
        <f t="shared" si="181"/>
        <v>0</v>
      </c>
      <c r="AG65" s="56">
        <f t="shared" si="181"/>
        <v>0</v>
      </c>
      <c r="AH65" s="56">
        <f t="shared" si="181"/>
        <v>0</v>
      </c>
      <c r="AI65" s="56">
        <f t="shared" si="181"/>
        <v>0</v>
      </c>
      <c r="AJ65" s="56">
        <f t="shared" si="181"/>
        <v>63</v>
      </c>
      <c r="AK65" s="288">
        <f t="shared" ref="AK65" si="182">SUM(AK63:AK64)</f>
        <v>11.73</v>
      </c>
      <c r="AL65" s="56">
        <f t="shared" ref="AL65" si="183">SUM(AL63:AL64)</f>
        <v>50</v>
      </c>
      <c r="AM65" s="288">
        <f t="shared" si="181"/>
        <v>50</v>
      </c>
      <c r="AN65" s="56">
        <f t="shared" si="181"/>
        <v>55.000000000000007</v>
      </c>
      <c r="AO65" s="56">
        <f t="shared" si="181"/>
        <v>55.000000000000007</v>
      </c>
      <c r="AP65" s="56">
        <f t="shared" si="181"/>
        <v>55.000000000000007</v>
      </c>
      <c r="AQ65" s="56">
        <f t="shared" si="181"/>
        <v>55.000000000000007</v>
      </c>
      <c r="AR65" s="56">
        <f t="shared" si="181"/>
        <v>55.000000000000007</v>
      </c>
      <c r="AS65" s="56">
        <f t="shared" si="181"/>
        <v>55.000000000000007</v>
      </c>
      <c r="AT65" s="56">
        <f t="shared" si="181"/>
        <v>55.000000000000007</v>
      </c>
      <c r="AU65" s="56">
        <f t="shared" si="181"/>
        <v>55.000000000000007</v>
      </c>
      <c r="AV65" s="56">
        <f t="shared" si="181"/>
        <v>55.000000000000007</v>
      </c>
      <c r="AW65" s="56">
        <f t="shared" si="181"/>
        <v>55.000000000000007</v>
      </c>
      <c r="AX65" s="56">
        <f t="shared" si="181"/>
        <v>55.000000000000007</v>
      </c>
      <c r="AY65" s="288">
        <f t="shared" si="181"/>
        <v>55.000000000000007</v>
      </c>
      <c r="AZ65" s="56">
        <f t="shared" si="181"/>
        <v>60.500000000000014</v>
      </c>
      <c r="BA65" s="56">
        <f t="shared" si="181"/>
        <v>60.500000000000014</v>
      </c>
      <c r="BB65" s="56">
        <f t="shared" si="181"/>
        <v>60.500000000000014</v>
      </c>
      <c r="BC65" s="56">
        <f t="shared" si="181"/>
        <v>60.500000000000014</v>
      </c>
      <c r="BD65" s="56">
        <f t="shared" si="181"/>
        <v>60.500000000000014</v>
      </c>
      <c r="BE65" s="56">
        <f t="shared" si="181"/>
        <v>60.500000000000014</v>
      </c>
      <c r="BF65" s="56">
        <f t="shared" si="181"/>
        <v>60.500000000000014</v>
      </c>
      <c r="BG65" s="56">
        <f t="shared" si="181"/>
        <v>60.500000000000014</v>
      </c>
      <c r="BH65" s="56">
        <f t="shared" si="181"/>
        <v>60.500000000000014</v>
      </c>
      <c r="BI65" s="56">
        <f t="shared" si="181"/>
        <v>60.500000000000014</v>
      </c>
      <c r="BJ65" s="56">
        <f t="shared" si="181"/>
        <v>60.500000000000014</v>
      </c>
      <c r="BK65" s="288">
        <f t="shared" si="181"/>
        <v>60.500000000000014</v>
      </c>
      <c r="BL65" s="56">
        <f t="shared" si="181"/>
        <v>66.550000000000026</v>
      </c>
      <c r="BM65" s="56">
        <f t="shared" si="181"/>
        <v>66.550000000000026</v>
      </c>
      <c r="BN65" s="56">
        <f t="shared" si="181"/>
        <v>66.550000000000026</v>
      </c>
      <c r="BO65" s="56">
        <f t="shared" si="181"/>
        <v>66.550000000000026</v>
      </c>
      <c r="BP65" s="56">
        <f t="shared" si="181"/>
        <v>66.550000000000026</v>
      </c>
      <c r="BQ65" s="56">
        <f t="shared" si="181"/>
        <v>66.550000000000026</v>
      </c>
      <c r="BR65" s="56">
        <f t="shared" si="181"/>
        <v>66.550000000000026</v>
      </c>
      <c r="BS65" s="56">
        <f t="shared" si="181"/>
        <v>66.550000000000026</v>
      </c>
      <c r="BT65" s="56">
        <f t="shared" si="181"/>
        <v>66.550000000000026</v>
      </c>
      <c r="BU65" s="56">
        <f t="shared" si="181"/>
        <v>66.550000000000026</v>
      </c>
      <c r="BV65" s="56">
        <f t="shared" si="181"/>
        <v>66.550000000000026</v>
      </c>
      <c r="BW65" s="288">
        <f t="shared" si="181"/>
        <v>66.550000000000026</v>
      </c>
      <c r="BX65" s="56">
        <f t="shared" si="181"/>
        <v>73.205000000000041</v>
      </c>
      <c r="BY65" s="56">
        <f t="shared" si="181"/>
        <v>73.205000000000041</v>
      </c>
      <c r="BZ65" s="56">
        <f t="shared" si="181"/>
        <v>73.205000000000041</v>
      </c>
      <c r="CA65" s="56">
        <f t="shared" si="181"/>
        <v>73.205000000000041</v>
      </c>
      <c r="CB65" s="56">
        <f t="shared" si="181"/>
        <v>73.205000000000041</v>
      </c>
      <c r="CC65" s="56">
        <f t="shared" si="181"/>
        <v>73.205000000000041</v>
      </c>
      <c r="CD65" s="56">
        <f t="shared" si="181"/>
        <v>73.205000000000041</v>
      </c>
      <c r="CE65" s="56">
        <f t="shared" si="181"/>
        <v>73.205000000000041</v>
      </c>
      <c r="CF65" s="56">
        <f t="shared" si="181"/>
        <v>73.205000000000041</v>
      </c>
      <c r="CG65" s="56">
        <f t="shared" si="181"/>
        <v>73.205000000000041</v>
      </c>
      <c r="CH65" s="56">
        <f t="shared" si="181"/>
        <v>73.205000000000041</v>
      </c>
      <c r="CI65" s="288">
        <f t="shared" si="181"/>
        <v>73.205000000000041</v>
      </c>
      <c r="CJ65" s="56">
        <f t="shared" si="181"/>
        <v>80.525500000000051</v>
      </c>
      <c r="CK65" s="56">
        <f t="shared" si="181"/>
        <v>80.525500000000051</v>
      </c>
      <c r="CL65" s="56">
        <f t="shared" si="181"/>
        <v>80.525500000000051</v>
      </c>
      <c r="CM65" s="56">
        <f t="shared" si="181"/>
        <v>80.525500000000051</v>
      </c>
      <c r="CN65" s="56">
        <f t="shared" si="181"/>
        <v>80.525500000000051</v>
      </c>
      <c r="CO65" s="56">
        <f t="shared" ref="CO65:DG65" si="184">SUM(CO63:CO64)</f>
        <v>80.525500000000051</v>
      </c>
      <c r="CP65" s="56">
        <f t="shared" si="184"/>
        <v>80.525500000000051</v>
      </c>
      <c r="CQ65" s="56">
        <f t="shared" si="184"/>
        <v>80.525500000000051</v>
      </c>
      <c r="CR65" s="56">
        <f t="shared" si="184"/>
        <v>80.525500000000051</v>
      </c>
      <c r="CS65" s="56">
        <f t="shared" si="184"/>
        <v>80.525500000000051</v>
      </c>
      <c r="CT65" s="56">
        <f t="shared" si="184"/>
        <v>80.525500000000051</v>
      </c>
      <c r="CU65" s="288">
        <f t="shared" si="184"/>
        <v>80.525500000000051</v>
      </c>
      <c r="CV65" s="56">
        <f t="shared" si="184"/>
        <v>88.578050000000061</v>
      </c>
      <c r="CW65" s="56">
        <f t="shared" si="184"/>
        <v>88.578050000000061</v>
      </c>
      <c r="CX65" s="56">
        <f t="shared" si="184"/>
        <v>88.578050000000061</v>
      </c>
      <c r="CY65" s="56">
        <f t="shared" si="184"/>
        <v>88.578050000000061</v>
      </c>
      <c r="CZ65" s="56">
        <f t="shared" si="184"/>
        <v>88.578050000000061</v>
      </c>
      <c r="DA65" s="56">
        <f t="shared" si="184"/>
        <v>88.578050000000061</v>
      </c>
      <c r="DB65" s="56">
        <f t="shared" si="184"/>
        <v>88.578050000000061</v>
      </c>
      <c r="DC65" s="56">
        <f t="shared" si="184"/>
        <v>88.578050000000061</v>
      </c>
      <c r="DD65" s="56">
        <f t="shared" si="184"/>
        <v>88.578050000000061</v>
      </c>
      <c r="DE65" s="56">
        <f t="shared" si="184"/>
        <v>88.578050000000061</v>
      </c>
      <c r="DF65" s="56">
        <f t="shared" si="184"/>
        <v>88.578050000000061</v>
      </c>
      <c r="DG65" s="56">
        <f t="shared" si="184"/>
        <v>88.578050000000061</v>
      </c>
    </row>
    <row r="66" spans="1:111" s="58" customFormat="1" x14ac:dyDescent="0.3">
      <c r="A66"/>
      <c r="B66" s="1"/>
      <c r="C66" s="1"/>
      <c r="D66" s="2"/>
      <c r="E66" s="2"/>
      <c r="F66" s="2"/>
      <c r="G66" s="2"/>
      <c r="H66" s="2"/>
      <c r="I66" s="2"/>
      <c r="J66" s="2"/>
      <c r="K66" s="2"/>
      <c r="L66" s="2"/>
      <c r="M66" s="2"/>
      <c r="N66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627"/>
      <c r="AL66"/>
      <c r="AM66" s="286"/>
      <c r="AN66"/>
      <c r="AO66"/>
      <c r="AP66"/>
      <c r="AQ66"/>
      <c r="AR66"/>
      <c r="AS66"/>
      <c r="AT66"/>
      <c r="AU66"/>
      <c r="AV66"/>
      <c r="AW66"/>
      <c r="AX66"/>
      <c r="AY66" s="286"/>
      <c r="AZ66"/>
      <c r="BA66"/>
      <c r="BB66"/>
      <c r="BC66"/>
      <c r="BD66"/>
      <c r="BE66"/>
      <c r="BF66"/>
      <c r="BG66"/>
      <c r="BH66"/>
      <c r="BI66"/>
      <c r="BJ66"/>
      <c r="BK66" s="286"/>
      <c r="BL66"/>
      <c r="BM66"/>
      <c r="BN66"/>
      <c r="BO66"/>
      <c r="BP66"/>
      <c r="BQ66"/>
      <c r="BR66"/>
      <c r="BS66"/>
      <c r="BT66"/>
      <c r="BU66"/>
      <c r="BV66"/>
      <c r="BW66" s="286"/>
      <c r="BX66"/>
      <c r="BY66"/>
      <c r="BZ66"/>
      <c r="CA66"/>
      <c r="CB66"/>
      <c r="CC66"/>
      <c r="CD66"/>
      <c r="CE66"/>
      <c r="CF66"/>
      <c r="CG66"/>
      <c r="CH66"/>
      <c r="CI66" s="286"/>
      <c r="CJ66"/>
      <c r="CK66"/>
      <c r="CL66"/>
      <c r="CM66"/>
      <c r="CN66"/>
      <c r="CO66"/>
      <c r="CP66"/>
      <c r="CQ66"/>
      <c r="CR66"/>
      <c r="CS66"/>
      <c r="CT66"/>
      <c r="CU66" s="286"/>
      <c r="CV66"/>
      <c r="CW66"/>
      <c r="CX66"/>
      <c r="CY66"/>
      <c r="CZ66"/>
      <c r="DA66"/>
      <c r="DB66"/>
      <c r="DC66"/>
      <c r="DD66"/>
      <c r="DE66"/>
      <c r="DF66"/>
      <c r="DG66"/>
    </row>
    <row r="67" spans="1:111" s="58" customFormat="1" x14ac:dyDescent="0.3">
      <c r="A67"/>
      <c r="B67" s="1" t="s">
        <v>338</v>
      </c>
      <c r="C67" s="1"/>
      <c r="D67" s="2"/>
      <c r="E67" s="2"/>
      <c r="F67" s="2"/>
      <c r="G67" s="2"/>
      <c r="H67" s="2"/>
      <c r="I67" s="2"/>
      <c r="J67" s="2"/>
      <c r="K67" s="2"/>
      <c r="L67" s="2"/>
      <c r="M67" s="2"/>
      <c r="N67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627"/>
      <c r="AL67"/>
      <c r="AM67" s="286"/>
      <c r="AN67"/>
      <c r="AO67"/>
      <c r="AP67"/>
      <c r="AQ67"/>
      <c r="AR67"/>
      <c r="AS67"/>
      <c r="AT67"/>
      <c r="AU67"/>
      <c r="AV67"/>
      <c r="AW67"/>
      <c r="AX67"/>
      <c r="AY67" s="286"/>
      <c r="AZ67"/>
      <c r="BA67"/>
      <c r="BB67"/>
      <c r="BC67"/>
      <c r="BD67"/>
      <c r="BE67"/>
      <c r="BF67"/>
      <c r="BG67"/>
      <c r="BH67"/>
      <c r="BI67"/>
      <c r="BJ67"/>
      <c r="BK67" s="286"/>
      <c r="BL67"/>
      <c r="BM67"/>
      <c r="BN67"/>
      <c r="BO67"/>
      <c r="BP67"/>
      <c r="BQ67"/>
      <c r="BR67"/>
      <c r="BS67"/>
      <c r="BT67"/>
      <c r="BU67"/>
      <c r="BV67"/>
      <c r="BW67" s="286"/>
      <c r="BX67"/>
      <c r="BY67"/>
      <c r="BZ67"/>
      <c r="CA67"/>
      <c r="CB67"/>
      <c r="CC67"/>
      <c r="CD67"/>
      <c r="CE67"/>
      <c r="CF67"/>
      <c r="CG67"/>
      <c r="CH67"/>
      <c r="CI67" s="286"/>
      <c r="CJ67"/>
      <c r="CK67"/>
      <c r="CL67"/>
      <c r="CM67"/>
      <c r="CN67"/>
      <c r="CO67"/>
      <c r="CP67"/>
      <c r="CQ67"/>
      <c r="CR67"/>
      <c r="CS67"/>
      <c r="CT67"/>
      <c r="CU67" s="286"/>
      <c r="CV67"/>
      <c r="CW67"/>
      <c r="CX67"/>
      <c r="CY67"/>
      <c r="CZ67"/>
      <c r="DA67"/>
      <c r="DB67"/>
      <c r="DC67"/>
      <c r="DD67"/>
      <c r="DE67"/>
      <c r="DF67"/>
      <c r="DG67"/>
    </row>
    <row r="68" spans="1:111" x14ac:dyDescent="0.3">
      <c r="B68" s="1" t="s">
        <v>240</v>
      </c>
      <c r="C68" s="1"/>
      <c r="D68" s="116"/>
      <c r="E68" s="116"/>
      <c r="F68" s="116"/>
      <c r="G68" s="116"/>
      <c r="H68" s="116"/>
      <c r="I68" s="116"/>
      <c r="J68" s="116"/>
      <c r="K68" s="116"/>
      <c r="L68" s="116"/>
      <c r="M68" s="116"/>
      <c r="N68" s="116"/>
      <c r="O68" s="116"/>
      <c r="P68" s="116"/>
      <c r="Q68" s="116"/>
      <c r="R68" s="116"/>
      <c r="S68" s="116"/>
      <c r="T68" s="116"/>
      <c r="U68" s="116"/>
      <c r="V68" s="116"/>
      <c r="W68" s="116"/>
      <c r="X68" s="116"/>
      <c r="Y68" s="116"/>
      <c r="Z68" s="116">
        <v>345</v>
      </c>
      <c r="AA68" s="116"/>
      <c r="AB68" s="116"/>
      <c r="AC68" s="116"/>
      <c r="AD68" s="116"/>
      <c r="AE68" s="116">
        <v>55</v>
      </c>
      <c r="AF68" s="116">
        <v>55</v>
      </c>
      <c r="AG68" s="116">
        <v>55</v>
      </c>
      <c r="AH68" s="116">
        <v>59.99</v>
      </c>
      <c r="AI68" s="116">
        <v>64.989999999999995</v>
      </c>
      <c r="AJ68" s="116">
        <v>64.989999999999995</v>
      </c>
      <c r="AK68" s="287">
        <v>65</v>
      </c>
      <c r="AL68" s="234">
        <f>+AVERAGE(AI68:AK68)</f>
        <v>64.993333333333325</v>
      </c>
      <c r="AM68" s="287">
        <f t="shared" ref="AM68:CA68" si="185">AL68</f>
        <v>64.993333333333325</v>
      </c>
      <c r="AN68" s="234">
        <f>+AVERAGE(AK68:AM68)</f>
        <v>64.995555555555555</v>
      </c>
      <c r="AO68" s="116">
        <f t="shared" si="185"/>
        <v>64.995555555555555</v>
      </c>
      <c r="AP68" s="116">
        <f t="shared" si="185"/>
        <v>64.995555555555555</v>
      </c>
      <c r="AQ68" s="116">
        <f t="shared" si="185"/>
        <v>64.995555555555555</v>
      </c>
      <c r="AR68" s="116">
        <f t="shared" si="185"/>
        <v>64.995555555555555</v>
      </c>
      <c r="AS68" s="116">
        <f t="shared" si="185"/>
        <v>64.995555555555555</v>
      </c>
      <c r="AT68" s="116">
        <f t="shared" si="185"/>
        <v>64.995555555555555</v>
      </c>
      <c r="AU68" s="116">
        <f t="shared" si="185"/>
        <v>64.995555555555555</v>
      </c>
      <c r="AV68" s="116">
        <f t="shared" si="185"/>
        <v>64.995555555555555</v>
      </c>
      <c r="AW68" s="116">
        <f t="shared" si="185"/>
        <v>64.995555555555555</v>
      </c>
      <c r="AX68" s="116">
        <f t="shared" si="185"/>
        <v>64.995555555555555</v>
      </c>
      <c r="AY68" s="287">
        <f t="shared" si="185"/>
        <v>64.995555555555555</v>
      </c>
      <c r="AZ68" s="116">
        <f t="shared" si="185"/>
        <v>64.995555555555555</v>
      </c>
      <c r="BA68" s="116">
        <f t="shared" si="185"/>
        <v>64.995555555555555</v>
      </c>
      <c r="BB68" s="116">
        <f t="shared" si="185"/>
        <v>64.995555555555555</v>
      </c>
      <c r="BC68" s="116">
        <f t="shared" si="185"/>
        <v>64.995555555555555</v>
      </c>
      <c r="BD68" s="116">
        <f t="shared" si="185"/>
        <v>64.995555555555555</v>
      </c>
      <c r="BE68" s="116">
        <f t="shared" si="185"/>
        <v>64.995555555555555</v>
      </c>
      <c r="BF68" s="116">
        <f t="shared" si="185"/>
        <v>64.995555555555555</v>
      </c>
      <c r="BG68" s="116">
        <f t="shared" si="185"/>
        <v>64.995555555555555</v>
      </c>
      <c r="BH68" s="116">
        <f t="shared" si="185"/>
        <v>64.995555555555555</v>
      </c>
      <c r="BI68" s="116">
        <f t="shared" si="185"/>
        <v>64.995555555555555</v>
      </c>
      <c r="BJ68" s="116">
        <f t="shared" si="185"/>
        <v>64.995555555555555</v>
      </c>
      <c r="BK68" s="287">
        <f t="shared" si="185"/>
        <v>64.995555555555555</v>
      </c>
      <c r="BL68" s="116">
        <f t="shared" si="185"/>
        <v>64.995555555555555</v>
      </c>
      <c r="BM68" s="116">
        <f t="shared" si="185"/>
        <v>64.995555555555555</v>
      </c>
      <c r="BN68" s="116">
        <f t="shared" si="185"/>
        <v>64.995555555555555</v>
      </c>
      <c r="BO68" s="116">
        <f t="shared" si="185"/>
        <v>64.995555555555555</v>
      </c>
      <c r="BP68" s="116">
        <f t="shared" si="185"/>
        <v>64.995555555555555</v>
      </c>
      <c r="BQ68" s="116">
        <f t="shared" si="185"/>
        <v>64.995555555555555</v>
      </c>
      <c r="BR68" s="116">
        <f t="shared" si="185"/>
        <v>64.995555555555555</v>
      </c>
      <c r="BS68" s="116">
        <f t="shared" si="185"/>
        <v>64.995555555555555</v>
      </c>
      <c r="BT68" s="116">
        <f t="shared" si="185"/>
        <v>64.995555555555555</v>
      </c>
      <c r="BU68" s="116">
        <f t="shared" si="185"/>
        <v>64.995555555555555</v>
      </c>
      <c r="BV68" s="116">
        <f t="shared" si="185"/>
        <v>64.995555555555555</v>
      </c>
      <c r="BW68" s="287">
        <f t="shared" si="185"/>
        <v>64.995555555555555</v>
      </c>
      <c r="BX68" s="116">
        <f t="shared" si="185"/>
        <v>64.995555555555555</v>
      </c>
      <c r="BY68" s="116">
        <f t="shared" si="185"/>
        <v>64.995555555555555</v>
      </c>
      <c r="BZ68" s="116">
        <f t="shared" si="185"/>
        <v>64.995555555555555</v>
      </c>
      <c r="CA68" s="116">
        <f t="shared" si="185"/>
        <v>64.995555555555555</v>
      </c>
      <c r="CB68" s="116">
        <f t="shared" ref="CB68:DG68" si="186">CA68</f>
        <v>64.995555555555555</v>
      </c>
      <c r="CC68" s="116">
        <f t="shared" si="186"/>
        <v>64.995555555555555</v>
      </c>
      <c r="CD68" s="116">
        <f t="shared" si="186"/>
        <v>64.995555555555555</v>
      </c>
      <c r="CE68" s="116">
        <f t="shared" si="186"/>
        <v>64.995555555555555</v>
      </c>
      <c r="CF68" s="116">
        <f t="shared" si="186"/>
        <v>64.995555555555555</v>
      </c>
      <c r="CG68" s="116">
        <f t="shared" si="186"/>
        <v>64.995555555555555</v>
      </c>
      <c r="CH68" s="116">
        <f t="shared" si="186"/>
        <v>64.995555555555555</v>
      </c>
      <c r="CI68" s="287">
        <f t="shared" si="186"/>
        <v>64.995555555555555</v>
      </c>
      <c r="CJ68" s="116">
        <f t="shared" si="186"/>
        <v>64.995555555555555</v>
      </c>
      <c r="CK68" s="116">
        <f t="shared" si="186"/>
        <v>64.995555555555555</v>
      </c>
      <c r="CL68" s="116">
        <f t="shared" si="186"/>
        <v>64.995555555555555</v>
      </c>
      <c r="CM68" s="116">
        <f t="shared" si="186"/>
        <v>64.995555555555555</v>
      </c>
      <c r="CN68" s="116">
        <f t="shared" si="186"/>
        <v>64.995555555555555</v>
      </c>
      <c r="CO68" s="116">
        <f t="shared" si="186"/>
        <v>64.995555555555555</v>
      </c>
      <c r="CP68" s="116">
        <f t="shared" si="186"/>
        <v>64.995555555555555</v>
      </c>
      <c r="CQ68" s="116">
        <f t="shared" si="186"/>
        <v>64.995555555555555</v>
      </c>
      <c r="CR68" s="116">
        <f t="shared" si="186"/>
        <v>64.995555555555555</v>
      </c>
      <c r="CS68" s="116">
        <f t="shared" si="186"/>
        <v>64.995555555555555</v>
      </c>
      <c r="CT68" s="116">
        <f t="shared" si="186"/>
        <v>64.995555555555555</v>
      </c>
      <c r="CU68" s="287">
        <f t="shared" si="186"/>
        <v>64.995555555555555</v>
      </c>
      <c r="CV68" s="116">
        <f t="shared" si="186"/>
        <v>64.995555555555555</v>
      </c>
      <c r="CW68" s="116">
        <f t="shared" si="186"/>
        <v>64.995555555555555</v>
      </c>
      <c r="CX68" s="116">
        <f t="shared" si="186"/>
        <v>64.995555555555555</v>
      </c>
      <c r="CY68" s="116">
        <f t="shared" si="186"/>
        <v>64.995555555555555</v>
      </c>
      <c r="CZ68" s="116">
        <f t="shared" si="186"/>
        <v>64.995555555555555</v>
      </c>
      <c r="DA68" s="116">
        <f t="shared" si="186"/>
        <v>64.995555555555555</v>
      </c>
      <c r="DB68" s="116">
        <f t="shared" si="186"/>
        <v>64.995555555555555</v>
      </c>
      <c r="DC68" s="116">
        <f t="shared" si="186"/>
        <v>64.995555555555555</v>
      </c>
      <c r="DD68" s="116">
        <f t="shared" si="186"/>
        <v>64.995555555555555</v>
      </c>
      <c r="DE68" s="116">
        <f t="shared" si="186"/>
        <v>64.995555555555555</v>
      </c>
      <c r="DF68" s="116">
        <f t="shared" si="186"/>
        <v>64.995555555555555</v>
      </c>
      <c r="DG68" s="116">
        <f t="shared" si="186"/>
        <v>64.995555555555555</v>
      </c>
    </row>
    <row r="69" spans="1:111" x14ac:dyDescent="0.3">
      <c r="B69" s="1" t="s">
        <v>241</v>
      </c>
      <c r="C69" s="1"/>
      <c r="D69" s="116"/>
      <c r="E69" s="116"/>
      <c r="F69" s="116"/>
      <c r="G69" s="116"/>
      <c r="H69" s="116"/>
      <c r="I69" s="116"/>
      <c r="J69" s="116"/>
      <c r="K69" s="116"/>
      <c r="L69" s="116"/>
      <c r="M69" s="116"/>
      <c r="N69" s="116"/>
      <c r="O69" s="116"/>
      <c r="P69" s="116"/>
      <c r="Q69" s="116"/>
      <c r="R69" s="116"/>
      <c r="S69" s="116"/>
      <c r="T69" s="116"/>
      <c r="U69" s="116"/>
      <c r="V69" s="116"/>
      <c r="W69" s="116"/>
      <c r="X69" s="116"/>
      <c r="Y69" s="116"/>
      <c r="Z69" s="116"/>
      <c r="AA69" s="116"/>
      <c r="AB69" s="116"/>
      <c r="AC69" s="116">
        <v>153.08000000000001</v>
      </c>
      <c r="AD69" s="116"/>
      <c r="AE69" s="116"/>
      <c r="AF69" s="116"/>
      <c r="AG69" s="116"/>
      <c r="AH69" s="116">
        <v>374.22</v>
      </c>
      <c r="AI69" s="116">
        <v>152</v>
      </c>
      <c r="AJ69" s="116">
        <v>422.45</v>
      </c>
      <c r="AK69" s="287"/>
      <c r="AL69" s="234">
        <v>100</v>
      </c>
      <c r="AM69" s="287">
        <f t="shared" ref="AM69:AM73" si="187">AL69</f>
        <v>100</v>
      </c>
      <c r="AN69" s="234">
        <f>IF(AN$1&lt;&gt;AM$1, AM69*1.1,AM69)</f>
        <v>110.00000000000001</v>
      </c>
      <c r="AO69" s="116">
        <f t="shared" ref="AO69:CZ69" si="188">IF(AO$1&lt;&gt;AN$1, AN69*1.1,AN69)</f>
        <v>110.00000000000001</v>
      </c>
      <c r="AP69" s="116">
        <f t="shared" si="188"/>
        <v>110.00000000000001</v>
      </c>
      <c r="AQ69" s="116">
        <f t="shared" si="188"/>
        <v>110.00000000000001</v>
      </c>
      <c r="AR69" s="116">
        <f t="shared" si="188"/>
        <v>110.00000000000001</v>
      </c>
      <c r="AS69" s="116">
        <f t="shared" si="188"/>
        <v>110.00000000000001</v>
      </c>
      <c r="AT69" s="116">
        <f t="shared" si="188"/>
        <v>110.00000000000001</v>
      </c>
      <c r="AU69" s="116">
        <f t="shared" si="188"/>
        <v>110.00000000000001</v>
      </c>
      <c r="AV69" s="116">
        <f t="shared" si="188"/>
        <v>110.00000000000001</v>
      </c>
      <c r="AW69" s="116">
        <f t="shared" si="188"/>
        <v>110.00000000000001</v>
      </c>
      <c r="AX69" s="116">
        <f t="shared" si="188"/>
        <v>110.00000000000001</v>
      </c>
      <c r="AY69" s="287">
        <f t="shared" si="188"/>
        <v>110.00000000000001</v>
      </c>
      <c r="AZ69" s="116">
        <f t="shared" si="188"/>
        <v>121.00000000000003</v>
      </c>
      <c r="BA69" s="116">
        <f t="shared" si="188"/>
        <v>121.00000000000003</v>
      </c>
      <c r="BB69" s="116">
        <f t="shared" si="188"/>
        <v>121.00000000000003</v>
      </c>
      <c r="BC69" s="116">
        <f t="shared" si="188"/>
        <v>121.00000000000003</v>
      </c>
      <c r="BD69" s="116">
        <f t="shared" si="188"/>
        <v>121.00000000000003</v>
      </c>
      <c r="BE69" s="116">
        <f t="shared" si="188"/>
        <v>121.00000000000003</v>
      </c>
      <c r="BF69" s="116">
        <f t="shared" si="188"/>
        <v>121.00000000000003</v>
      </c>
      <c r="BG69" s="116">
        <f t="shared" si="188"/>
        <v>121.00000000000003</v>
      </c>
      <c r="BH69" s="116">
        <f t="shared" si="188"/>
        <v>121.00000000000003</v>
      </c>
      <c r="BI69" s="116">
        <f t="shared" si="188"/>
        <v>121.00000000000003</v>
      </c>
      <c r="BJ69" s="116">
        <f t="shared" si="188"/>
        <v>121.00000000000003</v>
      </c>
      <c r="BK69" s="287">
        <f t="shared" si="188"/>
        <v>121.00000000000003</v>
      </c>
      <c r="BL69" s="116">
        <f t="shared" si="188"/>
        <v>133.10000000000005</v>
      </c>
      <c r="BM69" s="116">
        <f t="shared" si="188"/>
        <v>133.10000000000005</v>
      </c>
      <c r="BN69" s="116">
        <f t="shared" si="188"/>
        <v>133.10000000000005</v>
      </c>
      <c r="BO69" s="116">
        <f t="shared" si="188"/>
        <v>133.10000000000005</v>
      </c>
      <c r="BP69" s="116">
        <f t="shared" si="188"/>
        <v>133.10000000000005</v>
      </c>
      <c r="BQ69" s="116">
        <f t="shared" si="188"/>
        <v>133.10000000000005</v>
      </c>
      <c r="BR69" s="116">
        <f t="shared" si="188"/>
        <v>133.10000000000005</v>
      </c>
      <c r="BS69" s="116">
        <f t="shared" si="188"/>
        <v>133.10000000000005</v>
      </c>
      <c r="BT69" s="116">
        <f t="shared" si="188"/>
        <v>133.10000000000005</v>
      </c>
      <c r="BU69" s="116">
        <f t="shared" si="188"/>
        <v>133.10000000000005</v>
      </c>
      <c r="BV69" s="116">
        <f t="shared" si="188"/>
        <v>133.10000000000005</v>
      </c>
      <c r="BW69" s="287">
        <f t="shared" si="188"/>
        <v>133.10000000000005</v>
      </c>
      <c r="BX69" s="116">
        <f t="shared" si="188"/>
        <v>146.41000000000008</v>
      </c>
      <c r="BY69" s="116">
        <f t="shared" si="188"/>
        <v>146.41000000000008</v>
      </c>
      <c r="BZ69" s="116">
        <f t="shared" si="188"/>
        <v>146.41000000000008</v>
      </c>
      <c r="CA69" s="116">
        <f t="shared" si="188"/>
        <v>146.41000000000008</v>
      </c>
      <c r="CB69" s="116">
        <f t="shared" si="188"/>
        <v>146.41000000000008</v>
      </c>
      <c r="CC69" s="116">
        <f t="shared" si="188"/>
        <v>146.41000000000008</v>
      </c>
      <c r="CD69" s="116">
        <f t="shared" si="188"/>
        <v>146.41000000000008</v>
      </c>
      <c r="CE69" s="116">
        <f t="shared" si="188"/>
        <v>146.41000000000008</v>
      </c>
      <c r="CF69" s="116">
        <f t="shared" si="188"/>
        <v>146.41000000000008</v>
      </c>
      <c r="CG69" s="116">
        <f t="shared" si="188"/>
        <v>146.41000000000008</v>
      </c>
      <c r="CH69" s="116">
        <f t="shared" si="188"/>
        <v>146.41000000000008</v>
      </c>
      <c r="CI69" s="287">
        <f t="shared" si="188"/>
        <v>146.41000000000008</v>
      </c>
      <c r="CJ69" s="116">
        <f t="shared" si="188"/>
        <v>161.0510000000001</v>
      </c>
      <c r="CK69" s="116">
        <f t="shared" si="188"/>
        <v>161.0510000000001</v>
      </c>
      <c r="CL69" s="116">
        <f t="shared" si="188"/>
        <v>161.0510000000001</v>
      </c>
      <c r="CM69" s="116">
        <f t="shared" si="188"/>
        <v>161.0510000000001</v>
      </c>
      <c r="CN69" s="116">
        <f t="shared" si="188"/>
        <v>161.0510000000001</v>
      </c>
      <c r="CO69" s="116">
        <f t="shared" si="188"/>
        <v>161.0510000000001</v>
      </c>
      <c r="CP69" s="116">
        <f t="shared" si="188"/>
        <v>161.0510000000001</v>
      </c>
      <c r="CQ69" s="116">
        <f t="shared" si="188"/>
        <v>161.0510000000001</v>
      </c>
      <c r="CR69" s="116">
        <f t="shared" si="188"/>
        <v>161.0510000000001</v>
      </c>
      <c r="CS69" s="116">
        <f t="shared" si="188"/>
        <v>161.0510000000001</v>
      </c>
      <c r="CT69" s="116">
        <f t="shared" si="188"/>
        <v>161.0510000000001</v>
      </c>
      <c r="CU69" s="287">
        <f t="shared" si="188"/>
        <v>161.0510000000001</v>
      </c>
      <c r="CV69" s="116">
        <f t="shared" si="188"/>
        <v>177.15610000000012</v>
      </c>
      <c r="CW69" s="116">
        <f t="shared" si="188"/>
        <v>177.15610000000012</v>
      </c>
      <c r="CX69" s="116">
        <f t="shared" si="188"/>
        <v>177.15610000000012</v>
      </c>
      <c r="CY69" s="116">
        <f t="shared" si="188"/>
        <v>177.15610000000012</v>
      </c>
      <c r="CZ69" s="116">
        <f t="shared" si="188"/>
        <v>177.15610000000012</v>
      </c>
      <c r="DA69" s="116">
        <f t="shared" ref="DA69:DG69" si="189">IF(DA$1&lt;&gt;CZ$1, CZ69*1.1,CZ69)</f>
        <v>177.15610000000012</v>
      </c>
      <c r="DB69" s="116">
        <f t="shared" si="189"/>
        <v>177.15610000000012</v>
      </c>
      <c r="DC69" s="116">
        <f t="shared" si="189"/>
        <v>177.15610000000012</v>
      </c>
      <c r="DD69" s="116">
        <f t="shared" si="189"/>
        <v>177.15610000000012</v>
      </c>
      <c r="DE69" s="116">
        <f t="shared" si="189"/>
        <v>177.15610000000012</v>
      </c>
      <c r="DF69" s="116">
        <f t="shared" si="189"/>
        <v>177.15610000000012</v>
      </c>
      <c r="DG69" s="116">
        <f t="shared" si="189"/>
        <v>177.15610000000012</v>
      </c>
    </row>
    <row r="70" spans="1:111" s="5" customFormat="1" x14ac:dyDescent="0.3">
      <c r="A70"/>
      <c r="B70" s="1" t="s">
        <v>242</v>
      </c>
      <c r="C70" s="1"/>
      <c r="D70" s="116"/>
      <c r="E70" s="116"/>
      <c r="F70" s="116"/>
      <c r="G70" s="116"/>
      <c r="H70" s="116"/>
      <c r="I70" s="116"/>
      <c r="J70" s="116"/>
      <c r="K70" s="116"/>
      <c r="L70" s="116"/>
      <c r="M70" s="116"/>
      <c r="N70" s="116"/>
      <c r="O70" s="116"/>
      <c r="P70" s="116"/>
      <c r="Q70" s="116"/>
      <c r="R70" s="116"/>
      <c r="S70" s="116"/>
      <c r="T70" s="116"/>
      <c r="U70" s="116"/>
      <c r="V70" s="116"/>
      <c r="W70" s="116"/>
      <c r="X70" s="116"/>
      <c r="Y70" s="116"/>
      <c r="Z70" s="116">
        <v>88.91</v>
      </c>
      <c r="AA70" s="116">
        <v>162.85</v>
      </c>
      <c r="AB70" s="116">
        <v>85.62</v>
      </c>
      <c r="AC70" s="116">
        <v>414.13</v>
      </c>
      <c r="AD70" s="116">
        <v>601.87</v>
      </c>
      <c r="AE70" s="116">
        <v>326.01</v>
      </c>
      <c r="AF70" s="116">
        <v>206.42</v>
      </c>
      <c r="AG70" s="116">
        <v>384.06</v>
      </c>
      <c r="AH70" s="116">
        <v>299.25</v>
      </c>
      <c r="AI70" s="116">
        <v>522.58000000000004</v>
      </c>
      <c r="AJ70" s="116">
        <v>164.72</v>
      </c>
      <c r="AK70" s="287">
        <v>325.47000000000003</v>
      </c>
      <c r="AL70" s="234">
        <f>+AVERAGE(AI70:AK70)+100</f>
        <v>437.59000000000003</v>
      </c>
      <c r="AM70" s="287">
        <f t="shared" si="187"/>
        <v>437.59000000000003</v>
      </c>
      <c r="AN70" s="234">
        <f>IF(AN$1&lt;&gt;AM$1, AM70*1.1,AM70)</f>
        <v>481.34900000000005</v>
      </c>
      <c r="AO70" s="116">
        <f t="shared" ref="AO70:AO73" si="190">AN70</f>
        <v>481.34900000000005</v>
      </c>
      <c r="AP70" s="116">
        <f t="shared" ref="AP70:AP73" si="191">AO70</f>
        <v>481.34900000000005</v>
      </c>
      <c r="AQ70" s="116">
        <f t="shared" ref="AQ70:AQ73" si="192">AP70</f>
        <v>481.34900000000005</v>
      </c>
      <c r="AR70" s="116">
        <f t="shared" ref="AR70:AR73" si="193">AQ70</f>
        <v>481.34900000000005</v>
      </c>
      <c r="AS70" s="116">
        <f t="shared" ref="AS70:AS73" si="194">AR70</f>
        <v>481.34900000000005</v>
      </c>
      <c r="AT70" s="116">
        <f t="shared" ref="AT70:AT73" si="195">AS70</f>
        <v>481.34900000000005</v>
      </c>
      <c r="AU70" s="116">
        <f t="shared" ref="AU70:AU73" si="196">AT70</f>
        <v>481.34900000000005</v>
      </c>
      <c r="AV70" s="116">
        <f t="shared" ref="AV70:AV73" si="197">AU70</f>
        <v>481.34900000000005</v>
      </c>
      <c r="AW70" s="116">
        <f t="shared" ref="AW70:AW73" si="198">AV70</f>
        <v>481.34900000000005</v>
      </c>
      <c r="AX70" s="116">
        <f t="shared" ref="AX70:AX73" si="199">AW70</f>
        <v>481.34900000000005</v>
      </c>
      <c r="AY70" s="287">
        <f t="shared" ref="AY70:AY73" si="200">AX70</f>
        <v>481.34900000000005</v>
      </c>
      <c r="AZ70" s="116">
        <f t="shared" ref="AZ70:AZ73" si="201">AY70</f>
        <v>481.34900000000005</v>
      </c>
      <c r="BA70" s="116">
        <f t="shared" ref="BA70:BA73" si="202">AZ70</f>
        <v>481.34900000000005</v>
      </c>
      <c r="BB70" s="116">
        <f t="shared" ref="BB70:BB73" si="203">BA70</f>
        <v>481.34900000000005</v>
      </c>
      <c r="BC70" s="116">
        <f t="shared" ref="BC70:BC73" si="204">BB70</f>
        <v>481.34900000000005</v>
      </c>
      <c r="BD70" s="116">
        <f t="shared" ref="BD70:BD73" si="205">BC70</f>
        <v>481.34900000000005</v>
      </c>
      <c r="BE70" s="116">
        <f t="shared" ref="BE70:BE73" si="206">BD70</f>
        <v>481.34900000000005</v>
      </c>
      <c r="BF70" s="116">
        <f t="shared" ref="BF70:BF73" si="207">BE70</f>
        <v>481.34900000000005</v>
      </c>
      <c r="BG70" s="116">
        <f t="shared" ref="BG70:BG73" si="208">BF70</f>
        <v>481.34900000000005</v>
      </c>
      <c r="BH70" s="116">
        <f t="shared" ref="BH70:BH73" si="209">BG70</f>
        <v>481.34900000000005</v>
      </c>
      <c r="BI70" s="116">
        <f t="shared" ref="BI70:BI73" si="210">BH70</f>
        <v>481.34900000000005</v>
      </c>
      <c r="BJ70" s="116">
        <f t="shared" ref="BJ70:BJ73" si="211">BI70</f>
        <v>481.34900000000005</v>
      </c>
      <c r="BK70" s="287">
        <f t="shared" ref="BK70:BK73" si="212">BJ70</f>
        <v>481.34900000000005</v>
      </c>
      <c r="BL70" s="116">
        <f t="shared" ref="BL70:BL73" si="213">BK70</f>
        <v>481.34900000000005</v>
      </c>
      <c r="BM70" s="116">
        <f t="shared" ref="BM70:BM73" si="214">BL70</f>
        <v>481.34900000000005</v>
      </c>
      <c r="BN70" s="116">
        <f t="shared" ref="BN70:BN73" si="215">BM70</f>
        <v>481.34900000000005</v>
      </c>
      <c r="BO70" s="116">
        <f t="shared" ref="BO70:BO73" si="216">BN70</f>
        <v>481.34900000000005</v>
      </c>
      <c r="BP70" s="116">
        <f t="shared" ref="BP70:BP73" si="217">BO70</f>
        <v>481.34900000000005</v>
      </c>
      <c r="BQ70" s="116">
        <f t="shared" ref="BQ70:BQ73" si="218">BP70</f>
        <v>481.34900000000005</v>
      </c>
      <c r="BR70" s="116">
        <f t="shared" ref="BR70:BR73" si="219">BQ70</f>
        <v>481.34900000000005</v>
      </c>
      <c r="BS70" s="116">
        <f t="shared" ref="BS70:BS73" si="220">BR70</f>
        <v>481.34900000000005</v>
      </c>
      <c r="BT70" s="116">
        <f t="shared" ref="BT70:BT73" si="221">BS70</f>
        <v>481.34900000000005</v>
      </c>
      <c r="BU70" s="116">
        <f t="shared" ref="BU70:BU73" si="222">BT70</f>
        <v>481.34900000000005</v>
      </c>
      <c r="BV70" s="116">
        <f t="shared" ref="BV70:BV73" si="223">BU70</f>
        <v>481.34900000000005</v>
      </c>
      <c r="BW70" s="287">
        <f t="shared" ref="BW70:BW73" si="224">BV70</f>
        <v>481.34900000000005</v>
      </c>
      <c r="BX70" s="116">
        <f t="shared" ref="BX70:BX73" si="225">BW70</f>
        <v>481.34900000000005</v>
      </c>
      <c r="BY70" s="116">
        <f t="shared" ref="BY70:BY73" si="226">BX70</f>
        <v>481.34900000000005</v>
      </c>
      <c r="BZ70" s="116">
        <f t="shared" ref="BZ70:BZ73" si="227">BY70</f>
        <v>481.34900000000005</v>
      </c>
      <c r="CA70" s="116">
        <f t="shared" ref="CA70:CA73" si="228">BZ70</f>
        <v>481.34900000000005</v>
      </c>
      <c r="CB70" s="116">
        <f t="shared" ref="CB70:CB73" si="229">CA70</f>
        <v>481.34900000000005</v>
      </c>
      <c r="CC70" s="116">
        <f t="shared" ref="CC70:CC73" si="230">CB70</f>
        <v>481.34900000000005</v>
      </c>
      <c r="CD70" s="116">
        <f t="shared" ref="CD70:CD73" si="231">CC70</f>
        <v>481.34900000000005</v>
      </c>
      <c r="CE70" s="116">
        <f t="shared" ref="CE70:CE73" si="232">CD70</f>
        <v>481.34900000000005</v>
      </c>
      <c r="CF70" s="116">
        <f t="shared" ref="CF70:CF73" si="233">CE70</f>
        <v>481.34900000000005</v>
      </c>
      <c r="CG70" s="116">
        <f t="shared" ref="CG70:CG73" si="234">CF70</f>
        <v>481.34900000000005</v>
      </c>
      <c r="CH70" s="116">
        <f t="shared" ref="CH70:CH73" si="235">CG70</f>
        <v>481.34900000000005</v>
      </c>
      <c r="CI70" s="287">
        <f t="shared" ref="CI70:CI73" si="236">CH70</f>
        <v>481.34900000000005</v>
      </c>
      <c r="CJ70" s="116">
        <f t="shared" ref="CJ70:CJ73" si="237">CI70</f>
        <v>481.34900000000005</v>
      </c>
      <c r="CK70" s="116">
        <f t="shared" ref="CK70:CK73" si="238">CJ70</f>
        <v>481.34900000000005</v>
      </c>
      <c r="CL70" s="116">
        <f t="shared" ref="CL70:CL73" si="239">CK70</f>
        <v>481.34900000000005</v>
      </c>
      <c r="CM70" s="116">
        <f t="shared" ref="CM70:CM73" si="240">CL70</f>
        <v>481.34900000000005</v>
      </c>
      <c r="CN70" s="116">
        <f t="shared" ref="CN70:CN73" si="241">CM70</f>
        <v>481.34900000000005</v>
      </c>
      <c r="CO70" s="116">
        <f t="shared" ref="CO70:CO73" si="242">CN70</f>
        <v>481.34900000000005</v>
      </c>
      <c r="CP70" s="116">
        <f t="shared" ref="CP70:CP73" si="243">CO70</f>
        <v>481.34900000000005</v>
      </c>
      <c r="CQ70" s="116">
        <f t="shared" ref="CQ70:CQ73" si="244">CP70</f>
        <v>481.34900000000005</v>
      </c>
      <c r="CR70" s="116">
        <f t="shared" ref="CR70:CR73" si="245">CQ70</f>
        <v>481.34900000000005</v>
      </c>
      <c r="CS70" s="116">
        <f t="shared" ref="CS70:CS73" si="246">CR70</f>
        <v>481.34900000000005</v>
      </c>
      <c r="CT70" s="116">
        <f t="shared" ref="CT70:CT73" si="247">CS70</f>
        <v>481.34900000000005</v>
      </c>
      <c r="CU70" s="287">
        <f t="shared" ref="CU70:CU73" si="248">CT70</f>
        <v>481.34900000000005</v>
      </c>
      <c r="CV70" s="116">
        <f t="shared" ref="CV70:CV73" si="249">CU70</f>
        <v>481.34900000000005</v>
      </c>
      <c r="CW70" s="116">
        <f t="shared" ref="CW70:CW73" si="250">CV70</f>
        <v>481.34900000000005</v>
      </c>
      <c r="CX70" s="116">
        <f t="shared" ref="CX70:CX73" si="251">CW70</f>
        <v>481.34900000000005</v>
      </c>
      <c r="CY70" s="116">
        <f t="shared" ref="CY70:CY73" si="252">CX70</f>
        <v>481.34900000000005</v>
      </c>
      <c r="CZ70" s="116">
        <f t="shared" ref="CZ70:CZ73" si="253">CY70</f>
        <v>481.34900000000005</v>
      </c>
      <c r="DA70" s="116">
        <f t="shared" ref="DA70:DA73" si="254">CZ70</f>
        <v>481.34900000000005</v>
      </c>
      <c r="DB70" s="116">
        <f t="shared" ref="DB70:DB73" si="255">DA70</f>
        <v>481.34900000000005</v>
      </c>
      <c r="DC70" s="116">
        <f t="shared" ref="DC70:DC73" si="256">DB70</f>
        <v>481.34900000000005</v>
      </c>
      <c r="DD70" s="116">
        <f t="shared" ref="DD70:DD73" si="257">DC70</f>
        <v>481.34900000000005</v>
      </c>
      <c r="DE70" s="116">
        <f t="shared" ref="DE70:DE73" si="258">DD70</f>
        <v>481.34900000000005</v>
      </c>
      <c r="DF70" s="116">
        <f t="shared" ref="DF70:DF73" si="259">DE70</f>
        <v>481.34900000000005</v>
      </c>
      <c r="DG70" s="116">
        <f t="shared" ref="DG70:DG73" si="260">DF70</f>
        <v>481.34900000000005</v>
      </c>
    </row>
    <row r="71" spans="1:111" s="5" customFormat="1" x14ac:dyDescent="0.3">
      <c r="A71"/>
      <c r="B71" s="1" t="s">
        <v>279</v>
      </c>
      <c r="C71" s="1"/>
      <c r="D71" s="116"/>
      <c r="E71" s="116"/>
      <c r="F71" s="116"/>
      <c r="G71" s="116"/>
      <c r="H71" s="116"/>
      <c r="I71" s="116"/>
      <c r="J71" s="116"/>
      <c r="K71" s="116"/>
      <c r="L71" s="116"/>
      <c r="M71" s="116"/>
      <c r="N71" s="116"/>
      <c r="O71" s="116"/>
      <c r="P71" s="116"/>
      <c r="Q71" s="116"/>
      <c r="R71" s="116"/>
      <c r="S71" s="116"/>
      <c r="T71" s="116"/>
      <c r="U71" s="116"/>
      <c r="V71" s="116"/>
      <c r="W71" s="116"/>
      <c r="X71" s="116"/>
      <c r="Y71" s="116"/>
      <c r="Z71" s="116"/>
      <c r="AA71" s="116"/>
      <c r="AB71" s="116"/>
      <c r="AC71" s="116">
        <v>141.79</v>
      </c>
      <c r="AD71" s="116"/>
      <c r="AE71" s="116">
        <v>46.54</v>
      </c>
      <c r="AF71" s="116"/>
      <c r="AG71" s="116"/>
      <c r="AH71" s="116"/>
      <c r="AI71" s="116"/>
      <c r="AJ71" s="116">
        <v>111.85</v>
      </c>
      <c r="AK71" s="287"/>
      <c r="AL71" s="234">
        <v>50</v>
      </c>
      <c r="AM71" s="287">
        <f t="shared" si="187"/>
        <v>50</v>
      </c>
      <c r="AN71" s="234">
        <f>+AVERAGE(AK71:AM71)</f>
        <v>50</v>
      </c>
      <c r="AO71" s="116">
        <f t="shared" si="190"/>
        <v>50</v>
      </c>
      <c r="AP71" s="116">
        <f t="shared" si="191"/>
        <v>50</v>
      </c>
      <c r="AQ71" s="116">
        <f t="shared" si="192"/>
        <v>50</v>
      </c>
      <c r="AR71" s="116">
        <f t="shared" si="193"/>
        <v>50</v>
      </c>
      <c r="AS71" s="116">
        <f t="shared" si="194"/>
        <v>50</v>
      </c>
      <c r="AT71" s="116">
        <f t="shared" si="195"/>
        <v>50</v>
      </c>
      <c r="AU71" s="116">
        <f t="shared" si="196"/>
        <v>50</v>
      </c>
      <c r="AV71" s="116">
        <f t="shared" si="197"/>
        <v>50</v>
      </c>
      <c r="AW71" s="116">
        <f t="shared" si="198"/>
        <v>50</v>
      </c>
      <c r="AX71" s="116">
        <f t="shared" si="199"/>
        <v>50</v>
      </c>
      <c r="AY71" s="287">
        <f t="shared" si="200"/>
        <v>50</v>
      </c>
      <c r="AZ71" s="116">
        <f t="shared" si="201"/>
        <v>50</v>
      </c>
      <c r="BA71" s="116">
        <f t="shared" si="202"/>
        <v>50</v>
      </c>
      <c r="BB71" s="116">
        <f t="shared" si="203"/>
        <v>50</v>
      </c>
      <c r="BC71" s="116">
        <f t="shared" si="204"/>
        <v>50</v>
      </c>
      <c r="BD71" s="116">
        <f t="shared" si="205"/>
        <v>50</v>
      </c>
      <c r="BE71" s="116">
        <f t="shared" si="206"/>
        <v>50</v>
      </c>
      <c r="BF71" s="116">
        <f t="shared" si="207"/>
        <v>50</v>
      </c>
      <c r="BG71" s="116">
        <f t="shared" si="208"/>
        <v>50</v>
      </c>
      <c r="BH71" s="116">
        <f t="shared" si="209"/>
        <v>50</v>
      </c>
      <c r="BI71" s="116">
        <f t="shared" si="210"/>
        <v>50</v>
      </c>
      <c r="BJ71" s="116">
        <f t="shared" si="211"/>
        <v>50</v>
      </c>
      <c r="BK71" s="287">
        <f t="shared" si="212"/>
        <v>50</v>
      </c>
      <c r="BL71" s="116">
        <f t="shared" si="213"/>
        <v>50</v>
      </c>
      <c r="BM71" s="116">
        <f t="shared" si="214"/>
        <v>50</v>
      </c>
      <c r="BN71" s="116">
        <f t="shared" si="215"/>
        <v>50</v>
      </c>
      <c r="BO71" s="116">
        <f t="shared" si="216"/>
        <v>50</v>
      </c>
      <c r="BP71" s="116">
        <f t="shared" si="217"/>
        <v>50</v>
      </c>
      <c r="BQ71" s="116">
        <f t="shared" si="218"/>
        <v>50</v>
      </c>
      <c r="BR71" s="116">
        <f t="shared" si="219"/>
        <v>50</v>
      </c>
      <c r="BS71" s="116">
        <f t="shared" si="220"/>
        <v>50</v>
      </c>
      <c r="BT71" s="116">
        <f t="shared" si="221"/>
        <v>50</v>
      </c>
      <c r="BU71" s="116">
        <f t="shared" si="222"/>
        <v>50</v>
      </c>
      <c r="BV71" s="116">
        <f t="shared" si="223"/>
        <v>50</v>
      </c>
      <c r="BW71" s="287">
        <f t="shared" si="224"/>
        <v>50</v>
      </c>
      <c r="BX71" s="116">
        <f t="shared" si="225"/>
        <v>50</v>
      </c>
      <c r="BY71" s="116">
        <f t="shared" si="226"/>
        <v>50</v>
      </c>
      <c r="BZ71" s="116">
        <f t="shared" si="227"/>
        <v>50</v>
      </c>
      <c r="CA71" s="116">
        <f t="shared" si="228"/>
        <v>50</v>
      </c>
      <c r="CB71" s="116">
        <f t="shared" si="229"/>
        <v>50</v>
      </c>
      <c r="CC71" s="116">
        <f t="shared" si="230"/>
        <v>50</v>
      </c>
      <c r="CD71" s="116">
        <f t="shared" si="231"/>
        <v>50</v>
      </c>
      <c r="CE71" s="116">
        <f t="shared" si="232"/>
        <v>50</v>
      </c>
      <c r="CF71" s="116">
        <f t="shared" si="233"/>
        <v>50</v>
      </c>
      <c r="CG71" s="116">
        <f t="shared" si="234"/>
        <v>50</v>
      </c>
      <c r="CH71" s="116">
        <f t="shared" si="235"/>
        <v>50</v>
      </c>
      <c r="CI71" s="287">
        <f t="shared" si="236"/>
        <v>50</v>
      </c>
      <c r="CJ71" s="116">
        <f t="shared" si="237"/>
        <v>50</v>
      </c>
      <c r="CK71" s="116">
        <f t="shared" si="238"/>
        <v>50</v>
      </c>
      <c r="CL71" s="116">
        <f t="shared" si="239"/>
        <v>50</v>
      </c>
      <c r="CM71" s="116">
        <f t="shared" si="240"/>
        <v>50</v>
      </c>
      <c r="CN71" s="116">
        <f t="shared" si="241"/>
        <v>50</v>
      </c>
      <c r="CO71" s="116">
        <f t="shared" si="242"/>
        <v>50</v>
      </c>
      <c r="CP71" s="116">
        <f t="shared" si="243"/>
        <v>50</v>
      </c>
      <c r="CQ71" s="116">
        <f t="shared" si="244"/>
        <v>50</v>
      </c>
      <c r="CR71" s="116">
        <f t="shared" si="245"/>
        <v>50</v>
      </c>
      <c r="CS71" s="116">
        <f t="shared" si="246"/>
        <v>50</v>
      </c>
      <c r="CT71" s="116">
        <f t="shared" si="247"/>
        <v>50</v>
      </c>
      <c r="CU71" s="287">
        <f t="shared" si="248"/>
        <v>50</v>
      </c>
      <c r="CV71" s="116">
        <f t="shared" si="249"/>
        <v>50</v>
      </c>
      <c r="CW71" s="116">
        <f t="shared" si="250"/>
        <v>50</v>
      </c>
      <c r="CX71" s="116">
        <f t="shared" si="251"/>
        <v>50</v>
      </c>
      <c r="CY71" s="116">
        <f t="shared" si="252"/>
        <v>50</v>
      </c>
      <c r="CZ71" s="116">
        <f t="shared" si="253"/>
        <v>50</v>
      </c>
      <c r="DA71" s="116">
        <f t="shared" si="254"/>
        <v>50</v>
      </c>
      <c r="DB71" s="116">
        <f t="shared" si="255"/>
        <v>50</v>
      </c>
      <c r="DC71" s="116">
        <f t="shared" si="256"/>
        <v>50</v>
      </c>
      <c r="DD71" s="116">
        <f t="shared" si="257"/>
        <v>50</v>
      </c>
      <c r="DE71" s="116">
        <f t="shared" si="258"/>
        <v>50</v>
      </c>
      <c r="DF71" s="116">
        <f t="shared" si="259"/>
        <v>50</v>
      </c>
      <c r="DG71" s="116">
        <f t="shared" si="260"/>
        <v>50</v>
      </c>
    </row>
    <row r="72" spans="1:111" x14ac:dyDescent="0.3">
      <c r="B72" s="1" t="s">
        <v>243</v>
      </c>
      <c r="C72" s="1"/>
      <c r="D72" s="116"/>
      <c r="E72" s="116"/>
      <c r="F72" s="116"/>
      <c r="G72" s="116"/>
      <c r="H72" s="116"/>
      <c r="I72" s="116"/>
      <c r="J72" s="116"/>
      <c r="K72" s="116"/>
      <c r="L72" s="116"/>
      <c r="M72" s="116"/>
      <c r="N72" s="116"/>
      <c r="O72" s="116"/>
      <c r="P72" s="116"/>
      <c r="Q72" s="116"/>
      <c r="R72" s="116"/>
      <c r="S72" s="116"/>
      <c r="T72" s="116"/>
      <c r="U72" s="116"/>
      <c r="V72" s="116"/>
      <c r="W72" s="116"/>
      <c r="X72" s="116"/>
      <c r="Y72" s="116"/>
      <c r="Z72" s="116"/>
      <c r="AA72" s="116"/>
      <c r="AB72" s="116"/>
      <c r="AC72" s="116"/>
      <c r="AD72" s="116"/>
      <c r="AE72" s="116">
        <v>385</v>
      </c>
      <c r="AF72" s="116">
        <v>212.5</v>
      </c>
      <c r="AG72" s="116">
        <v>308.83</v>
      </c>
      <c r="AH72" s="116">
        <v>328</v>
      </c>
      <c r="AI72" s="116">
        <v>270</v>
      </c>
      <c r="AJ72" s="116">
        <v>242.42</v>
      </c>
      <c r="AK72" s="287">
        <v>240.83</v>
      </c>
      <c r="AL72" s="234">
        <v>300</v>
      </c>
      <c r="AM72" s="287">
        <f t="shared" si="187"/>
        <v>300</v>
      </c>
      <c r="AN72" s="234">
        <v>400</v>
      </c>
      <c r="AO72" s="116">
        <f t="shared" si="190"/>
        <v>400</v>
      </c>
      <c r="AP72" s="116">
        <f t="shared" si="191"/>
        <v>400</v>
      </c>
      <c r="AQ72" s="116">
        <f t="shared" si="192"/>
        <v>400</v>
      </c>
      <c r="AR72" s="116">
        <f t="shared" si="193"/>
        <v>400</v>
      </c>
      <c r="AS72" s="116">
        <f t="shared" si="194"/>
        <v>400</v>
      </c>
      <c r="AT72" s="116">
        <f t="shared" si="195"/>
        <v>400</v>
      </c>
      <c r="AU72" s="116">
        <f t="shared" si="196"/>
        <v>400</v>
      </c>
      <c r="AV72" s="116">
        <f t="shared" si="197"/>
        <v>400</v>
      </c>
      <c r="AW72" s="116">
        <f t="shared" si="198"/>
        <v>400</v>
      </c>
      <c r="AX72" s="116">
        <f t="shared" si="199"/>
        <v>400</v>
      </c>
      <c r="AY72" s="287">
        <f t="shared" si="200"/>
        <v>400</v>
      </c>
      <c r="AZ72" s="116">
        <f t="shared" si="201"/>
        <v>400</v>
      </c>
      <c r="BA72" s="116">
        <f t="shared" si="202"/>
        <v>400</v>
      </c>
      <c r="BB72" s="116">
        <f t="shared" si="203"/>
        <v>400</v>
      </c>
      <c r="BC72" s="116">
        <f t="shared" si="204"/>
        <v>400</v>
      </c>
      <c r="BD72" s="116">
        <f t="shared" si="205"/>
        <v>400</v>
      </c>
      <c r="BE72" s="116">
        <f t="shared" si="206"/>
        <v>400</v>
      </c>
      <c r="BF72" s="116">
        <f t="shared" si="207"/>
        <v>400</v>
      </c>
      <c r="BG72" s="116">
        <f t="shared" si="208"/>
        <v>400</v>
      </c>
      <c r="BH72" s="116">
        <f t="shared" si="209"/>
        <v>400</v>
      </c>
      <c r="BI72" s="116">
        <f t="shared" si="210"/>
        <v>400</v>
      </c>
      <c r="BJ72" s="116">
        <f t="shared" si="211"/>
        <v>400</v>
      </c>
      <c r="BK72" s="287">
        <f t="shared" si="212"/>
        <v>400</v>
      </c>
      <c r="BL72" s="116">
        <f t="shared" si="213"/>
        <v>400</v>
      </c>
      <c r="BM72" s="116">
        <f t="shared" si="214"/>
        <v>400</v>
      </c>
      <c r="BN72" s="116">
        <f t="shared" si="215"/>
        <v>400</v>
      </c>
      <c r="BO72" s="116">
        <f t="shared" si="216"/>
        <v>400</v>
      </c>
      <c r="BP72" s="116">
        <f t="shared" si="217"/>
        <v>400</v>
      </c>
      <c r="BQ72" s="116">
        <f t="shared" si="218"/>
        <v>400</v>
      </c>
      <c r="BR72" s="116">
        <f t="shared" si="219"/>
        <v>400</v>
      </c>
      <c r="BS72" s="116">
        <f t="shared" si="220"/>
        <v>400</v>
      </c>
      <c r="BT72" s="116">
        <f t="shared" si="221"/>
        <v>400</v>
      </c>
      <c r="BU72" s="116">
        <f t="shared" si="222"/>
        <v>400</v>
      </c>
      <c r="BV72" s="116">
        <f t="shared" si="223"/>
        <v>400</v>
      </c>
      <c r="BW72" s="287">
        <f t="shared" si="224"/>
        <v>400</v>
      </c>
      <c r="BX72" s="116">
        <f t="shared" si="225"/>
        <v>400</v>
      </c>
      <c r="BY72" s="116">
        <f t="shared" si="226"/>
        <v>400</v>
      </c>
      <c r="BZ72" s="116">
        <f t="shared" si="227"/>
        <v>400</v>
      </c>
      <c r="CA72" s="116">
        <f t="shared" si="228"/>
        <v>400</v>
      </c>
      <c r="CB72" s="116">
        <f t="shared" si="229"/>
        <v>400</v>
      </c>
      <c r="CC72" s="116">
        <f t="shared" si="230"/>
        <v>400</v>
      </c>
      <c r="CD72" s="116">
        <f t="shared" si="231"/>
        <v>400</v>
      </c>
      <c r="CE72" s="116">
        <f t="shared" si="232"/>
        <v>400</v>
      </c>
      <c r="CF72" s="116">
        <f t="shared" si="233"/>
        <v>400</v>
      </c>
      <c r="CG72" s="116">
        <f t="shared" si="234"/>
        <v>400</v>
      </c>
      <c r="CH72" s="116">
        <f t="shared" si="235"/>
        <v>400</v>
      </c>
      <c r="CI72" s="287">
        <f t="shared" si="236"/>
        <v>400</v>
      </c>
      <c r="CJ72" s="116">
        <f t="shared" si="237"/>
        <v>400</v>
      </c>
      <c r="CK72" s="116">
        <f t="shared" si="238"/>
        <v>400</v>
      </c>
      <c r="CL72" s="116">
        <f t="shared" si="239"/>
        <v>400</v>
      </c>
      <c r="CM72" s="116">
        <f t="shared" si="240"/>
        <v>400</v>
      </c>
      <c r="CN72" s="116">
        <f t="shared" si="241"/>
        <v>400</v>
      </c>
      <c r="CO72" s="116">
        <f t="shared" si="242"/>
        <v>400</v>
      </c>
      <c r="CP72" s="116">
        <f t="shared" si="243"/>
        <v>400</v>
      </c>
      <c r="CQ72" s="116">
        <f t="shared" si="244"/>
        <v>400</v>
      </c>
      <c r="CR72" s="116">
        <f t="shared" si="245"/>
        <v>400</v>
      </c>
      <c r="CS72" s="116">
        <f t="shared" si="246"/>
        <v>400</v>
      </c>
      <c r="CT72" s="116">
        <f t="shared" si="247"/>
        <v>400</v>
      </c>
      <c r="CU72" s="287">
        <f t="shared" si="248"/>
        <v>400</v>
      </c>
      <c r="CV72" s="116">
        <f t="shared" si="249"/>
        <v>400</v>
      </c>
      <c r="CW72" s="116">
        <f t="shared" si="250"/>
        <v>400</v>
      </c>
      <c r="CX72" s="116">
        <f t="shared" si="251"/>
        <v>400</v>
      </c>
      <c r="CY72" s="116">
        <f t="shared" si="252"/>
        <v>400</v>
      </c>
      <c r="CZ72" s="116">
        <f t="shared" si="253"/>
        <v>400</v>
      </c>
      <c r="DA72" s="116">
        <f t="shared" si="254"/>
        <v>400</v>
      </c>
      <c r="DB72" s="116">
        <f t="shared" si="255"/>
        <v>400</v>
      </c>
      <c r="DC72" s="116">
        <f t="shared" si="256"/>
        <v>400</v>
      </c>
      <c r="DD72" s="116">
        <f t="shared" si="257"/>
        <v>400</v>
      </c>
      <c r="DE72" s="116">
        <f t="shared" si="258"/>
        <v>400</v>
      </c>
      <c r="DF72" s="116">
        <f t="shared" si="259"/>
        <v>400</v>
      </c>
      <c r="DG72" s="116">
        <f t="shared" si="260"/>
        <v>400</v>
      </c>
    </row>
    <row r="73" spans="1:111" x14ac:dyDescent="0.3">
      <c r="B73" s="1" t="s">
        <v>244</v>
      </c>
      <c r="C73" s="1"/>
      <c r="D73" s="116"/>
      <c r="E73" s="116"/>
      <c r="F73" s="116"/>
      <c r="G73" s="116"/>
      <c r="H73" s="116"/>
      <c r="I73" s="116"/>
      <c r="J73" s="116"/>
      <c r="K73" s="116"/>
      <c r="L73" s="116"/>
      <c r="M73" s="116"/>
      <c r="N73" s="116"/>
      <c r="O73" s="116"/>
      <c r="P73" s="116"/>
      <c r="Q73" s="116"/>
      <c r="R73" s="116"/>
      <c r="S73" s="116"/>
      <c r="T73" s="116"/>
      <c r="U73" s="116"/>
      <c r="V73" s="116"/>
      <c r="W73" s="116">
        <v>40.270000000000003</v>
      </c>
      <c r="X73" s="116">
        <v>70.95</v>
      </c>
      <c r="Y73" s="116">
        <v>175.8</v>
      </c>
      <c r="Z73" s="116">
        <v>170.56</v>
      </c>
      <c r="AA73" s="116">
        <v>222.87</v>
      </c>
      <c r="AB73" s="116"/>
      <c r="AC73" s="116"/>
      <c r="AD73" s="116"/>
      <c r="AE73" s="116"/>
      <c r="AF73" s="116"/>
      <c r="AG73" s="116">
        <v>0.25</v>
      </c>
      <c r="AH73" s="116">
        <v>0.25</v>
      </c>
      <c r="AI73" s="116"/>
      <c r="AJ73" s="116">
        <v>0.52</v>
      </c>
      <c r="AK73" s="287">
        <v>1.25</v>
      </c>
      <c r="AL73" s="234">
        <f>+AVERAGE(AI73:AK73)</f>
        <v>0.88500000000000001</v>
      </c>
      <c r="AM73" s="287">
        <f t="shared" si="187"/>
        <v>0.88500000000000001</v>
      </c>
      <c r="AN73" s="234">
        <f>+AVERAGE(AK73:AM73)</f>
        <v>1.0066666666666666</v>
      </c>
      <c r="AO73" s="116">
        <f t="shared" si="190"/>
        <v>1.0066666666666666</v>
      </c>
      <c r="AP73" s="116">
        <f t="shared" si="191"/>
        <v>1.0066666666666666</v>
      </c>
      <c r="AQ73" s="116">
        <f t="shared" si="192"/>
        <v>1.0066666666666666</v>
      </c>
      <c r="AR73" s="116">
        <f t="shared" si="193"/>
        <v>1.0066666666666666</v>
      </c>
      <c r="AS73" s="116">
        <f t="shared" si="194"/>
        <v>1.0066666666666666</v>
      </c>
      <c r="AT73" s="116">
        <f t="shared" si="195"/>
        <v>1.0066666666666666</v>
      </c>
      <c r="AU73" s="116">
        <f t="shared" si="196"/>
        <v>1.0066666666666666</v>
      </c>
      <c r="AV73" s="116">
        <f t="shared" si="197"/>
        <v>1.0066666666666666</v>
      </c>
      <c r="AW73" s="116">
        <f t="shared" si="198"/>
        <v>1.0066666666666666</v>
      </c>
      <c r="AX73" s="116">
        <f t="shared" si="199"/>
        <v>1.0066666666666666</v>
      </c>
      <c r="AY73" s="287">
        <f t="shared" si="200"/>
        <v>1.0066666666666666</v>
      </c>
      <c r="AZ73" s="116">
        <f t="shared" si="201"/>
        <v>1.0066666666666666</v>
      </c>
      <c r="BA73" s="116">
        <f t="shared" si="202"/>
        <v>1.0066666666666666</v>
      </c>
      <c r="BB73" s="116">
        <f t="shared" si="203"/>
        <v>1.0066666666666666</v>
      </c>
      <c r="BC73" s="116">
        <f t="shared" si="204"/>
        <v>1.0066666666666666</v>
      </c>
      <c r="BD73" s="116">
        <f t="shared" si="205"/>
        <v>1.0066666666666666</v>
      </c>
      <c r="BE73" s="116">
        <f t="shared" si="206"/>
        <v>1.0066666666666666</v>
      </c>
      <c r="BF73" s="116">
        <f t="shared" si="207"/>
        <v>1.0066666666666666</v>
      </c>
      <c r="BG73" s="116">
        <f t="shared" si="208"/>
        <v>1.0066666666666666</v>
      </c>
      <c r="BH73" s="116">
        <f t="shared" si="209"/>
        <v>1.0066666666666666</v>
      </c>
      <c r="BI73" s="116">
        <f t="shared" si="210"/>
        <v>1.0066666666666666</v>
      </c>
      <c r="BJ73" s="116">
        <f t="shared" si="211"/>
        <v>1.0066666666666666</v>
      </c>
      <c r="BK73" s="287">
        <f t="shared" si="212"/>
        <v>1.0066666666666666</v>
      </c>
      <c r="BL73" s="116">
        <f t="shared" si="213"/>
        <v>1.0066666666666666</v>
      </c>
      <c r="BM73" s="116">
        <f t="shared" si="214"/>
        <v>1.0066666666666666</v>
      </c>
      <c r="BN73" s="116">
        <f t="shared" si="215"/>
        <v>1.0066666666666666</v>
      </c>
      <c r="BO73" s="116">
        <f t="shared" si="216"/>
        <v>1.0066666666666666</v>
      </c>
      <c r="BP73" s="116">
        <f t="shared" si="217"/>
        <v>1.0066666666666666</v>
      </c>
      <c r="BQ73" s="116">
        <f t="shared" si="218"/>
        <v>1.0066666666666666</v>
      </c>
      <c r="BR73" s="116">
        <f t="shared" si="219"/>
        <v>1.0066666666666666</v>
      </c>
      <c r="BS73" s="116">
        <f t="shared" si="220"/>
        <v>1.0066666666666666</v>
      </c>
      <c r="BT73" s="116">
        <f t="shared" si="221"/>
        <v>1.0066666666666666</v>
      </c>
      <c r="BU73" s="116">
        <f t="shared" si="222"/>
        <v>1.0066666666666666</v>
      </c>
      <c r="BV73" s="116">
        <f t="shared" si="223"/>
        <v>1.0066666666666666</v>
      </c>
      <c r="BW73" s="287">
        <f t="shared" si="224"/>
        <v>1.0066666666666666</v>
      </c>
      <c r="BX73" s="116">
        <f t="shared" si="225"/>
        <v>1.0066666666666666</v>
      </c>
      <c r="BY73" s="116">
        <f t="shared" si="226"/>
        <v>1.0066666666666666</v>
      </c>
      <c r="BZ73" s="116">
        <f t="shared" si="227"/>
        <v>1.0066666666666666</v>
      </c>
      <c r="CA73" s="116">
        <f t="shared" si="228"/>
        <v>1.0066666666666666</v>
      </c>
      <c r="CB73" s="116">
        <f t="shared" si="229"/>
        <v>1.0066666666666666</v>
      </c>
      <c r="CC73" s="116">
        <f t="shared" si="230"/>
        <v>1.0066666666666666</v>
      </c>
      <c r="CD73" s="116">
        <f t="shared" si="231"/>
        <v>1.0066666666666666</v>
      </c>
      <c r="CE73" s="116">
        <f t="shared" si="232"/>
        <v>1.0066666666666666</v>
      </c>
      <c r="CF73" s="116">
        <f t="shared" si="233"/>
        <v>1.0066666666666666</v>
      </c>
      <c r="CG73" s="116">
        <f t="shared" si="234"/>
        <v>1.0066666666666666</v>
      </c>
      <c r="CH73" s="116">
        <f t="shared" si="235"/>
        <v>1.0066666666666666</v>
      </c>
      <c r="CI73" s="287">
        <f t="shared" si="236"/>
        <v>1.0066666666666666</v>
      </c>
      <c r="CJ73" s="116">
        <f t="shared" si="237"/>
        <v>1.0066666666666666</v>
      </c>
      <c r="CK73" s="116">
        <f t="shared" si="238"/>
        <v>1.0066666666666666</v>
      </c>
      <c r="CL73" s="116">
        <f t="shared" si="239"/>
        <v>1.0066666666666666</v>
      </c>
      <c r="CM73" s="116">
        <f t="shared" si="240"/>
        <v>1.0066666666666666</v>
      </c>
      <c r="CN73" s="116">
        <f t="shared" si="241"/>
        <v>1.0066666666666666</v>
      </c>
      <c r="CO73" s="116">
        <f t="shared" si="242"/>
        <v>1.0066666666666666</v>
      </c>
      <c r="CP73" s="116">
        <f t="shared" si="243"/>
        <v>1.0066666666666666</v>
      </c>
      <c r="CQ73" s="116">
        <f t="shared" si="244"/>
        <v>1.0066666666666666</v>
      </c>
      <c r="CR73" s="116">
        <f t="shared" si="245"/>
        <v>1.0066666666666666</v>
      </c>
      <c r="CS73" s="116">
        <f t="shared" si="246"/>
        <v>1.0066666666666666</v>
      </c>
      <c r="CT73" s="116">
        <f t="shared" si="247"/>
        <v>1.0066666666666666</v>
      </c>
      <c r="CU73" s="287">
        <f t="shared" si="248"/>
        <v>1.0066666666666666</v>
      </c>
      <c r="CV73" s="116">
        <f t="shared" si="249"/>
        <v>1.0066666666666666</v>
      </c>
      <c r="CW73" s="116">
        <f t="shared" si="250"/>
        <v>1.0066666666666666</v>
      </c>
      <c r="CX73" s="116">
        <f t="shared" si="251"/>
        <v>1.0066666666666666</v>
      </c>
      <c r="CY73" s="116">
        <f t="shared" si="252"/>
        <v>1.0066666666666666</v>
      </c>
      <c r="CZ73" s="116">
        <f t="shared" si="253"/>
        <v>1.0066666666666666</v>
      </c>
      <c r="DA73" s="116">
        <f t="shared" si="254"/>
        <v>1.0066666666666666</v>
      </c>
      <c r="DB73" s="116">
        <f t="shared" si="255"/>
        <v>1.0066666666666666</v>
      </c>
      <c r="DC73" s="116">
        <f t="shared" si="256"/>
        <v>1.0066666666666666</v>
      </c>
      <c r="DD73" s="116">
        <f t="shared" si="257"/>
        <v>1.0066666666666666</v>
      </c>
      <c r="DE73" s="116">
        <f t="shared" si="258"/>
        <v>1.0066666666666666</v>
      </c>
      <c r="DF73" s="116">
        <f t="shared" si="259"/>
        <v>1.0066666666666666</v>
      </c>
      <c r="DG73" s="116">
        <f t="shared" si="260"/>
        <v>1.0066666666666666</v>
      </c>
    </row>
    <row r="74" spans="1:111" x14ac:dyDescent="0.3">
      <c r="B74" s="1" t="s">
        <v>334</v>
      </c>
      <c r="C74" s="1"/>
      <c r="D74" s="116"/>
      <c r="E74" s="318"/>
      <c r="F74" s="318"/>
      <c r="G74" s="318"/>
      <c r="H74" s="318"/>
      <c r="I74" s="318"/>
      <c r="J74" s="318"/>
      <c r="K74" s="318"/>
      <c r="L74" s="318"/>
      <c r="M74" s="318"/>
      <c r="N74" s="318"/>
      <c r="O74" s="318"/>
      <c r="P74" s="318"/>
      <c r="Q74" s="318"/>
      <c r="R74" s="318"/>
      <c r="S74" s="318"/>
      <c r="T74" s="318"/>
      <c r="U74" s="318"/>
      <c r="V74" s="318"/>
      <c r="W74" s="318"/>
      <c r="X74" s="318"/>
      <c r="Y74" s="318"/>
      <c r="Z74" s="318"/>
      <c r="AA74" s="318"/>
      <c r="AB74" s="318"/>
      <c r="AC74" s="318"/>
      <c r="AD74" s="318"/>
      <c r="AE74" s="318"/>
      <c r="AF74" s="318"/>
      <c r="AG74" s="318"/>
      <c r="AH74" s="318">
        <v>1200</v>
      </c>
      <c r="AI74" s="318">
        <v>1230</v>
      </c>
      <c r="AJ74" s="318">
        <v>1200</v>
      </c>
      <c r="AK74" s="319">
        <v>1230</v>
      </c>
      <c r="AL74" s="234">
        <v>1200</v>
      </c>
      <c r="AM74" s="498">
        <f t="shared" ref="AM74" si="261">AL74</f>
        <v>1200</v>
      </c>
      <c r="AN74" s="234">
        <f>IF(AN$1&lt;&gt;AM$1, AM74*1.1,AM74)</f>
        <v>1320</v>
      </c>
      <c r="AO74" s="497">
        <f t="shared" ref="AO74:CZ74" si="262">IF(AO$1&lt;&gt;AN$1, AN74*1.1,AN74)</f>
        <v>1320</v>
      </c>
      <c r="AP74" s="497">
        <f t="shared" si="262"/>
        <v>1320</v>
      </c>
      <c r="AQ74" s="497">
        <f t="shared" si="262"/>
        <v>1320</v>
      </c>
      <c r="AR74" s="497">
        <f t="shared" si="262"/>
        <v>1320</v>
      </c>
      <c r="AS74" s="497">
        <f t="shared" si="262"/>
        <v>1320</v>
      </c>
      <c r="AT74" s="497">
        <f t="shared" si="262"/>
        <v>1320</v>
      </c>
      <c r="AU74" s="497">
        <f t="shared" si="262"/>
        <v>1320</v>
      </c>
      <c r="AV74" s="497">
        <f t="shared" si="262"/>
        <v>1320</v>
      </c>
      <c r="AW74" s="497">
        <f t="shared" si="262"/>
        <v>1320</v>
      </c>
      <c r="AX74" s="497">
        <f t="shared" si="262"/>
        <v>1320</v>
      </c>
      <c r="AY74" s="498">
        <f t="shared" si="262"/>
        <v>1320</v>
      </c>
      <c r="AZ74" s="497">
        <f t="shared" si="262"/>
        <v>1452.0000000000002</v>
      </c>
      <c r="BA74" s="497">
        <f t="shared" si="262"/>
        <v>1452.0000000000002</v>
      </c>
      <c r="BB74" s="497">
        <f t="shared" si="262"/>
        <v>1452.0000000000002</v>
      </c>
      <c r="BC74" s="497">
        <f t="shared" si="262"/>
        <v>1452.0000000000002</v>
      </c>
      <c r="BD74" s="497">
        <f t="shared" si="262"/>
        <v>1452.0000000000002</v>
      </c>
      <c r="BE74" s="497">
        <f t="shared" si="262"/>
        <v>1452.0000000000002</v>
      </c>
      <c r="BF74" s="497">
        <f t="shared" si="262"/>
        <v>1452.0000000000002</v>
      </c>
      <c r="BG74" s="497">
        <f t="shared" si="262"/>
        <v>1452.0000000000002</v>
      </c>
      <c r="BH74" s="497">
        <f t="shared" si="262"/>
        <v>1452.0000000000002</v>
      </c>
      <c r="BI74" s="497">
        <f t="shared" si="262"/>
        <v>1452.0000000000002</v>
      </c>
      <c r="BJ74" s="497">
        <f t="shared" si="262"/>
        <v>1452.0000000000002</v>
      </c>
      <c r="BK74" s="498">
        <f t="shared" si="262"/>
        <v>1452.0000000000002</v>
      </c>
      <c r="BL74" s="497">
        <f t="shared" si="262"/>
        <v>1597.2000000000003</v>
      </c>
      <c r="BM74" s="497">
        <f t="shared" si="262"/>
        <v>1597.2000000000003</v>
      </c>
      <c r="BN74" s="497">
        <f t="shared" si="262"/>
        <v>1597.2000000000003</v>
      </c>
      <c r="BO74" s="497">
        <f t="shared" si="262"/>
        <v>1597.2000000000003</v>
      </c>
      <c r="BP74" s="497">
        <f t="shared" si="262"/>
        <v>1597.2000000000003</v>
      </c>
      <c r="BQ74" s="497">
        <f t="shared" si="262"/>
        <v>1597.2000000000003</v>
      </c>
      <c r="BR74" s="497">
        <f t="shared" si="262"/>
        <v>1597.2000000000003</v>
      </c>
      <c r="BS74" s="497">
        <f t="shared" si="262"/>
        <v>1597.2000000000003</v>
      </c>
      <c r="BT74" s="497">
        <f t="shared" si="262"/>
        <v>1597.2000000000003</v>
      </c>
      <c r="BU74" s="497">
        <f t="shared" si="262"/>
        <v>1597.2000000000003</v>
      </c>
      <c r="BV74" s="497">
        <f t="shared" si="262"/>
        <v>1597.2000000000003</v>
      </c>
      <c r="BW74" s="498">
        <f t="shared" si="262"/>
        <v>1597.2000000000003</v>
      </c>
      <c r="BX74" s="497">
        <f t="shared" si="262"/>
        <v>1756.9200000000005</v>
      </c>
      <c r="BY74" s="497">
        <f t="shared" si="262"/>
        <v>1756.9200000000005</v>
      </c>
      <c r="BZ74" s="497">
        <f t="shared" si="262"/>
        <v>1756.9200000000005</v>
      </c>
      <c r="CA74" s="497">
        <f t="shared" si="262"/>
        <v>1756.9200000000005</v>
      </c>
      <c r="CB74" s="497">
        <f t="shared" si="262"/>
        <v>1756.9200000000005</v>
      </c>
      <c r="CC74" s="497">
        <f t="shared" si="262"/>
        <v>1756.9200000000005</v>
      </c>
      <c r="CD74" s="497">
        <f t="shared" si="262"/>
        <v>1756.9200000000005</v>
      </c>
      <c r="CE74" s="497">
        <f t="shared" si="262"/>
        <v>1756.9200000000005</v>
      </c>
      <c r="CF74" s="497">
        <f t="shared" si="262"/>
        <v>1756.9200000000005</v>
      </c>
      <c r="CG74" s="497">
        <f t="shared" si="262"/>
        <v>1756.9200000000005</v>
      </c>
      <c r="CH74" s="497">
        <f t="shared" si="262"/>
        <v>1756.9200000000005</v>
      </c>
      <c r="CI74" s="498">
        <f t="shared" si="262"/>
        <v>1756.9200000000005</v>
      </c>
      <c r="CJ74" s="497">
        <f t="shared" si="262"/>
        <v>1932.6120000000008</v>
      </c>
      <c r="CK74" s="497">
        <f t="shared" si="262"/>
        <v>1932.6120000000008</v>
      </c>
      <c r="CL74" s="497">
        <f t="shared" si="262"/>
        <v>1932.6120000000008</v>
      </c>
      <c r="CM74" s="497">
        <f t="shared" si="262"/>
        <v>1932.6120000000008</v>
      </c>
      <c r="CN74" s="497">
        <f t="shared" si="262"/>
        <v>1932.6120000000008</v>
      </c>
      <c r="CO74" s="497">
        <f t="shared" si="262"/>
        <v>1932.6120000000008</v>
      </c>
      <c r="CP74" s="497">
        <f t="shared" si="262"/>
        <v>1932.6120000000008</v>
      </c>
      <c r="CQ74" s="497">
        <f t="shared" si="262"/>
        <v>1932.6120000000008</v>
      </c>
      <c r="CR74" s="497">
        <f t="shared" si="262"/>
        <v>1932.6120000000008</v>
      </c>
      <c r="CS74" s="497">
        <f t="shared" si="262"/>
        <v>1932.6120000000008</v>
      </c>
      <c r="CT74" s="497">
        <f t="shared" si="262"/>
        <v>1932.6120000000008</v>
      </c>
      <c r="CU74" s="498">
        <f t="shared" si="262"/>
        <v>1932.6120000000008</v>
      </c>
      <c r="CV74" s="497">
        <f t="shared" si="262"/>
        <v>2125.8732000000009</v>
      </c>
      <c r="CW74" s="497">
        <f t="shared" si="262"/>
        <v>2125.8732000000009</v>
      </c>
      <c r="CX74" s="497">
        <f t="shared" si="262"/>
        <v>2125.8732000000009</v>
      </c>
      <c r="CY74" s="497">
        <f t="shared" si="262"/>
        <v>2125.8732000000009</v>
      </c>
      <c r="CZ74" s="497">
        <f t="shared" si="262"/>
        <v>2125.8732000000009</v>
      </c>
      <c r="DA74" s="497">
        <f t="shared" ref="DA74:DG74" si="263">IF(DA$1&lt;&gt;CZ$1, CZ74*1.1,CZ74)</f>
        <v>2125.8732000000009</v>
      </c>
      <c r="DB74" s="497">
        <f t="shared" si="263"/>
        <v>2125.8732000000009</v>
      </c>
      <c r="DC74" s="497">
        <f t="shared" si="263"/>
        <v>2125.8732000000009</v>
      </c>
      <c r="DD74" s="497">
        <f t="shared" si="263"/>
        <v>2125.8732000000009</v>
      </c>
      <c r="DE74" s="497">
        <f t="shared" si="263"/>
        <v>2125.8732000000009</v>
      </c>
      <c r="DF74" s="497">
        <f t="shared" si="263"/>
        <v>2125.8732000000009</v>
      </c>
      <c r="DG74" s="497">
        <f t="shared" si="263"/>
        <v>2125.8732000000009</v>
      </c>
    </row>
    <row r="75" spans="1:111" x14ac:dyDescent="0.3">
      <c r="B75" s="1" t="s">
        <v>335</v>
      </c>
      <c r="C75" s="1"/>
      <c r="D75" s="116"/>
      <c r="E75" s="116"/>
      <c r="F75" s="116"/>
      <c r="G75" s="116"/>
      <c r="H75" s="116"/>
      <c r="I75" s="116"/>
      <c r="J75" s="116"/>
      <c r="K75" s="116"/>
      <c r="L75" s="116"/>
      <c r="M75" s="116"/>
      <c r="N75" s="116"/>
      <c r="O75" s="116"/>
      <c r="P75" s="116"/>
      <c r="Q75" s="116"/>
      <c r="R75" s="116"/>
      <c r="S75" s="116"/>
      <c r="T75" s="116"/>
      <c r="U75" s="116"/>
      <c r="V75" s="116"/>
      <c r="W75" s="116"/>
      <c r="X75" s="116"/>
      <c r="Y75" s="116"/>
      <c r="Z75" s="116"/>
      <c r="AA75" s="116"/>
      <c r="AB75" s="116"/>
      <c r="AC75" s="116"/>
      <c r="AD75" s="116"/>
      <c r="AE75" s="116"/>
      <c r="AF75" s="116"/>
      <c r="AG75" s="116"/>
      <c r="AH75" s="116"/>
      <c r="AI75" s="116"/>
      <c r="AJ75" s="116"/>
      <c r="AK75" s="287">
        <v>200</v>
      </c>
      <c r="AL75" s="234">
        <v>0</v>
      </c>
      <c r="AM75" s="287">
        <f>AL75</f>
        <v>0</v>
      </c>
      <c r="AN75" s="234" t="s">
        <v>350</v>
      </c>
      <c r="AO75" s="116"/>
      <c r="AP75" s="116"/>
      <c r="AQ75" s="116"/>
      <c r="AR75" s="116"/>
      <c r="AS75" s="116"/>
      <c r="AT75" s="116"/>
      <c r="AU75" s="116"/>
      <c r="AV75" s="116"/>
      <c r="AW75" s="116"/>
      <c r="AX75" s="116"/>
      <c r="AY75" s="287"/>
      <c r="AZ75" s="116"/>
      <c r="BA75" s="116"/>
      <c r="BB75" s="116"/>
      <c r="BC75" s="116"/>
      <c r="BD75" s="116"/>
      <c r="BE75" s="116"/>
      <c r="BF75" s="116"/>
      <c r="BG75" s="116"/>
      <c r="BH75" s="116"/>
      <c r="BI75" s="116"/>
      <c r="BJ75" s="116"/>
      <c r="BK75" s="287"/>
      <c r="BL75" s="116"/>
      <c r="BM75" s="116"/>
      <c r="BN75" s="116"/>
      <c r="BO75" s="116"/>
      <c r="BP75" s="116"/>
      <c r="BQ75" s="116"/>
      <c r="BR75" s="116"/>
      <c r="BS75" s="116"/>
      <c r="BT75" s="116"/>
      <c r="BU75" s="116"/>
      <c r="BV75" s="116"/>
      <c r="BW75" s="287"/>
      <c r="BX75" s="116"/>
      <c r="BY75" s="116"/>
      <c r="BZ75" s="116"/>
      <c r="CA75" s="116"/>
      <c r="CB75" s="116"/>
      <c r="CC75" s="116"/>
      <c r="CD75" s="116"/>
      <c r="CE75" s="116"/>
      <c r="CF75" s="116"/>
      <c r="CG75" s="116"/>
      <c r="CH75" s="116"/>
      <c r="CI75" s="287"/>
      <c r="CJ75" s="116"/>
      <c r="CK75" s="116"/>
      <c r="CL75" s="116"/>
      <c r="CM75" s="116"/>
      <c r="CN75" s="116"/>
      <c r="CO75" s="116"/>
      <c r="CP75" s="116"/>
      <c r="CQ75" s="116"/>
      <c r="CR75" s="116"/>
      <c r="CS75" s="116"/>
      <c r="CT75" s="116"/>
      <c r="CU75" s="287"/>
      <c r="CV75" s="116"/>
      <c r="CW75" s="116"/>
      <c r="CX75" s="116"/>
      <c r="CY75" s="116"/>
      <c r="CZ75" s="116"/>
      <c r="DA75" s="116"/>
      <c r="DB75" s="116"/>
      <c r="DC75" s="116"/>
      <c r="DD75" s="116"/>
      <c r="DE75" s="116"/>
      <c r="DF75" s="116"/>
      <c r="DG75" s="116"/>
    </row>
    <row r="76" spans="1:111" x14ac:dyDescent="0.3">
      <c r="B76" s="1" t="s">
        <v>245</v>
      </c>
      <c r="C76" s="1"/>
      <c r="D76" s="116"/>
      <c r="E76" s="116"/>
      <c r="F76" s="116"/>
      <c r="G76" s="116"/>
      <c r="H76" s="116"/>
      <c r="I76" s="116"/>
      <c r="J76" s="116"/>
      <c r="K76" s="116"/>
      <c r="L76" s="116"/>
      <c r="M76" s="116"/>
      <c r="N76" s="116"/>
      <c r="O76" s="116"/>
      <c r="P76" s="116"/>
      <c r="Q76" s="116"/>
      <c r="R76" s="116"/>
      <c r="S76" s="116"/>
      <c r="T76" s="116"/>
      <c r="U76" s="116"/>
      <c r="V76" s="116"/>
      <c r="W76" s="116"/>
      <c r="X76" s="116">
        <v>263.64999999999998</v>
      </c>
      <c r="Y76" s="116">
        <v>339.77</v>
      </c>
      <c r="Z76" s="116">
        <v>342.57</v>
      </c>
      <c r="AA76" s="116">
        <v>302.18</v>
      </c>
      <c r="AB76" s="116"/>
      <c r="AC76" s="116">
        <v>302.18</v>
      </c>
      <c r="AD76" s="116">
        <v>286.58</v>
      </c>
      <c r="AE76" s="116">
        <v>434.28</v>
      </c>
      <c r="AF76" s="116">
        <v>342.11</v>
      </c>
      <c r="AG76" s="116">
        <v>423.02</v>
      </c>
      <c r="AH76" s="116">
        <v>513.39</v>
      </c>
      <c r="AI76" s="116">
        <v>382</v>
      </c>
      <c r="AJ76" s="116">
        <v>550</v>
      </c>
      <c r="AK76" s="287">
        <v>518.05999999999995</v>
      </c>
      <c r="AL76" s="234">
        <f>+AVERAGE(AI76:AK76)</f>
        <v>483.3533333333333</v>
      </c>
      <c r="AM76" s="287">
        <f>AL76</f>
        <v>483.3533333333333</v>
      </c>
      <c r="AN76" s="234">
        <f t="shared" ref="AN76:BS76" si="264">IF(AN$1&lt;&gt;AM$1, AM76*1.1,AM76)</f>
        <v>531.68866666666668</v>
      </c>
      <c r="AO76" s="116">
        <f t="shared" si="264"/>
        <v>531.68866666666668</v>
      </c>
      <c r="AP76" s="116">
        <f t="shared" si="264"/>
        <v>531.68866666666668</v>
      </c>
      <c r="AQ76" s="116">
        <f t="shared" si="264"/>
        <v>531.68866666666668</v>
      </c>
      <c r="AR76" s="116">
        <f t="shared" si="264"/>
        <v>531.68866666666668</v>
      </c>
      <c r="AS76" s="116">
        <f t="shared" si="264"/>
        <v>531.68866666666668</v>
      </c>
      <c r="AT76" s="116">
        <f t="shared" si="264"/>
        <v>531.68866666666668</v>
      </c>
      <c r="AU76" s="116">
        <f t="shared" si="264"/>
        <v>531.68866666666668</v>
      </c>
      <c r="AV76" s="116">
        <f t="shared" si="264"/>
        <v>531.68866666666668</v>
      </c>
      <c r="AW76" s="116">
        <f t="shared" si="264"/>
        <v>531.68866666666668</v>
      </c>
      <c r="AX76" s="116">
        <f t="shared" si="264"/>
        <v>531.68866666666668</v>
      </c>
      <c r="AY76" s="287">
        <f t="shared" si="264"/>
        <v>531.68866666666668</v>
      </c>
      <c r="AZ76" s="116">
        <f t="shared" si="264"/>
        <v>584.85753333333344</v>
      </c>
      <c r="BA76" s="116">
        <f t="shared" si="264"/>
        <v>584.85753333333344</v>
      </c>
      <c r="BB76" s="116">
        <f t="shared" si="264"/>
        <v>584.85753333333344</v>
      </c>
      <c r="BC76" s="116">
        <f t="shared" si="264"/>
        <v>584.85753333333344</v>
      </c>
      <c r="BD76" s="116">
        <f t="shared" si="264"/>
        <v>584.85753333333344</v>
      </c>
      <c r="BE76" s="116">
        <f t="shared" si="264"/>
        <v>584.85753333333344</v>
      </c>
      <c r="BF76" s="116">
        <f t="shared" si="264"/>
        <v>584.85753333333344</v>
      </c>
      <c r="BG76" s="116">
        <f t="shared" si="264"/>
        <v>584.85753333333344</v>
      </c>
      <c r="BH76" s="116">
        <f t="shared" si="264"/>
        <v>584.85753333333344</v>
      </c>
      <c r="BI76" s="116">
        <f t="shared" si="264"/>
        <v>584.85753333333344</v>
      </c>
      <c r="BJ76" s="116">
        <f t="shared" si="264"/>
        <v>584.85753333333344</v>
      </c>
      <c r="BK76" s="287">
        <f t="shared" si="264"/>
        <v>584.85753333333344</v>
      </c>
      <c r="BL76" s="116">
        <f t="shared" si="264"/>
        <v>643.34328666666681</v>
      </c>
      <c r="BM76" s="116">
        <f t="shared" si="264"/>
        <v>643.34328666666681</v>
      </c>
      <c r="BN76" s="116">
        <f t="shared" si="264"/>
        <v>643.34328666666681</v>
      </c>
      <c r="BO76" s="116">
        <f t="shared" si="264"/>
        <v>643.34328666666681</v>
      </c>
      <c r="BP76" s="116">
        <f t="shared" si="264"/>
        <v>643.34328666666681</v>
      </c>
      <c r="BQ76" s="116">
        <f t="shared" si="264"/>
        <v>643.34328666666681</v>
      </c>
      <c r="BR76" s="116">
        <f t="shared" si="264"/>
        <v>643.34328666666681</v>
      </c>
      <c r="BS76" s="116">
        <f t="shared" si="264"/>
        <v>643.34328666666681</v>
      </c>
      <c r="BT76" s="116">
        <f t="shared" ref="BT76:CY76" si="265">IF(BT$1&lt;&gt;BS$1, BS76*1.1,BS76)</f>
        <v>643.34328666666681</v>
      </c>
      <c r="BU76" s="116">
        <f t="shared" si="265"/>
        <v>643.34328666666681</v>
      </c>
      <c r="BV76" s="116">
        <f t="shared" si="265"/>
        <v>643.34328666666681</v>
      </c>
      <c r="BW76" s="287">
        <f t="shared" si="265"/>
        <v>643.34328666666681</v>
      </c>
      <c r="BX76" s="116">
        <f t="shared" si="265"/>
        <v>707.67761533333351</v>
      </c>
      <c r="BY76" s="116">
        <f t="shared" si="265"/>
        <v>707.67761533333351</v>
      </c>
      <c r="BZ76" s="116">
        <f t="shared" si="265"/>
        <v>707.67761533333351</v>
      </c>
      <c r="CA76" s="116">
        <f t="shared" si="265"/>
        <v>707.67761533333351</v>
      </c>
      <c r="CB76" s="116">
        <f t="shared" si="265"/>
        <v>707.67761533333351</v>
      </c>
      <c r="CC76" s="116">
        <f t="shared" si="265"/>
        <v>707.67761533333351</v>
      </c>
      <c r="CD76" s="116">
        <f t="shared" si="265"/>
        <v>707.67761533333351</v>
      </c>
      <c r="CE76" s="116">
        <f t="shared" si="265"/>
        <v>707.67761533333351</v>
      </c>
      <c r="CF76" s="116">
        <f t="shared" si="265"/>
        <v>707.67761533333351</v>
      </c>
      <c r="CG76" s="116">
        <f t="shared" si="265"/>
        <v>707.67761533333351</v>
      </c>
      <c r="CH76" s="116">
        <f t="shared" si="265"/>
        <v>707.67761533333351</v>
      </c>
      <c r="CI76" s="287">
        <f t="shared" si="265"/>
        <v>707.67761533333351</v>
      </c>
      <c r="CJ76" s="116">
        <f t="shared" si="265"/>
        <v>778.44537686666695</v>
      </c>
      <c r="CK76" s="116">
        <f t="shared" si="265"/>
        <v>778.44537686666695</v>
      </c>
      <c r="CL76" s="116">
        <f t="shared" si="265"/>
        <v>778.44537686666695</v>
      </c>
      <c r="CM76" s="116">
        <f t="shared" si="265"/>
        <v>778.44537686666695</v>
      </c>
      <c r="CN76" s="116">
        <f t="shared" si="265"/>
        <v>778.44537686666695</v>
      </c>
      <c r="CO76" s="116">
        <f t="shared" si="265"/>
        <v>778.44537686666695</v>
      </c>
      <c r="CP76" s="116">
        <f t="shared" si="265"/>
        <v>778.44537686666695</v>
      </c>
      <c r="CQ76" s="116">
        <f t="shared" si="265"/>
        <v>778.44537686666695</v>
      </c>
      <c r="CR76" s="116">
        <f t="shared" si="265"/>
        <v>778.44537686666695</v>
      </c>
      <c r="CS76" s="116">
        <f t="shared" si="265"/>
        <v>778.44537686666695</v>
      </c>
      <c r="CT76" s="116">
        <f t="shared" si="265"/>
        <v>778.44537686666695</v>
      </c>
      <c r="CU76" s="287">
        <f t="shared" si="265"/>
        <v>778.44537686666695</v>
      </c>
      <c r="CV76" s="116">
        <f t="shared" si="265"/>
        <v>856.28991455333369</v>
      </c>
      <c r="CW76" s="116">
        <f t="shared" si="265"/>
        <v>856.28991455333369</v>
      </c>
      <c r="CX76" s="116">
        <f t="shared" si="265"/>
        <v>856.28991455333369</v>
      </c>
      <c r="CY76" s="116">
        <f t="shared" si="265"/>
        <v>856.28991455333369</v>
      </c>
      <c r="CZ76" s="116">
        <f t="shared" ref="CZ76:DG76" si="266">IF(CZ$1&lt;&gt;CY$1, CY76*1.1,CY76)</f>
        <v>856.28991455333369</v>
      </c>
      <c r="DA76" s="116">
        <f t="shared" si="266"/>
        <v>856.28991455333369</v>
      </c>
      <c r="DB76" s="116">
        <f t="shared" si="266"/>
        <v>856.28991455333369</v>
      </c>
      <c r="DC76" s="116">
        <f t="shared" si="266"/>
        <v>856.28991455333369</v>
      </c>
      <c r="DD76" s="116">
        <f t="shared" si="266"/>
        <v>856.28991455333369</v>
      </c>
      <c r="DE76" s="116">
        <f t="shared" si="266"/>
        <v>856.28991455333369</v>
      </c>
      <c r="DF76" s="116">
        <f t="shared" si="266"/>
        <v>856.28991455333369</v>
      </c>
      <c r="DG76" s="116">
        <f t="shared" si="266"/>
        <v>856.28991455333369</v>
      </c>
    </row>
    <row r="77" spans="1:111" x14ac:dyDescent="0.3">
      <c r="B77" s="1" t="s">
        <v>327</v>
      </c>
      <c r="C77" s="1"/>
      <c r="D77" s="116"/>
      <c r="E77" s="116"/>
      <c r="F77" s="116"/>
      <c r="G77" s="116"/>
      <c r="H77" s="116"/>
      <c r="I77" s="116"/>
      <c r="J77" s="116"/>
      <c r="K77" s="116"/>
      <c r="L77" s="116"/>
      <c r="M77" s="116"/>
      <c r="N77" s="116"/>
      <c r="O77" s="116"/>
      <c r="P77" s="116"/>
      <c r="Q77" s="116"/>
      <c r="R77" s="116"/>
      <c r="S77" s="116"/>
      <c r="T77" s="116"/>
      <c r="U77" s="116"/>
      <c r="V77" s="116"/>
      <c r="W77" s="116"/>
      <c r="X77" s="116"/>
      <c r="Y77" s="116"/>
      <c r="Z77" s="116"/>
      <c r="AA77" s="116"/>
      <c r="AB77" s="116"/>
      <c r="AC77" s="116"/>
      <c r="AD77" s="116"/>
      <c r="AE77" s="116"/>
      <c r="AF77" s="116"/>
      <c r="AG77" s="116"/>
      <c r="AH77" s="116"/>
      <c r="AI77" s="116"/>
      <c r="AJ77" s="116"/>
      <c r="AK77" s="287"/>
      <c r="AL77" s="234">
        <v>50</v>
      </c>
      <c r="AM77" s="287">
        <v>150</v>
      </c>
      <c r="AN77" s="234">
        <v>50</v>
      </c>
      <c r="AO77" s="116">
        <f t="shared" ref="AO77:BT77" si="267">AN77</f>
        <v>50</v>
      </c>
      <c r="AP77" s="116">
        <f t="shared" si="267"/>
        <v>50</v>
      </c>
      <c r="AQ77" s="116">
        <f t="shared" si="267"/>
        <v>50</v>
      </c>
      <c r="AR77" s="116">
        <f t="shared" si="267"/>
        <v>50</v>
      </c>
      <c r="AS77" s="116">
        <f t="shared" si="267"/>
        <v>50</v>
      </c>
      <c r="AT77" s="116">
        <f t="shared" si="267"/>
        <v>50</v>
      </c>
      <c r="AU77" s="116">
        <f t="shared" si="267"/>
        <v>50</v>
      </c>
      <c r="AV77" s="116">
        <f t="shared" si="267"/>
        <v>50</v>
      </c>
      <c r="AW77" s="116">
        <f t="shared" si="267"/>
        <v>50</v>
      </c>
      <c r="AX77" s="116">
        <f t="shared" si="267"/>
        <v>50</v>
      </c>
      <c r="AY77" s="287">
        <f t="shared" si="267"/>
        <v>50</v>
      </c>
      <c r="AZ77" s="116">
        <f t="shared" si="267"/>
        <v>50</v>
      </c>
      <c r="BA77" s="116">
        <f t="shared" si="267"/>
        <v>50</v>
      </c>
      <c r="BB77" s="116">
        <f t="shared" si="267"/>
        <v>50</v>
      </c>
      <c r="BC77" s="116">
        <f t="shared" si="267"/>
        <v>50</v>
      </c>
      <c r="BD77" s="116">
        <f t="shared" si="267"/>
        <v>50</v>
      </c>
      <c r="BE77" s="116">
        <f t="shared" si="267"/>
        <v>50</v>
      </c>
      <c r="BF77" s="116">
        <f t="shared" si="267"/>
        <v>50</v>
      </c>
      <c r="BG77" s="116">
        <f t="shared" si="267"/>
        <v>50</v>
      </c>
      <c r="BH77" s="116">
        <f t="shared" si="267"/>
        <v>50</v>
      </c>
      <c r="BI77" s="116">
        <f t="shared" si="267"/>
        <v>50</v>
      </c>
      <c r="BJ77" s="116">
        <f t="shared" si="267"/>
        <v>50</v>
      </c>
      <c r="BK77" s="287">
        <f t="shared" si="267"/>
        <v>50</v>
      </c>
      <c r="BL77" s="116">
        <f t="shared" si="267"/>
        <v>50</v>
      </c>
      <c r="BM77" s="116">
        <f t="shared" si="267"/>
        <v>50</v>
      </c>
      <c r="BN77" s="116">
        <f t="shared" si="267"/>
        <v>50</v>
      </c>
      <c r="BO77" s="116">
        <f t="shared" si="267"/>
        <v>50</v>
      </c>
      <c r="BP77" s="116">
        <f t="shared" si="267"/>
        <v>50</v>
      </c>
      <c r="BQ77" s="116">
        <f t="shared" si="267"/>
        <v>50</v>
      </c>
      <c r="BR77" s="116">
        <f t="shared" si="267"/>
        <v>50</v>
      </c>
      <c r="BS77" s="116">
        <f t="shared" si="267"/>
        <v>50</v>
      </c>
      <c r="BT77" s="116">
        <f t="shared" si="267"/>
        <v>50</v>
      </c>
      <c r="BU77" s="116">
        <f t="shared" ref="BU77:CZ77" si="268">BT77</f>
        <v>50</v>
      </c>
      <c r="BV77" s="116">
        <f t="shared" si="268"/>
        <v>50</v>
      </c>
      <c r="BW77" s="287">
        <f t="shared" si="268"/>
        <v>50</v>
      </c>
      <c r="BX77" s="116">
        <f t="shared" si="268"/>
        <v>50</v>
      </c>
      <c r="BY77" s="116">
        <f t="shared" si="268"/>
        <v>50</v>
      </c>
      <c r="BZ77" s="116">
        <f t="shared" si="268"/>
        <v>50</v>
      </c>
      <c r="CA77" s="116">
        <f t="shared" si="268"/>
        <v>50</v>
      </c>
      <c r="CB77" s="116">
        <f t="shared" si="268"/>
        <v>50</v>
      </c>
      <c r="CC77" s="116">
        <f t="shared" si="268"/>
        <v>50</v>
      </c>
      <c r="CD77" s="116">
        <f t="shared" si="268"/>
        <v>50</v>
      </c>
      <c r="CE77" s="116">
        <f t="shared" si="268"/>
        <v>50</v>
      </c>
      <c r="CF77" s="116">
        <f t="shared" si="268"/>
        <v>50</v>
      </c>
      <c r="CG77" s="116">
        <f t="shared" si="268"/>
        <v>50</v>
      </c>
      <c r="CH77" s="116">
        <f t="shared" si="268"/>
        <v>50</v>
      </c>
      <c r="CI77" s="287">
        <f t="shared" si="268"/>
        <v>50</v>
      </c>
      <c r="CJ77" s="116">
        <f t="shared" si="268"/>
        <v>50</v>
      </c>
      <c r="CK77" s="116">
        <f t="shared" si="268"/>
        <v>50</v>
      </c>
      <c r="CL77" s="116">
        <f t="shared" si="268"/>
        <v>50</v>
      </c>
      <c r="CM77" s="116">
        <f t="shared" si="268"/>
        <v>50</v>
      </c>
      <c r="CN77" s="116">
        <f t="shared" si="268"/>
        <v>50</v>
      </c>
      <c r="CO77" s="116">
        <f t="shared" si="268"/>
        <v>50</v>
      </c>
      <c r="CP77" s="116">
        <f t="shared" si="268"/>
        <v>50</v>
      </c>
      <c r="CQ77" s="116">
        <f t="shared" si="268"/>
        <v>50</v>
      </c>
      <c r="CR77" s="116">
        <f t="shared" si="268"/>
        <v>50</v>
      </c>
      <c r="CS77" s="116">
        <f t="shared" si="268"/>
        <v>50</v>
      </c>
      <c r="CT77" s="116">
        <f t="shared" si="268"/>
        <v>50</v>
      </c>
      <c r="CU77" s="287">
        <f t="shared" si="268"/>
        <v>50</v>
      </c>
      <c r="CV77" s="116">
        <f t="shared" si="268"/>
        <v>50</v>
      </c>
      <c r="CW77" s="116">
        <f t="shared" si="268"/>
        <v>50</v>
      </c>
      <c r="CX77" s="116">
        <f t="shared" si="268"/>
        <v>50</v>
      </c>
      <c r="CY77" s="116">
        <f t="shared" si="268"/>
        <v>50</v>
      </c>
      <c r="CZ77" s="116">
        <f t="shared" si="268"/>
        <v>50</v>
      </c>
      <c r="DA77" s="116">
        <f t="shared" ref="DA77:DG77" si="269">CZ77</f>
        <v>50</v>
      </c>
      <c r="DB77" s="116">
        <f t="shared" si="269"/>
        <v>50</v>
      </c>
      <c r="DC77" s="116">
        <f t="shared" si="269"/>
        <v>50</v>
      </c>
      <c r="DD77" s="116">
        <f t="shared" si="269"/>
        <v>50</v>
      </c>
      <c r="DE77" s="116">
        <f t="shared" si="269"/>
        <v>50</v>
      </c>
      <c r="DF77" s="116">
        <f t="shared" si="269"/>
        <v>50</v>
      </c>
      <c r="DG77" s="116">
        <f t="shared" si="269"/>
        <v>50</v>
      </c>
    </row>
    <row r="78" spans="1:111" x14ac:dyDescent="0.3">
      <c r="B78" s="1" t="s">
        <v>348</v>
      </c>
      <c r="C78" s="1"/>
      <c r="D78" s="116"/>
      <c r="E78" s="116"/>
      <c r="F78" s="116"/>
      <c r="G78" s="116"/>
      <c r="H78" s="116"/>
      <c r="I78" s="116"/>
      <c r="J78" s="116"/>
      <c r="K78" s="116"/>
      <c r="L78" s="116"/>
      <c r="M78" s="116"/>
      <c r="N78" s="116"/>
      <c r="O78" s="116"/>
      <c r="P78" s="116"/>
      <c r="Q78" s="116"/>
      <c r="R78" s="116"/>
      <c r="S78" s="116"/>
      <c r="T78" s="116"/>
      <c r="U78" s="116"/>
      <c r="V78" s="116"/>
      <c r="W78" s="116"/>
      <c r="X78" s="116"/>
      <c r="Y78" s="116"/>
      <c r="Z78" s="116"/>
      <c r="AA78" s="116"/>
      <c r="AB78" s="116"/>
      <c r="AC78" s="116"/>
      <c r="AD78" s="116"/>
      <c r="AE78" s="116"/>
      <c r="AF78" s="116"/>
      <c r="AG78" s="116"/>
      <c r="AH78" s="116"/>
      <c r="AI78" s="116"/>
      <c r="AJ78" s="116"/>
      <c r="AK78" s="287">
        <v>51.94</v>
      </c>
      <c r="AL78" s="234">
        <f>+AK78</f>
        <v>51.94</v>
      </c>
      <c r="AM78" s="287">
        <f t="shared" ref="AM78:CX78" si="270">+AL78</f>
        <v>51.94</v>
      </c>
      <c r="AN78" s="234">
        <f t="shared" si="270"/>
        <v>51.94</v>
      </c>
      <c r="AO78" s="116">
        <f t="shared" si="270"/>
        <v>51.94</v>
      </c>
      <c r="AP78" s="116">
        <f t="shared" si="270"/>
        <v>51.94</v>
      </c>
      <c r="AQ78" s="116">
        <f t="shared" si="270"/>
        <v>51.94</v>
      </c>
      <c r="AR78" s="116">
        <f t="shared" si="270"/>
        <v>51.94</v>
      </c>
      <c r="AS78" s="116">
        <f t="shared" si="270"/>
        <v>51.94</v>
      </c>
      <c r="AT78" s="116">
        <f t="shared" si="270"/>
        <v>51.94</v>
      </c>
      <c r="AU78" s="116">
        <f t="shared" si="270"/>
        <v>51.94</v>
      </c>
      <c r="AV78" s="116">
        <f t="shared" si="270"/>
        <v>51.94</v>
      </c>
      <c r="AW78" s="116">
        <f t="shared" si="270"/>
        <v>51.94</v>
      </c>
      <c r="AX78" s="116">
        <f t="shared" si="270"/>
        <v>51.94</v>
      </c>
      <c r="AY78" s="287">
        <f t="shared" si="270"/>
        <v>51.94</v>
      </c>
      <c r="AZ78" s="116">
        <f t="shared" si="270"/>
        <v>51.94</v>
      </c>
      <c r="BA78" s="116">
        <f t="shared" si="270"/>
        <v>51.94</v>
      </c>
      <c r="BB78" s="116">
        <f t="shared" si="270"/>
        <v>51.94</v>
      </c>
      <c r="BC78" s="116">
        <f t="shared" si="270"/>
        <v>51.94</v>
      </c>
      <c r="BD78" s="116">
        <f t="shared" si="270"/>
        <v>51.94</v>
      </c>
      <c r="BE78" s="116">
        <f t="shared" si="270"/>
        <v>51.94</v>
      </c>
      <c r="BF78" s="116">
        <f t="shared" si="270"/>
        <v>51.94</v>
      </c>
      <c r="BG78" s="116">
        <f t="shared" si="270"/>
        <v>51.94</v>
      </c>
      <c r="BH78" s="116">
        <f t="shared" si="270"/>
        <v>51.94</v>
      </c>
      <c r="BI78" s="116">
        <f t="shared" si="270"/>
        <v>51.94</v>
      </c>
      <c r="BJ78" s="116">
        <f t="shared" si="270"/>
        <v>51.94</v>
      </c>
      <c r="BK78" s="287">
        <f t="shared" si="270"/>
        <v>51.94</v>
      </c>
      <c r="BL78" s="116">
        <f t="shared" si="270"/>
        <v>51.94</v>
      </c>
      <c r="BM78" s="116">
        <f t="shared" si="270"/>
        <v>51.94</v>
      </c>
      <c r="BN78" s="116">
        <f t="shared" si="270"/>
        <v>51.94</v>
      </c>
      <c r="BO78" s="116">
        <f t="shared" si="270"/>
        <v>51.94</v>
      </c>
      <c r="BP78" s="116">
        <f t="shared" si="270"/>
        <v>51.94</v>
      </c>
      <c r="BQ78" s="116">
        <f t="shared" si="270"/>
        <v>51.94</v>
      </c>
      <c r="BR78" s="116">
        <f t="shared" si="270"/>
        <v>51.94</v>
      </c>
      <c r="BS78" s="116">
        <f t="shared" si="270"/>
        <v>51.94</v>
      </c>
      <c r="BT78" s="116">
        <f t="shared" si="270"/>
        <v>51.94</v>
      </c>
      <c r="BU78" s="116">
        <f t="shared" si="270"/>
        <v>51.94</v>
      </c>
      <c r="BV78" s="116">
        <f t="shared" si="270"/>
        <v>51.94</v>
      </c>
      <c r="BW78" s="287">
        <f t="shared" si="270"/>
        <v>51.94</v>
      </c>
      <c r="BX78" s="116">
        <f t="shared" si="270"/>
        <v>51.94</v>
      </c>
      <c r="BY78" s="116">
        <f t="shared" si="270"/>
        <v>51.94</v>
      </c>
      <c r="BZ78" s="116">
        <f t="shared" si="270"/>
        <v>51.94</v>
      </c>
      <c r="CA78" s="116">
        <f t="shared" si="270"/>
        <v>51.94</v>
      </c>
      <c r="CB78" s="116">
        <f t="shared" si="270"/>
        <v>51.94</v>
      </c>
      <c r="CC78" s="116">
        <f t="shared" si="270"/>
        <v>51.94</v>
      </c>
      <c r="CD78" s="116">
        <f t="shared" si="270"/>
        <v>51.94</v>
      </c>
      <c r="CE78" s="116">
        <f t="shared" si="270"/>
        <v>51.94</v>
      </c>
      <c r="CF78" s="116">
        <f t="shared" si="270"/>
        <v>51.94</v>
      </c>
      <c r="CG78" s="116">
        <f t="shared" si="270"/>
        <v>51.94</v>
      </c>
      <c r="CH78" s="116">
        <f t="shared" si="270"/>
        <v>51.94</v>
      </c>
      <c r="CI78" s="287">
        <f t="shared" si="270"/>
        <v>51.94</v>
      </c>
      <c r="CJ78" s="116">
        <f t="shared" si="270"/>
        <v>51.94</v>
      </c>
      <c r="CK78" s="116">
        <f t="shared" si="270"/>
        <v>51.94</v>
      </c>
      <c r="CL78" s="116">
        <f t="shared" si="270"/>
        <v>51.94</v>
      </c>
      <c r="CM78" s="116">
        <f t="shared" si="270"/>
        <v>51.94</v>
      </c>
      <c r="CN78" s="116">
        <f t="shared" si="270"/>
        <v>51.94</v>
      </c>
      <c r="CO78" s="116">
        <f t="shared" si="270"/>
        <v>51.94</v>
      </c>
      <c r="CP78" s="116">
        <f t="shared" si="270"/>
        <v>51.94</v>
      </c>
      <c r="CQ78" s="116">
        <f t="shared" si="270"/>
        <v>51.94</v>
      </c>
      <c r="CR78" s="116">
        <f t="shared" si="270"/>
        <v>51.94</v>
      </c>
      <c r="CS78" s="116">
        <f t="shared" si="270"/>
        <v>51.94</v>
      </c>
      <c r="CT78" s="116">
        <f t="shared" si="270"/>
        <v>51.94</v>
      </c>
      <c r="CU78" s="287">
        <f t="shared" si="270"/>
        <v>51.94</v>
      </c>
      <c r="CV78" s="116">
        <f t="shared" si="270"/>
        <v>51.94</v>
      </c>
      <c r="CW78" s="116">
        <f t="shared" si="270"/>
        <v>51.94</v>
      </c>
      <c r="CX78" s="116">
        <f t="shared" si="270"/>
        <v>51.94</v>
      </c>
      <c r="CY78" s="116">
        <f t="shared" ref="CY78:DG78" si="271">+CX78</f>
        <v>51.94</v>
      </c>
      <c r="CZ78" s="116">
        <f t="shared" si="271"/>
        <v>51.94</v>
      </c>
      <c r="DA78" s="116">
        <f t="shared" si="271"/>
        <v>51.94</v>
      </c>
      <c r="DB78" s="116">
        <f t="shared" si="271"/>
        <v>51.94</v>
      </c>
      <c r="DC78" s="116">
        <f t="shared" si="271"/>
        <v>51.94</v>
      </c>
      <c r="DD78" s="116">
        <f t="shared" si="271"/>
        <v>51.94</v>
      </c>
      <c r="DE78" s="116">
        <f t="shared" si="271"/>
        <v>51.94</v>
      </c>
      <c r="DF78" s="116">
        <f t="shared" si="271"/>
        <v>51.94</v>
      </c>
      <c r="DG78" s="116">
        <f t="shared" si="271"/>
        <v>51.94</v>
      </c>
    </row>
    <row r="79" spans="1:111" x14ac:dyDescent="0.3">
      <c r="B79" s="4" t="s">
        <v>188</v>
      </c>
      <c r="C79" s="4"/>
      <c r="D79" s="56">
        <f t="shared" ref="D79:U79" si="272">SUM(D68:D72)</f>
        <v>0</v>
      </c>
      <c r="E79" s="56">
        <f t="shared" si="272"/>
        <v>0</v>
      </c>
      <c r="F79" s="56">
        <f t="shared" si="272"/>
        <v>0</v>
      </c>
      <c r="G79" s="56">
        <f t="shared" si="272"/>
        <v>0</v>
      </c>
      <c r="H79" s="56">
        <f t="shared" si="272"/>
        <v>0</v>
      </c>
      <c r="I79" s="56">
        <f t="shared" si="272"/>
        <v>0</v>
      </c>
      <c r="J79" s="56">
        <f t="shared" si="272"/>
        <v>0</v>
      </c>
      <c r="K79" s="56">
        <f t="shared" si="272"/>
        <v>0</v>
      </c>
      <c r="L79" s="56">
        <f t="shared" si="272"/>
        <v>0</v>
      </c>
      <c r="M79" s="56">
        <f t="shared" si="272"/>
        <v>0</v>
      </c>
      <c r="N79" s="56">
        <f t="shared" si="272"/>
        <v>0</v>
      </c>
      <c r="O79" s="56">
        <f t="shared" si="272"/>
        <v>0</v>
      </c>
      <c r="P79" s="56">
        <f t="shared" si="272"/>
        <v>0</v>
      </c>
      <c r="Q79" s="56">
        <f t="shared" si="272"/>
        <v>0</v>
      </c>
      <c r="R79" s="56">
        <f t="shared" si="272"/>
        <v>0</v>
      </c>
      <c r="S79" s="56">
        <f t="shared" si="272"/>
        <v>0</v>
      </c>
      <c r="T79" s="56">
        <f t="shared" si="272"/>
        <v>0</v>
      </c>
      <c r="U79" s="56">
        <f t="shared" si="272"/>
        <v>0</v>
      </c>
      <c r="V79" s="56">
        <f t="shared" ref="V79:AA79" si="273">SUM(V68:V76)</f>
        <v>0</v>
      </c>
      <c r="W79" s="56">
        <f t="shared" si="273"/>
        <v>40.270000000000003</v>
      </c>
      <c r="X79" s="56">
        <f t="shared" si="273"/>
        <v>334.59999999999997</v>
      </c>
      <c r="Y79" s="56">
        <f t="shared" si="273"/>
        <v>515.56999999999994</v>
      </c>
      <c r="Z79" s="56">
        <f t="shared" si="273"/>
        <v>947.04</v>
      </c>
      <c r="AA79" s="56">
        <f t="shared" si="273"/>
        <v>687.90000000000009</v>
      </c>
      <c r="AB79" s="56">
        <f t="shared" ref="AB79:AJ79" si="274">SUM(AB68:AB78)</f>
        <v>85.62</v>
      </c>
      <c r="AC79" s="56">
        <f t="shared" si="274"/>
        <v>1011.1800000000001</v>
      </c>
      <c r="AD79" s="56">
        <f t="shared" si="274"/>
        <v>888.45</v>
      </c>
      <c r="AE79" s="56">
        <f t="shared" si="274"/>
        <v>1246.83</v>
      </c>
      <c r="AF79" s="56">
        <f t="shared" si="274"/>
        <v>816.03</v>
      </c>
      <c r="AG79" s="56">
        <f t="shared" si="274"/>
        <v>1171.1599999999999</v>
      </c>
      <c r="AH79" s="56">
        <f t="shared" si="274"/>
        <v>2775.1</v>
      </c>
      <c r="AI79" s="56">
        <f t="shared" si="274"/>
        <v>2621.57</v>
      </c>
      <c r="AJ79" s="56">
        <f t="shared" si="274"/>
        <v>2756.95</v>
      </c>
      <c r="AK79" s="288">
        <f>SUM(AK68:AK78)</f>
        <v>2632.55</v>
      </c>
      <c r="AL79" s="56">
        <f t="shared" ref="AL79:CW79" si="275">SUM(AL68:AL78)</f>
        <v>2738.7616666666668</v>
      </c>
      <c r="AM79" s="288">
        <f t="shared" si="275"/>
        <v>2838.7616666666668</v>
      </c>
      <c r="AN79" s="56">
        <f t="shared" si="275"/>
        <v>3060.9798888888895</v>
      </c>
      <c r="AO79" s="56">
        <f t="shared" si="275"/>
        <v>3060.9798888888895</v>
      </c>
      <c r="AP79" s="56">
        <f t="shared" si="275"/>
        <v>3060.9798888888895</v>
      </c>
      <c r="AQ79" s="56">
        <f t="shared" si="275"/>
        <v>3060.9798888888895</v>
      </c>
      <c r="AR79" s="56">
        <f t="shared" si="275"/>
        <v>3060.9798888888895</v>
      </c>
      <c r="AS79" s="56">
        <f t="shared" si="275"/>
        <v>3060.9798888888895</v>
      </c>
      <c r="AT79" s="56">
        <f t="shared" si="275"/>
        <v>3060.9798888888895</v>
      </c>
      <c r="AU79" s="56">
        <f t="shared" si="275"/>
        <v>3060.9798888888895</v>
      </c>
      <c r="AV79" s="56">
        <f t="shared" si="275"/>
        <v>3060.9798888888895</v>
      </c>
      <c r="AW79" s="56">
        <f t="shared" si="275"/>
        <v>3060.9798888888895</v>
      </c>
      <c r="AX79" s="56">
        <f t="shared" si="275"/>
        <v>3060.9798888888895</v>
      </c>
      <c r="AY79" s="288">
        <f t="shared" si="275"/>
        <v>3060.9798888888895</v>
      </c>
      <c r="AZ79" s="56">
        <f t="shared" si="275"/>
        <v>3257.1487555555559</v>
      </c>
      <c r="BA79" s="56">
        <f t="shared" si="275"/>
        <v>3257.1487555555559</v>
      </c>
      <c r="BB79" s="56">
        <f t="shared" si="275"/>
        <v>3257.1487555555559</v>
      </c>
      <c r="BC79" s="56">
        <f t="shared" si="275"/>
        <v>3257.1487555555559</v>
      </c>
      <c r="BD79" s="56">
        <f t="shared" si="275"/>
        <v>3257.1487555555559</v>
      </c>
      <c r="BE79" s="56">
        <f t="shared" si="275"/>
        <v>3257.1487555555559</v>
      </c>
      <c r="BF79" s="56">
        <f t="shared" si="275"/>
        <v>3257.1487555555559</v>
      </c>
      <c r="BG79" s="56">
        <f t="shared" si="275"/>
        <v>3257.1487555555559</v>
      </c>
      <c r="BH79" s="56">
        <f t="shared" si="275"/>
        <v>3257.1487555555559</v>
      </c>
      <c r="BI79" s="56">
        <f t="shared" si="275"/>
        <v>3257.1487555555559</v>
      </c>
      <c r="BJ79" s="56">
        <f t="shared" si="275"/>
        <v>3257.1487555555559</v>
      </c>
      <c r="BK79" s="288">
        <f t="shared" si="275"/>
        <v>3257.1487555555559</v>
      </c>
      <c r="BL79" s="56">
        <f t="shared" si="275"/>
        <v>3472.9345088888895</v>
      </c>
      <c r="BM79" s="56">
        <f t="shared" si="275"/>
        <v>3472.9345088888895</v>
      </c>
      <c r="BN79" s="56">
        <f t="shared" si="275"/>
        <v>3472.9345088888895</v>
      </c>
      <c r="BO79" s="56">
        <f t="shared" si="275"/>
        <v>3472.9345088888895</v>
      </c>
      <c r="BP79" s="56">
        <f t="shared" si="275"/>
        <v>3472.9345088888895</v>
      </c>
      <c r="BQ79" s="56">
        <f t="shared" si="275"/>
        <v>3472.9345088888895</v>
      </c>
      <c r="BR79" s="56">
        <f t="shared" si="275"/>
        <v>3472.9345088888895</v>
      </c>
      <c r="BS79" s="56">
        <f t="shared" si="275"/>
        <v>3472.9345088888895</v>
      </c>
      <c r="BT79" s="56">
        <f t="shared" si="275"/>
        <v>3472.9345088888895</v>
      </c>
      <c r="BU79" s="56">
        <f t="shared" si="275"/>
        <v>3472.9345088888895</v>
      </c>
      <c r="BV79" s="56">
        <f t="shared" si="275"/>
        <v>3472.9345088888895</v>
      </c>
      <c r="BW79" s="288">
        <f t="shared" si="275"/>
        <v>3472.9345088888895</v>
      </c>
      <c r="BX79" s="56">
        <f t="shared" si="275"/>
        <v>3710.2988375555565</v>
      </c>
      <c r="BY79" s="56">
        <f t="shared" si="275"/>
        <v>3710.2988375555565</v>
      </c>
      <c r="BZ79" s="56">
        <f t="shared" si="275"/>
        <v>3710.2988375555565</v>
      </c>
      <c r="CA79" s="56">
        <f t="shared" si="275"/>
        <v>3710.2988375555565</v>
      </c>
      <c r="CB79" s="56">
        <f t="shared" si="275"/>
        <v>3710.2988375555565</v>
      </c>
      <c r="CC79" s="56">
        <f t="shared" si="275"/>
        <v>3710.2988375555565</v>
      </c>
      <c r="CD79" s="56">
        <f t="shared" si="275"/>
        <v>3710.2988375555565</v>
      </c>
      <c r="CE79" s="56">
        <f t="shared" si="275"/>
        <v>3710.2988375555565</v>
      </c>
      <c r="CF79" s="56">
        <f t="shared" si="275"/>
        <v>3710.2988375555565</v>
      </c>
      <c r="CG79" s="56">
        <f t="shared" si="275"/>
        <v>3710.2988375555565</v>
      </c>
      <c r="CH79" s="56">
        <f t="shared" si="275"/>
        <v>3710.2988375555565</v>
      </c>
      <c r="CI79" s="288">
        <f t="shared" si="275"/>
        <v>3710.2988375555565</v>
      </c>
      <c r="CJ79" s="56">
        <f t="shared" si="275"/>
        <v>3971.3995990888902</v>
      </c>
      <c r="CK79" s="56">
        <f t="shared" si="275"/>
        <v>3971.3995990888902</v>
      </c>
      <c r="CL79" s="56">
        <f t="shared" si="275"/>
        <v>3971.3995990888902</v>
      </c>
      <c r="CM79" s="56">
        <f t="shared" si="275"/>
        <v>3971.3995990888902</v>
      </c>
      <c r="CN79" s="56">
        <f t="shared" si="275"/>
        <v>3971.3995990888902</v>
      </c>
      <c r="CO79" s="56">
        <f t="shared" si="275"/>
        <v>3971.3995990888902</v>
      </c>
      <c r="CP79" s="56">
        <f t="shared" si="275"/>
        <v>3971.3995990888902</v>
      </c>
      <c r="CQ79" s="56">
        <f t="shared" si="275"/>
        <v>3971.3995990888902</v>
      </c>
      <c r="CR79" s="56">
        <f t="shared" si="275"/>
        <v>3971.3995990888902</v>
      </c>
      <c r="CS79" s="56">
        <f t="shared" si="275"/>
        <v>3971.3995990888902</v>
      </c>
      <c r="CT79" s="56">
        <f t="shared" si="275"/>
        <v>3971.3995990888902</v>
      </c>
      <c r="CU79" s="288">
        <f t="shared" si="275"/>
        <v>3971.3995990888902</v>
      </c>
      <c r="CV79" s="56">
        <f t="shared" si="275"/>
        <v>4258.610436775557</v>
      </c>
      <c r="CW79" s="56">
        <f t="shared" si="275"/>
        <v>4258.610436775557</v>
      </c>
      <c r="CX79" s="56">
        <f t="shared" ref="CX79:DG79" si="276">SUM(CX68:CX78)</f>
        <v>4258.610436775557</v>
      </c>
      <c r="CY79" s="56">
        <f t="shared" si="276"/>
        <v>4258.610436775557</v>
      </c>
      <c r="CZ79" s="56">
        <f t="shared" si="276"/>
        <v>4258.610436775557</v>
      </c>
      <c r="DA79" s="56">
        <f t="shared" si="276"/>
        <v>4258.610436775557</v>
      </c>
      <c r="DB79" s="56">
        <f t="shared" si="276"/>
        <v>4258.610436775557</v>
      </c>
      <c r="DC79" s="56">
        <f t="shared" si="276"/>
        <v>4258.610436775557</v>
      </c>
      <c r="DD79" s="56">
        <f t="shared" si="276"/>
        <v>4258.610436775557</v>
      </c>
      <c r="DE79" s="56">
        <f t="shared" si="276"/>
        <v>4258.610436775557</v>
      </c>
      <c r="DF79" s="56">
        <f t="shared" si="276"/>
        <v>4258.610436775557</v>
      </c>
      <c r="DG79" s="56">
        <f t="shared" si="276"/>
        <v>4258.610436775557</v>
      </c>
    </row>
    <row r="80" spans="1:111" x14ac:dyDescent="0.3">
      <c r="A80" s="5"/>
      <c r="B80" s="6" t="s">
        <v>6</v>
      </c>
      <c r="C80" s="6"/>
      <c r="D80" s="56">
        <f t="shared" ref="D80:AA80" si="277">SUM(D79:D79)</f>
        <v>0</v>
      </c>
      <c r="E80" s="56">
        <f t="shared" si="277"/>
        <v>0</v>
      </c>
      <c r="F80" s="56">
        <f t="shared" si="277"/>
        <v>0</v>
      </c>
      <c r="G80" s="56">
        <f t="shared" si="277"/>
        <v>0</v>
      </c>
      <c r="H80" s="56">
        <f t="shared" si="277"/>
        <v>0</v>
      </c>
      <c r="I80" s="56">
        <f t="shared" si="277"/>
        <v>0</v>
      </c>
      <c r="J80" s="56">
        <f t="shared" si="277"/>
        <v>0</v>
      </c>
      <c r="K80" s="56">
        <f t="shared" si="277"/>
        <v>0</v>
      </c>
      <c r="L80" s="56">
        <f t="shared" si="277"/>
        <v>0</v>
      </c>
      <c r="M80" s="56">
        <f t="shared" si="277"/>
        <v>0</v>
      </c>
      <c r="N80" s="56">
        <f t="shared" si="277"/>
        <v>0</v>
      </c>
      <c r="O80" s="56">
        <f t="shared" si="277"/>
        <v>0</v>
      </c>
      <c r="P80" s="56">
        <f t="shared" si="277"/>
        <v>0</v>
      </c>
      <c r="Q80" s="56">
        <f t="shared" si="277"/>
        <v>0</v>
      </c>
      <c r="R80" s="56">
        <f t="shared" si="277"/>
        <v>0</v>
      </c>
      <c r="S80" s="56">
        <f t="shared" si="277"/>
        <v>0</v>
      </c>
      <c r="T80" s="56">
        <f t="shared" si="277"/>
        <v>0</v>
      </c>
      <c r="U80" s="56">
        <f t="shared" si="277"/>
        <v>0</v>
      </c>
      <c r="V80" s="56">
        <f t="shared" si="277"/>
        <v>0</v>
      </c>
      <c r="W80" s="56">
        <f t="shared" si="277"/>
        <v>40.270000000000003</v>
      </c>
      <c r="X80" s="56">
        <f t="shared" si="277"/>
        <v>334.59999999999997</v>
      </c>
      <c r="Y80" s="56">
        <f t="shared" si="277"/>
        <v>515.56999999999994</v>
      </c>
      <c r="Z80" s="56">
        <f t="shared" si="277"/>
        <v>947.04</v>
      </c>
      <c r="AA80" s="56">
        <f t="shared" si="277"/>
        <v>687.90000000000009</v>
      </c>
      <c r="AB80" s="56">
        <f t="shared" ref="AB80:BG80" si="278">SUM(AB79:AB79)+AB65</f>
        <v>85.62</v>
      </c>
      <c r="AC80" s="56">
        <f t="shared" si="278"/>
        <v>1011.1800000000001</v>
      </c>
      <c r="AD80" s="56">
        <f t="shared" si="278"/>
        <v>888.45</v>
      </c>
      <c r="AE80" s="56">
        <f t="shared" si="278"/>
        <v>1246.83</v>
      </c>
      <c r="AF80" s="56">
        <f t="shared" si="278"/>
        <v>816.03</v>
      </c>
      <c r="AG80" s="56">
        <f t="shared" si="278"/>
        <v>1171.1599999999999</v>
      </c>
      <c r="AH80" s="56">
        <f t="shared" si="278"/>
        <v>2775.1</v>
      </c>
      <c r="AI80" s="56">
        <f t="shared" si="278"/>
        <v>2621.57</v>
      </c>
      <c r="AJ80" s="56">
        <f t="shared" si="278"/>
        <v>2819.95</v>
      </c>
      <c r="AK80" s="288">
        <f t="shared" si="278"/>
        <v>2644.28</v>
      </c>
      <c r="AL80" s="56">
        <f t="shared" si="278"/>
        <v>2788.7616666666668</v>
      </c>
      <c r="AM80" s="288">
        <f t="shared" si="278"/>
        <v>2888.7616666666668</v>
      </c>
      <c r="AN80" s="56">
        <f t="shared" si="278"/>
        <v>3115.9798888888895</v>
      </c>
      <c r="AO80" s="56">
        <f t="shared" si="278"/>
        <v>3115.9798888888895</v>
      </c>
      <c r="AP80" s="56">
        <f t="shared" si="278"/>
        <v>3115.9798888888895</v>
      </c>
      <c r="AQ80" s="56">
        <f t="shared" si="278"/>
        <v>3115.9798888888895</v>
      </c>
      <c r="AR80" s="56">
        <f t="shared" si="278"/>
        <v>3115.9798888888895</v>
      </c>
      <c r="AS80" s="56">
        <f t="shared" si="278"/>
        <v>3115.9798888888895</v>
      </c>
      <c r="AT80" s="56">
        <f t="shared" si="278"/>
        <v>3115.9798888888895</v>
      </c>
      <c r="AU80" s="56">
        <f t="shared" si="278"/>
        <v>3115.9798888888895</v>
      </c>
      <c r="AV80" s="56">
        <f t="shared" si="278"/>
        <v>3115.9798888888895</v>
      </c>
      <c r="AW80" s="56">
        <f t="shared" si="278"/>
        <v>3115.9798888888895</v>
      </c>
      <c r="AX80" s="56">
        <f t="shared" si="278"/>
        <v>3115.9798888888895</v>
      </c>
      <c r="AY80" s="288">
        <f t="shared" si="278"/>
        <v>3115.9798888888895</v>
      </c>
      <c r="AZ80" s="56">
        <f t="shared" si="278"/>
        <v>3317.6487555555559</v>
      </c>
      <c r="BA80" s="56">
        <f t="shared" si="278"/>
        <v>3317.6487555555559</v>
      </c>
      <c r="BB80" s="56">
        <f t="shared" si="278"/>
        <v>3317.6487555555559</v>
      </c>
      <c r="BC80" s="56">
        <f t="shared" si="278"/>
        <v>3317.6487555555559</v>
      </c>
      <c r="BD80" s="56">
        <f t="shared" si="278"/>
        <v>3317.6487555555559</v>
      </c>
      <c r="BE80" s="56">
        <f t="shared" si="278"/>
        <v>3317.6487555555559</v>
      </c>
      <c r="BF80" s="56">
        <f t="shared" si="278"/>
        <v>3317.6487555555559</v>
      </c>
      <c r="BG80" s="56">
        <f t="shared" si="278"/>
        <v>3317.6487555555559</v>
      </c>
      <c r="BH80" s="56">
        <f t="shared" ref="BH80:CM80" si="279">SUM(BH79:BH79)+BH65</f>
        <v>3317.6487555555559</v>
      </c>
      <c r="BI80" s="56">
        <f t="shared" si="279"/>
        <v>3317.6487555555559</v>
      </c>
      <c r="BJ80" s="56">
        <f t="shared" si="279"/>
        <v>3317.6487555555559</v>
      </c>
      <c r="BK80" s="288">
        <f t="shared" si="279"/>
        <v>3317.6487555555559</v>
      </c>
      <c r="BL80" s="56">
        <f t="shared" si="279"/>
        <v>3539.4845088888896</v>
      </c>
      <c r="BM80" s="56">
        <f t="shared" si="279"/>
        <v>3539.4845088888896</v>
      </c>
      <c r="BN80" s="56">
        <f t="shared" si="279"/>
        <v>3539.4845088888896</v>
      </c>
      <c r="BO80" s="56">
        <f t="shared" si="279"/>
        <v>3539.4845088888896</v>
      </c>
      <c r="BP80" s="56">
        <f t="shared" si="279"/>
        <v>3539.4845088888896</v>
      </c>
      <c r="BQ80" s="56">
        <f t="shared" si="279"/>
        <v>3539.4845088888896</v>
      </c>
      <c r="BR80" s="56">
        <f t="shared" si="279"/>
        <v>3539.4845088888896</v>
      </c>
      <c r="BS80" s="56">
        <f t="shared" si="279"/>
        <v>3539.4845088888896</v>
      </c>
      <c r="BT80" s="56">
        <f t="shared" si="279"/>
        <v>3539.4845088888896</v>
      </c>
      <c r="BU80" s="56">
        <f t="shared" si="279"/>
        <v>3539.4845088888896</v>
      </c>
      <c r="BV80" s="56">
        <f t="shared" si="279"/>
        <v>3539.4845088888896</v>
      </c>
      <c r="BW80" s="288">
        <f t="shared" si="279"/>
        <v>3539.4845088888896</v>
      </c>
      <c r="BX80" s="56">
        <f t="shared" si="279"/>
        <v>3783.5038375555564</v>
      </c>
      <c r="BY80" s="56">
        <f t="shared" si="279"/>
        <v>3783.5038375555564</v>
      </c>
      <c r="BZ80" s="56">
        <f t="shared" si="279"/>
        <v>3783.5038375555564</v>
      </c>
      <c r="CA80" s="56">
        <f t="shared" si="279"/>
        <v>3783.5038375555564</v>
      </c>
      <c r="CB80" s="56">
        <f t="shared" si="279"/>
        <v>3783.5038375555564</v>
      </c>
      <c r="CC80" s="56">
        <f t="shared" si="279"/>
        <v>3783.5038375555564</v>
      </c>
      <c r="CD80" s="56">
        <f t="shared" si="279"/>
        <v>3783.5038375555564</v>
      </c>
      <c r="CE80" s="56">
        <f t="shared" si="279"/>
        <v>3783.5038375555564</v>
      </c>
      <c r="CF80" s="56">
        <f t="shared" si="279"/>
        <v>3783.5038375555564</v>
      </c>
      <c r="CG80" s="56">
        <f t="shared" si="279"/>
        <v>3783.5038375555564</v>
      </c>
      <c r="CH80" s="56">
        <f t="shared" si="279"/>
        <v>3783.5038375555564</v>
      </c>
      <c r="CI80" s="288">
        <f t="shared" si="279"/>
        <v>3783.5038375555564</v>
      </c>
      <c r="CJ80" s="56">
        <f t="shared" si="279"/>
        <v>4051.9250990888904</v>
      </c>
      <c r="CK80" s="56">
        <f t="shared" si="279"/>
        <v>4051.9250990888904</v>
      </c>
      <c r="CL80" s="56">
        <f t="shared" si="279"/>
        <v>4051.9250990888904</v>
      </c>
      <c r="CM80" s="56">
        <f t="shared" si="279"/>
        <v>4051.9250990888904</v>
      </c>
      <c r="CN80" s="56">
        <f t="shared" ref="CN80:DS80" si="280">SUM(CN79:CN79)+CN65</f>
        <v>4051.9250990888904</v>
      </c>
      <c r="CO80" s="56">
        <f t="shared" si="280"/>
        <v>4051.9250990888904</v>
      </c>
      <c r="CP80" s="56">
        <f t="shared" si="280"/>
        <v>4051.9250990888904</v>
      </c>
      <c r="CQ80" s="56">
        <f t="shared" si="280"/>
        <v>4051.9250990888904</v>
      </c>
      <c r="CR80" s="56">
        <f t="shared" si="280"/>
        <v>4051.9250990888904</v>
      </c>
      <c r="CS80" s="56">
        <f t="shared" si="280"/>
        <v>4051.9250990888904</v>
      </c>
      <c r="CT80" s="56">
        <f t="shared" si="280"/>
        <v>4051.9250990888904</v>
      </c>
      <c r="CU80" s="288">
        <f t="shared" si="280"/>
        <v>4051.9250990888904</v>
      </c>
      <c r="CV80" s="56">
        <f t="shared" si="280"/>
        <v>4347.1884867755571</v>
      </c>
      <c r="CW80" s="56">
        <f t="shared" si="280"/>
        <v>4347.1884867755571</v>
      </c>
      <c r="CX80" s="56">
        <f t="shared" si="280"/>
        <v>4347.1884867755571</v>
      </c>
      <c r="CY80" s="56">
        <f t="shared" si="280"/>
        <v>4347.1884867755571</v>
      </c>
      <c r="CZ80" s="56">
        <f t="shared" si="280"/>
        <v>4347.1884867755571</v>
      </c>
      <c r="DA80" s="56">
        <f t="shared" si="280"/>
        <v>4347.1884867755571</v>
      </c>
      <c r="DB80" s="56">
        <f t="shared" si="280"/>
        <v>4347.1884867755571</v>
      </c>
      <c r="DC80" s="56">
        <f t="shared" si="280"/>
        <v>4347.1884867755571</v>
      </c>
      <c r="DD80" s="56">
        <f t="shared" si="280"/>
        <v>4347.1884867755571</v>
      </c>
      <c r="DE80" s="56">
        <f t="shared" si="280"/>
        <v>4347.1884867755571</v>
      </c>
      <c r="DF80" s="56">
        <f t="shared" si="280"/>
        <v>4347.1884867755571</v>
      </c>
      <c r="DG80" s="56">
        <f t="shared" si="280"/>
        <v>4347.1884867755571</v>
      </c>
    </row>
    <row r="81" spans="1:111" x14ac:dyDescent="0.3">
      <c r="A81" s="3"/>
      <c r="B81" s="4" t="s">
        <v>7</v>
      </c>
      <c r="C81" s="4"/>
      <c r="D81" s="56">
        <f t="shared" ref="D81:AI81" si="281">D61-D80</f>
        <v>0</v>
      </c>
      <c r="E81" s="56">
        <f t="shared" si="281"/>
        <v>0</v>
      </c>
      <c r="F81" s="56">
        <f t="shared" si="281"/>
        <v>0</v>
      </c>
      <c r="G81" s="56">
        <f t="shared" si="281"/>
        <v>0</v>
      </c>
      <c r="H81" s="56">
        <f t="shared" si="281"/>
        <v>0</v>
      </c>
      <c r="I81" s="56">
        <f t="shared" si="281"/>
        <v>0</v>
      </c>
      <c r="J81" s="56">
        <f t="shared" si="281"/>
        <v>0</v>
      </c>
      <c r="K81" s="56">
        <f t="shared" si="281"/>
        <v>0</v>
      </c>
      <c r="L81" s="56">
        <f t="shared" si="281"/>
        <v>0</v>
      </c>
      <c r="M81" s="56">
        <f t="shared" si="281"/>
        <v>0</v>
      </c>
      <c r="N81" s="56">
        <f t="shared" si="281"/>
        <v>0</v>
      </c>
      <c r="O81" s="56">
        <f t="shared" si="281"/>
        <v>0</v>
      </c>
      <c r="P81" s="56">
        <f t="shared" si="281"/>
        <v>0</v>
      </c>
      <c r="Q81" s="56">
        <f t="shared" si="281"/>
        <v>0</v>
      </c>
      <c r="R81" s="56">
        <f t="shared" si="281"/>
        <v>0</v>
      </c>
      <c r="S81" s="56">
        <f t="shared" si="281"/>
        <v>0</v>
      </c>
      <c r="T81" s="56">
        <f t="shared" si="281"/>
        <v>0</v>
      </c>
      <c r="U81" s="56">
        <f t="shared" si="281"/>
        <v>0</v>
      </c>
      <c r="V81" s="56">
        <f t="shared" si="281"/>
        <v>0</v>
      </c>
      <c r="W81" s="278">
        <f t="shared" si="281"/>
        <v>1942.4</v>
      </c>
      <c r="X81" s="56">
        <f t="shared" si="281"/>
        <v>8367.7699999999986</v>
      </c>
      <c r="Y81" s="56">
        <f t="shared" si="281"/>
        <v>7621.29</v>
      </c>
      <c r="Z81" s="56">
        <f t="shared" si="281"/>
        <v>7735.9999999999991</v>
      </c>
      <c r="AA81" s="56">
        <f t="shared" si="281"/>
        <v>9837.7000000000007</v>
      </c>
      <c r="AB81" s="56">
        <f t="shared" si="281"/>
        <v>5161.95</v>
      </c>
      <c r="AC81" s="56">
        <f t="shared" si="281"/>
        <v>5593.24</v>
      </c>
      <c r="AD81" s="56">
        <f t="shared" si="281"/>
        <v>8721.89</v>
      </c>
      <c r="AE81" s="56">
        <f t="shared" si="281"/>
        <v>9733.06</v>
      </c>
      <c r="AF81" s="56">
        <f t="shared" si="281"/>
        <v>9649.1699999999983</v>
      </c>
      <c r="AG81" s="56">
        <f t="shared" si="281"/>
        <v>10519.93</v>
      </c>
      <c r="AH81" s="56">
        <f t="shared" si="281"/>
        <v>8690.36</v>
      </c>
      <c r="AI81" s="56">
        <f t="shared" si="281"/>
        <v>8902.25</v>
      </c>
      <c r="AJ81" s="56">
        <f t="shared" ref="AJ81:BO81" si="282">AJ61-AJ80</f>
        <v>5789.0199999999995</v>
      </c>
      <c r="AK81" s="288">
        <f t="shared" si="282"/>
        <v>7794.08</v>
      </c>
      <c r="AL81" s="56">
        <f t="shared" si="282"/>
        <v>7091.239829581451</v>
      </c>
      <c r="AM81" s="288">
        <f t="shared" si="282"/>
        <v>8485.287462097358</v>
      </c>
      <c r="AN81" s="56">
        <f t="shared" si="282"/>
        <v>6396.0990271204955</v>
      </c>
      <c r="AO81" s="56">
        <f t="shared" si="282"/>
        <v>6080.0147677345522</v>
      </c>
      <c r="AP81" s="56">
        <f t="shared" si="282"/>
        <v>7920.0279151877312</v>
      </c>
      <c r="AQ81" s="56">
        <f t="shared" si="282"/>
        <v>5692.9596328850439</v>
      </c>
      <c r="AR81" s="56">
        <f t="shared" si="282"/>
        <v>6616.3379520753679</v>
      </c>
      <c r="AS81" s="56">
        <f t="shared" si="282"/>
        <v>9305.7478788084045</v>
      </c>
      <c r="AT81" s="56">
        <f t="shared" si="282"/>
        <v>8836.398917949211</v>
      </c>
      <c r="AU81" s="56">
        <f t="shared" si="282"/>
        <v>10856.004686053484</v>
      </c>
      <c r="AV81" s="56">
        <f t="shared" si="282"/>
        <v>10900.841929475284</v>
      </c>
      <c r="AW81" s="56">
        <f t="shared" si="282"/>
        <v>9776.9652103307035</v>
      </c>
      <c r="AX81" s="56">
        <f t="shared" si="282"/>
        <v>11107.485793943784</v>
      </c>
      <c r="AY81" s="288">
        <f t="shared" si="282"/>
        <v>14156.255666871852</v>
      </c>
      <c r="AZ81" s="56">
        <f t="shared" si="282"/>
        <v>9198.0926937902623</v>
      </c>
      <c r="BA81" s="56">
        <f t="shared" si="282"/>
        <v>9322.6638997304835</v>
      </c>
      <c r="BB81" s="56">
        <f t="shared" si="282"/>
        <v>12221.050232584326</v>
      </c>
      <c r="BC81" s="56">
        <f t="shared" si="282"/>
        <v>8777.7028185724994</v>
      </c>
      <c r="BD81" s="56">
        <f t="shared" si="282"/>
        <v>8995.3287752053729</v>
      </c>
      <c r="BE81" s="56">
        <f t="shared" si="282"/>
        <v>13512.277524824554</v>
      </c>
      <c r="BF81" s="56">
        <f t="shared" si="282"/>
        <v>12741.238039782496</v>
      </c>
      <c r="BG81" s="56">
        <f t="shared" si="282"/>
        <v>14605.3757970651</v>
      </c>
      <c r="BH81" s="56">
        <f t="shared" si="282"/>
        <v>14744.937542200094</v>
      </c>
      <c r="BI81" s="56">
        <f t="shared" si="282"/>
        <v>12645.93495908204</v>
      </c>
      <c r="BJ81" s="56">
        <f t="shared" si="282"/>
        <v>17094.488842053834</v>
      </c>
      <c r="BK81" s="288">
        <f t="shared" si="282"/>
        <v>18716.485636481069</v>
      </c>
      <c r="BL81" s="56">
        <f t="shared" si="282"/>
        <v>11899.514034220214</v>
      </c>
      <c r="BM81" s="56">
        <f t="shared" si="282"/>
        <v>12866.58795828445</v>
      </c>
      <c r="BN81" s="56">
        <f t="shared" si="282"/>
        <v>17249.043391650241</v>
      </c>
      <c r="BO81" s="56">
        <f t="shared" si="282"/>
        <v>12055.51474495931</v>
      </c>
      <c r="BP81" s="56">
        <f t="shared" ref="BP81:CU81" si="283">BP61-BP80</f>
        <v>12159.561842831296</v>
      </c>
      <c r="BQ81" s="56">
        <f t="shared" si="283"/>
        <v>17514.630013365942</v>
      </c>
      <c r="BR81" s="56">
        <f t="shared" si="283"/>
        <v>15609.066741300605</v>
      </c>
      <c r="BS81" s="56">
        <f t="shared" si="283"/>
        <v>18693.11317827024</v>
      </c>
      <c r="BT81" s="56">
        <f t="shared" si="283"/>
        <v>18174.290438523403</v>
      </c>
      <c r="BU81" s="56">
        <f t="shared" si="283"/>
        <v>15550.482680412122</v>
      </c>
      <c r="BV81" s="56">
        <f t="shared" si="283"/>
        <v>21274.024382663913</v>
      </c>
      <c r="BW81" s="288">
        <f t="shared" si="283"/>
        <v>22766.585811052104</v>
      </c>
      <c r="BX81" s="56">
        <f t="shared" si="283"/>
        <v>15622.871975405389</v>
      </c>
      <c r="BY81" s="56">
        <f t="shared" si="283"/>
        <v>17962.376541896934</v>
      </c>
      <c r="BZ81" s="56">
        <f t="shared" si="283"/>
        <v>20725.852337892775</v>
      </c>
      <c r="CA81" s="56">
        <f t="shared" si="283"/>
        <v>13955.064992556483</v>
      </c>
      <c r="CB81" s="56">
        <f t="shared" si="283"/>
        <v>17552.927340464154</v>
      </c>
      <c r="CC81" s="56">
        <f t="shared" si="283"/>
        <v>20623.921935776973</v>
      </c>
      <c r="CD81" s="56">
        <f t="shared" si="283"/>
        <v>18445.26831295525</v>
      </c>
      <c r="CE81" s="56">
        <f t="shared" si="283"/>
        <v>22839.534996009446</v>
      </c>
      <c r="CF81" s="56">
        <f t="shared" si="283"/>
        <v>20776.065319498481</v>
      </c>
      <c r="CG81" s="56">
        <f t="shared" si="283"/>
        <v>19660.558279244</v>
      </c>
      <c r="CH81" s="56">
        <f t="shared" si="283"/>
        <v>25342.824805041455</v>
      </c>
      <c r="CI81" s="288">
        <f t="shared" si="283"/>
        <v>25325.459730179904</v>
      </c>
      <c r="CJ81" s="56">
        <f t="shared" si="283"/>
        <v>20838.241747537977</v>
      </c>
      <c r="CK81" s="56">
        <f t="shared" si="283"/>
        <v>20524.576842491777</v>
      </c>
      <c r="CL81" s="56">
        <f t="shared" si="283"/>
        <v>23565.791526854471</v>
      </c>
      <c r="CM81" s="56">
        <f t="shared" si="283"/>
        <v>18747.929852499343</v>
      </c>
      <c r="CN81" s="56">
        <f t="shared" si="283"/>
        <v>20858.26160253361</v>
      </c>
      <c r="CO81" s="56">
        <f t="shared" si="283"/>
        <v>23190.269349819719</v>
      </c>
      <c r="CP81" s="56">
        <f t="shared" si="283"/>
        <v>22054.939963103923</v>
      </c>
      <c r="CQ81" s="56">
        <f t="shared" si="283"/>
        <v>26677.425270767118</v>
      </c>
      <c r="CR81" s="56">
        <f t="shared" si="283"/>
        <v>23239.371451201343</v>
      </c>
      <c r="CS81" s="56">
        <f t="shared" si="283"/>
        <v>23654.789856862386</v>
      </c>
      <c r="CT81" s="56">
        <f t="shared" si="283"/>
        <v>29797.912686182717</v>
      </c>
      <c r="CU81" s="288">
        <f t="shared" si="283"/>
        <v>29860.228915049258</v>
      </c>
      <c r="CV81" s="56">
        <f t="shared" ref="CV81:EA81" si="284">CV61-CV80</f>
        <v>24378.265267220799</v>
      </c>
      <c r="CW81" s="56">
        <f t="shared" si="284"/>
        <v>23977.9504126133</v>
      </c>
      <c r="CX81" s="56">
        <f t="shared" si="284"/>
        <v>26558.659323877178</v>
      </c>
      <c r="CY81" s="56">
        <f t="shared" si="284"/>
        <v>22811.590622332555</v>
      </c>
      <c r="CZ81" s="56">
        <f t="shared" si="284"/>
        <v>24268.762902689305</v>
      </c>
      <c r="DA81" s="56">
        <f t="shared" si="284"/>
        <v>25864.376603377656</v>
      </c>
      <c r="DB81" s="56">
        <f t="shared" si="284"/>
        <v>26458.056698534936</v>
      </c>
      <c r="DC81" s="56">
        <f t="shared" si="284"/>
        <v>29944.54568674264</v>
      </c>
      <c r="DD81" s="56">
        <f t="shared" si="284"/>
        <v>28094.635300736456</v>
      </c>
      <c r="DE81" s="56">
        <f t="shared" si="284"/>
        <v>27509.555206781239</v>
      </c>
      <c r="DF81" s="56">
        <f t="shared" si="284"/>
        <v>33547.104740174029</v>
      </c>
      <c r="DG81" s="56">
        <f t="shared" si="284"/>
        <v>36493.08553332727</v>
      </c>
    </row>
    <row r="82" spans="1:111" s="177" customFormat="1" x14ac:dyDescent="0.3">
      <c r="B82" s="321"/>
      <c r="C82" s="321" t="s">
        <v>292</v>
      </c>
      <c r="D82" s="322"/>
      <c r="E82" s="322"/>
      <c r="F82" s="322"/>
      <c r="G82" s="322"/>
      <c r="H82" s="322"/>
      <c r="I82" s="322"/>
      <c r="J82" s="322"/>
      <c r="K82" s="322"/>
      <c r="L82" s="322"/>
      <c r="M82" s="322"/>
      <c r="N82" s="322"/>
      <c r="O82" s="322"/>
      <c r="P82" s="322"/>
      <c r="Q82" s="322"/>
      <c r="R82" s="322"/>
      <c r="S82" s="322"/>
      <c r="T82" s="322"/>
      <c r="U82" s="322"/>
      <c r="V82" s="322"/>
      <c r="W82" s="350">
        <f>+SUM(W69:W71,W57)</f>
        <v>31.79</v>
      </c>
      <c r="X82" s="351">
        <f>+SUM(X69:X71,X57)</f>
        <v>164.79</v>
      </c>
      <c r="Y82" s="351">
        <f>+SUM(Y69:Y71,Y57)</f>
        <v>216.79</v>
      </c>
      <c r="Z82" s="351">
        <f>+SUM(Z69:Z71,Z57)</f>
        <v>441.18000000000006</v>
      </c>
      <c r="AA82" s="351">
        <f>+SUM(AA69:AA71,AA57)</f>
        <v>228.35</v>
      </c>
      <c r="AB82" s="351">
        <f t="shared" ref="AB82:BG82" si="285">+SUM(AB69:AB71,AB57,AB64, AB74:AB76)</f>
        <v>300.38</v>
      </c>
      <c r="AC82" s="351">
        <f t="shared" si="285"/>
        <v>1565.7700000000002</v>
      </c>
      <c r="AD82" s="351">
        <f t="shared" si="285"/>
        <v>1523.9699999999998</v>
      </c>
      <c r="AE82" s="351">
        <f t="shared" si="285"/>
        <v>1343.12</v>
      </c>
      <c r="AF82" s="351">
        <f t="shared" si="285"/>
        <v>942.56</v>
      </c>
      <c r="AG82" s="351">
        <f t="shared" si="285"/>
        <v>1344.81</v>
      </c>
      <c r="AH82" s="351">
        <f t="shared" si="285"/>
        <v>3138.3399999999997</v>
      </c>
      <c r="AI82" s="351">
        <f t="shared" si="285"/>
        <v>2835.85</v>
      </c>
      <c r="AJ82" s="351">
        <f t="shared" si="285"/>
        <v>2955.02</v>
      </c>
      <c r="AK82" s="352">
        <f t="shared" si="285"/>
        <v>2928.94</v>
      </c>
      <c r="AL82" s="351">
        <f t="shared" si="285"/>
        <v>2850.1407136666116</v>
      </c>
      <c r="AM82" s="352">
        <f t="shared" si="285"/>
        <v>2930.1656097681762</v>
      </c>
      <c r="AN82" s="351">
        <f t="shared" si="285"/>
        <v>3057.5282012366388</v>
      </c>
      <c r="AO82" s="351">
        <f t="shared" si="285"/>
        <v>3040.5979444856512</v>
      </c>
      <c r="AP82" s="351">
        <f t="shared" si="285"/>
        <v>3139.1536114843639</v>
      </c>
      <c r="AQ82" s="351">
        <f t="shared" si="285"/>
        <v>3019.8663116529342</v>
      </c>
      <c r="AR82" s="351">
        <f t="shared" si="285"/>
        <v>3069.3247442005031</v>
      </c>
      <c r="AS82" s="351">
        <f t="shared" si="285"/>
        <v>3213.3762090115051</v>
      </c>
      <c r="AT82" s="351">
        <f t="shared" si="285"/>
        <v>3188.2367147874256</v>
      </c>
      <c r="AU82" s="351">
        <f t="shared" si="285"/>
        <v>3296.4118078977472</v>
      </c>
      <c r="AV82" s="351">
        <f t="shared" si="285"/>
        <v>3298.8134018417559</v>
      </c>
      <c r="AW82" s="351">
        <f t="shared" si="285"/>
        <v>3238.6157778014431</v>
      </c>
      <c r="AX82" s="351">
        <f t="shared" si="285"/>
        <v>3309.8817596532599</v>
      </c>
      <c r="AY82" s="352">
        <f t="shared" si="285"/>
        <v>3473.1814343147707</v>
      </c>
      <c r="AZ82" s="351">
        <f t="shared" si="285"/>
        <v>3420.0806816001736</v>
      </c>
      <c r="BA82" s="351">
        <f t="shared" si="285"/>
        <v>3426.7530242990647</v>
      </c>
      <c r="BB82" s="351">
        <f t="shared" si="285"/>
        <v>3581.9977836366502</v>
      </c>
      <c r="BC82" s="351">
        <f t="shared" si="285"/>
        <v>3397.5635574106323</v>
      </c>
      <c r="BD82" s="351">
        <f t="shared" si="285"/>
        <v>3409.2201433115929</v>
      </c>
      <c r="BE82" s="351">
        <f t="shared" si="285"/>
        <v>3651.159119363962</v>
      </c>
      <c r="BF82" s="351">
        <f t="shared" si="285"/>
        <v>3609.8603325396157</v>
      </c>
      <c r="BG82" s="351">
        <f t="shared" si="285"/>
        <v>3709.7081734644303</v>
      </c>
      <c r="BH82" s="351">
        <f t="shared" ref="BH82:CM82" si="286">+SUM(BH69:BH71,BH57,BH64, BH74:BH76)</f>
        <v>3717.1834466157775</v>
      </c>
      <c r="BI82" s="351">
        <f t="shared" si="286"/>
        <v>3604.7556632069723</v>
      </c>
      <c r="BJ82" s="351">
        <f t="shared" si="286"/>
        <v>4745.1800324302221</v>
      </c>
      <c r="BK82" s="352">
        <f t="shared" si="286"/>
        <v>6304.5107393872131</v>
      </c>
      <c r="BL82" s="351">
        <f t="shared" si="286"/>
        <v>3798.4933338993283</v>
      </c>
      <c r="BM82" s="351">
        <f t="shared" si="286"/>
        <v>3850.2922113992718</v>
      </c>
      <c r="BN82" s="351">
        <f t="shared" si="286"/>
        <v>4085.0273919197621</v>
      </c>
      <c r="BO82" s="351">
        <f t="shared" si="286"/>
        <v>3806.8491188133899</v>
      </c>
      <c r="BP82" s="351">
        <f t="shared" si="286"/>
        <v>3812.4221393889479</v>
      </c>
      <c r="BQ82" s="351">
        <f t="shared" si="286"/>
        <v>4129.9298542397491</v>
      </c>
      <c r="BR82" s="351">
        <f t="shared" si="286"/>
        <v>3997.1861757516936</v>
      </c>
      <c r="BS82" s="351">
        <f t="shared" si="286"/>
        <v>5359.7860871224675</v>
      </c>
      <c r="BT82" s="351">
        <f t="shared" si="286"/>
        <v>5021.8524478531854</v>
      </c>
      <c r="BU82" s="351">
        <f t="shared" si="286"/>
        <v>3994.0482681751369</v>
      </c>
      <c r="BV82" s="351">
        <f t="shared" si="286"/>
        <v>7451.675748077193</v>
      </c>
      <c r="BW82" s="352">
        <f t="shared" si="286"/>
        <v>8755.2441560314801</v>
      </c>
      <c r="BX82" s="351">
        <f t="shared" si="286"/>
        <v>4255.0152273476579</v>
      </c>
      <c r="BY82" s="351">
        <f t="shared" si="286"/>
        <v>4380.3248933770819</v>
      </c>
      <c r="BZ82" s="351">
        <f t="shared" si="286"/>
        <v>6066.8739948131424</v>
      </c>
      <c r="CA82" s="351">
        <f t="shared" si="286"/>
        <v>4165.6833495579267</v>
      </c>
      <c r="CB82" s="351">
        <f t="shared" si="286"/>
        <v>4358.3937788058884</v>
      </c>
      <c r="CC82" s="351">
        <f t="shared" si="286"/>
        <v>6002.3214918088015</v>
      </c>
      <c r="CD82" s="351">
        <f t="shared" si="286"/>
        <v>4468.1327222361888</v>
      </c>
      <c r="CE82" s="351">
        <f t="shared" si="286"/>
        <v>7845.2070109206506</v>
      </c>
      <c r="CF82" s="351">
        <f t="shared" si="286"/>
        <v>6347.6177732504966</v>
      </c>
      <c r="CG82" s="351">
        <f t="shared" si="286"/>
        <v>5476.3977632410133</v>
      </c>
      <c r="CH82" s="351">
        <f t="shared" si="286"/>
        <v>9725.091097263552</v>
      </c>
      <c r="CI82" s="352">
        <f t="shared" si="286"/>
        <v>9772.3579675351066</v>
      </c>
      <c r="CJ82" s="351">
        <f t="shared" si="286"/>
        <v>5978.0895773452257</v>
      </c>
      <c r="CK82" s="351">
        <f t="shared" si="286"/>
        <v>5672.2515632021714</v>
      </c>
      <c r="CL82" s="351">
        <f t="shared" si="286"/>
        <v>7728.4211110185088</v>
      </c>
      <c r="CM82" s="351">
        <f t="shared" si="286"/>
        <v>4705.1996466152432</v>
      </c>
      <c r="CN82" s="351">
        <f t="shared" ref="CN82:DG82" si="287">+SUM(CN69:CN71,CN57,CN64, CN74:CN76)</f>
        <v>5808.2883005136491</v>
      </c>
      <c r="CO82" s="351">
        <f t="shared" si="287"/>
        <v>7474.6317686571383</v>
      </c>
      <c r="CP82" s="351">
        <f t="shared" si="287"/>
        <v>6794.0228399337466</v>
      </c>
      <c r="CQ82" s="351">
        <f t="shared" si="287"/>
        <v>10099.389267592105</v>
      </c>
      <c r="CR82" s="351">
        <f t="shared" si="287"/>
        <v>7757.8425635822978</v>
      </c>
      <c r="CS82" s="351">
        <f t="shared" si="287"/>
        <v>8012.7513365076838</v>
      </c>
      <c r="CT82" s="351">
        <f t="shared" si="287"/>
        <v>12277.725037258395</v>
      </c>
      <c r="CU82" s="352">
        <f t="shared" si="287"/>
        <v>12386.383643811063</v>
      </c>
      <c r="CV82" s="351">
        <f t="shared" si="287"/>
        <v>8070.7278407135791</v>
      </c>
      <c r="CW82" s="351">
        <f t="shared" si="287"/>
        <v>7716.3618800546201</v>
      </c>
      <c r="CX82" s="351">
        <f t="shared" si="287"/>
        <v>9319.1703366625752</v>
      </c>
      <c r="CY82" s="351">
        <f t="shared" si="287"/>
        <v>6916.0084729587979</v>
      </c>
      <c r="CZ82" s="351">
        <f t="shared" si="287"/>
        <v>7796.6245569554803</v>
      </c>
      <c r="DA82" s="351">
        <f t="shared" si="287"/>
        <v>8874.3736464947488</v>
      </c>
      <c r="DB82" s="351">
        <f t="shared" si="287"/>
        <v>9378.7799220330598</v>
      </c>
      <c r="DC82" s="351">
        <f t="shared" si="287"/>
        <v>11729.447727291197</v>
      </c>
      <c r="DD82" s="351">
        <f t="shared" si="287"/>
        <v>10590.301361013007</v>
      </c>
      <c r="DE82" s="351">
        <f t="shared" si="287"/>
        <v>10172.655453156663</v>
      </c>
      <c r="DF82" s="351">
        <f t="shared" si="287"/>
        <v>14072.76847753947</v>
      </c>
      <c r="DG82" s="351">
        <f t="shared" si="287"/>
        <v>16057.490209420183</v>
      </c>
    </row>
    <row r="83" spans="1:111" x14ac:dyDescent="0.3">
      <c r="B83" s="1" t="s">
        <v>8</v>
      </c>
      <c r="C83" s="1"/>
      <c r="D83" s="2"/>
      <c r="E83" s="2"/>
      <c r="F83" s="2"/>
      <c r="G83" s="2"/>
      <c r="H83" s="2"/>
      <c r="I83" s="2"/>
      <c r="J83" s="2"/>
      <c r="K83" s="2"/>
      <c r="L83" s="2"/>
      <c r="M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627"/>
    </row>
    <row r="84" spans="1:111" x14ac:dyDescent="0.3">
      <c r="B84" s="1" t="s">
        <v>9</v>
      </c>
      <c r="C84" s="1"/>
      <c r="D84" s="116"/>
      <c r="E84" s="116"/>
      <c r="F84" s="116"/>
      <c r="G84" s="116"/>
      <c r="H84" s="116"/>
      <c r="I84" s="116"/>
      <c r="J84" s="116"/>
      <c r="K84" s="116"/>
      <c r="L84" s="116"/>
      <c r="M84" s="116"/>
      <c r="N84" s="116"/>
      <c r="O84" s="116"/>
      <c r="P84" s="116">
        <v>0</v>
      </c>
      <c r="Q84" s="116">
        <v>0</v>
      </c>
      <c r="R84" s="116">
        <v>0</v>
      </c>
      <c r="S84" s="116"/>
      <c r="T84" s="116"/>
      <c r="U84" s="116"/>
      <c r="V84" s="116"/>
      <c r="W84" s="116"/>
      <c r="X84" s="116">
        <v>0</v>
      </c>
      <c r="Y84" s="116">
        <v>0</v>
      </c>
      <c r="Z84" s="116">
        <v>0</v>
      </c>
      <c r="AA84" s="116">
        <v>0</v>
      </c>
      <c r="AB84" s="116">
        <v>0</v>
      </c>
      <c r="AC84" s="116">
        <v>0</v>
      </c>
      <c r="AD84" s="116">
        <v>0</v>
      </c>
      <c r="AE84" s="116">
        <v>0</v>
      </c>
      <c r="AF84" s="116">
        <v>0</v>
      </c>
      <c r="AG84" s="116">
        <v>0</v>
      </c>
      <c r="AH84" s="116">
        <v>0</v>
      </c>
      <c r="AI84" s="116">
        <v>0</v>
      </c>
      <c r="AJ84" s="116">
        <v>0</v>
      </c>
      <c r="AK84" s="287">
        <v>0</v>
      </c>
      <c r="AL84" s="234">
        <f>AK84</f>
        <v>0</v>
      </c>
      <c r="AM84" s="287">
        <f t="shared" ref="AM84:CA84" si="288">AL84</f>
        <v>0</v>
      </c>
      <c r="AN84" s="116">
        <f t="shared" si="288"/>
        <v>0</v>
      </c>
      <c r="AO84" s="116">
        <f t="shared" si="288"/>
        <v>0</v>
      </c>
      <c r="AP84" s="116">
        <f t="shared" si="288"/>
        <v>0</v>
      </c>
      <c r="AQ84" s="116">
        <f t="shared" si="288"/>
        <v>0</v>
      </c>
      <c r="AR84" s="116">
        <f t="shared" si="288"/>
        <v>0</v>
      </c>
      <c r="AS84" s="116">
        <f t="shared" si="288"/>
        <v>0</v>
      </c>
      <c r="AT84" s="116">
        <f t="shared" si="288"/>
        <v>0</v>
      </c>
      <c r="AU84" s="116">
        <f t="shared" si="288"/>
        <v>0</v>
      </c>
      <c r="AV84" s="116">
        <f t="shared" si="288"/>
        <v>0</v>
      </c>
      <c r="AW84" s="116">
        <f t="shared" si="288"/>
        <v>0</v>
      </c>
      <c r="AX84" s="116">
        <f t="shared" si="288"/>
        <v>0</v>
      </c>
      <c r="AY84" s="287">
        <f t="shared" si="288"/>
        <v>0</v>
      </c>
      <c r="AZ84" s="116">
        <f t="shared" si="288"/>
        <v>0</v>
      </c>
      <c r="BA84" s="116">
        <f t="shared" si="288"/>
        <v>0</v>
      </c>
      <c r="BB84" s="116">
        <f t="shared" si="288"/>
        <v>0</v>
      </c>
      <c r="BC84" s="116">
        <f t="shared" si="288"/>
        <v>0</v>
      </c>
      <c r="BD84" s="116">
        <f t="shared" si="288"/>
        <v>0</v>
      </c>
      <c r="BE84" s="116">
        <f t="shared" si="288"/>
        <v>0</v>
      </c>
      <c r="BF84" s="116">
        <f t="shared" si="288"/>
        <v>0</v>
      </c>
      <c r="BG84" s="116">
        <f t="shared" si="288"/>
        <v>0</v>
      </c>
      <c r="BH84" s="116">
        <f t="shared" si="288"/>
        <v>0</v>
      </c>
      <c r="BI84" s="116">
        <f t="shared" si="288"/>
        <v>0</v>
      </c>
      <c r="BJ84" s="116">
        <f t="shared" si="288"/>
        <v>0</v>
      </c>
      <c r="BK84" s="287">
        <f t="shared" si="288"/>
        <v>0</v>
      </c>
      <c r="BL84" s="116">
        <f t="shared" si="288"/>
        <v>0</v>
      </c>
      <c r="BM84" s="116">
        <f t="shared" si="288"/>
        <v>0</v>
      </c>
      <c r="BN84" s="116">
        <f t="shared" si="288"/>
        <v>0</v>
      </c>
      <c r="BO84" s="116">
        <f t="shared" si="288"/>
        <v>0</v>
      </c>
      <c r="BP84" s="116">
        <f t="shared" si="288"/>
        <v>0</v>
      </c>
      <c r="BQ84" s="116">
        <f t="shared" si="288"/>
        <v>0</v>
      </c>
      <c r="BR84" s="116">
        <f t="shared" si="288"/>
        <v>0</v>
      </c>
      <c r="BS84" s="116">
        <f t="shared" si="288"/>
        <v>0</v>
      </c>
      <c r="BT84" s="116">
        <f t="shared" si="288"/>
        <v>0</v>
      </c>
      <c r="BU84" s="116">
        <f t="shared" si="288"/>
        <v>0</v>
      </c>
      <c r="BV84" s="116">
        <f t="shared" si="288"/>
        <v>0</v>
      </c>
      <c r="BW84" s="287">
        <f t="shared" si="288"/>
        <v>0</v>
      </c>
      <c r="BX84" s="116">
        <f t="shared" si="288"/>
        <v>0</v>
      </c>
      <c r="BY84" s="116">
        <f t="shared" si="288"/>
        <v>0</v>
      </c>
      <c r="BZ84" s="116">
        <f t="shared" si="288"/>
        <v>0</v>
      </c>
      <c r="CA84" s="116">
        <f t="shared" si="288"/>
        <v>0</v>
      </c>
      <c r="CB84" s="116">
        <f t="shared" ref="CB84:DG84" si="289">CA84</f>
        <v>0</v>
      </c>
      <c r="CC84" s="116">
        <f t="shared" si="289"/>
        <v>0</v>
      </c>
      <c r="CD84" s="116">
        <f t="shared" si="289"/>
        <v>0</v>
      </c>
      <c r="CE84" s="116">
        <f t="shared" si="289"/>
        <v>0</v>
      </c>
      <c r="CF84" s="116">
        <f t="shared" si="289"/>
        <v>0</v>
      </c>
      <c r="CG84" s="116">
        <f t="shared" si="289"/>
        <v>0</v>
      </c>
      <c r="CH84" s="116">
        <f t="shared" si="289"/>
        <v>0</v>
      </c>
      <c r="CI84" s="287">
        <f t="shared" si="289"/>
        <v>0</v>
      </c>
      <c r="CJ84" s="116">
        <f t="shared" si="289"/>
        <v>0</v>
      </c>
      <c r="CK84" s="116">
        <f t="shared" si="289"/>
        <v>0</v>
      </c>
      <c r="CL84" s="116">
        <f t="shared" si="289"/>
        <v>0</v>
      </c>
      <c r="CM84" s="116">
        <f t="shared" si="289"/>
        <v>0</v>
      </c>
      <c r="CN84" s="116">
        <f t="shared" si="289"/>
        <v>0</v>
      </c>
      <c r="CO84" s="116">
        <f t="shared" si="289"/>
        <v>0</v>
      </c>
      <c r="CP84" s="116">
        <f t="shared" si="289"/>
        <v>0</v>
      </c>
      <c r="CQ84" s="116">
        <f t="shared" si="289"/>
        <v>0</v>
      </c>
      <c r="CR84" s="116">
        <f t="shared" si="289"/>
        <v>0</v>
      </c>
      <c r="CS84" s="116">
        <f t="shared" si="289"/>
        <v>0</v>
      </c>
      <c r="CT84" s="116">
        <f t="shared" si="289"/>
        <v>0</v>
      </c>
      <c r="CU84" s="287">
        <f t="shared" si="289"/>
        <v>0</v>
      </c>
      <c r="CV84" s="116">
        <f t="shared" si="289"/>
        <v>0</v>
      </c>
      <c r="CW84" s="116">
        <f t="shared" si="289"/>
        <v>0</v>
      </c>
      <c r="CX84" s="116">
        <f t="shared" si="289"/>
        <v>0</v>
      </c>
      <c r="CY84" s="116">
        <f t="shared" si="289"/>
        <v>0</v>
      </c>
      <c r="CZ84" s="116">
        <f t="shared" si="289"/>
        <v>0</v>
      </c>
      <c r="DA84" s="116">
        <f t="shared" si="289"/>
        <v>0</v>
      </c>
      <c r="DB84" s="116">
        <f t="shared" si="289"/>
        <v>0</v>
      </c>
      <c r="DC84" s="116">
        <f t="shared" si="289"/>
        <v>0</v>
      </c>
      <c r="DD84" s="116">
        <f t="shared" si="289"/>
        <v>0</v>
      </c>
      <c r="DE84" s="116">
        <f t="shared" si="289"/>
        <v>0</v>
      </c>
      <c r="DF84" s="116">
        <f t="shared" si="289"/>
        <v>0</v>
      </c>
      <c r="DG84" s="116">
        <f t="shared" si="289"/>
        <v>0</v>
      </c>
    </row>
    <row r="85" spans="1:111" x14ac:dyDescent="0.3">
      <c r="A85" s="5"/>
      <c r="B85" s="6" t="s">
        <v>10</v>
      </c>
      <c r="C85" s="6"/>
      <c r="D85" s="56">
        <f>D84</f>
        <v>0</v>
      </c>
      <c r="E85" s="56">
        <f t="shared" ref="E85:J85" si="290">E84</f>
        <v>0</v>
      </c>
      <c r="F85" s="56">
        <f t="shared" si="290"/>
        <v>0</v>
      </c>
      <c r="G85" s="56">
        <f t="shared" si="290"/>
        <v>0</v>
      </c>
      <c r="H85" s="56">
        <f t="shared" si="290"/>
        <v>0</v>
      </c>
      <c r="I85" s="56">
        <f t="shared" si="290"/>
        <v>0</v>
      </c>
      <c r="J85" s="56">
        <f t="shared" si="290"/>
        <v>0</v>
      </c>
      <c r="K85" s="56">
        <v>0</v>
      </c>
      <c r="L85" s="56">
        <v>0</v>
      </c>
      <c r="M85" s="55"/>
      <c r="N85" s="55">
        <f>N84</f>
        <v>0</v>
      </c>
      <c r="O85" s="55">
        <f t="shared" ref="O85:BZ85" si="291">O84</f>
        <v>0</v>
      </c>
      <c r="P85" s="55">
        <f t="shared" ref="P85:W86" si="292">P84</f>
        <v>0</v>
      </c>
      <c r="Q85" s="55">
        <f t="shared" si="292"/>
        <v>0</v>
      </c>
      <c r="R85" s="55">
        <f t="shared" si="292"/>
        <v>0</v>
      </c>
      <c r="S85" s="55">
        <f t="shared" si="292"/>
        <v>0</v>
      </c>
      <c r="T85" s="55">
        <f t="shared" si="292"/>
        <v>0</v>
      </c>
      <c r="U85" s="55">
        <f t="shared" si="292"/>
        <v>0</v>
      </c>
      <c r="V85" s="55">
        <f t="shared" si="292"/>
        <v>0</v>
      </c>
      <c r="W85" s="55">
        <f t="shared" si="292"/>
        <v>0</v>
      </c>
      <c r="X85" s="55">
        <f t="shared" ref="X85:AE86" si="293">X84</f>
        <v>0</v>
      </c>
      <c r="Y85" s="55">
        <f t="shared" si="293"/>
        <v>0</v>
      </c>
      <c r="Z85" s="55">
        <f t="shared" si="293"/>
        <v>0</v>
      </c>
      <c r="AA85" s="55">
        <f t="shared" si="293"/>
        <v>0</v>
      </c>
      <c r="AB85" s="55">
        <f t="shared" si="293"/>
        <v>0</v>
      </c>
      <c r="AC85" s="55">
        <f t="shared" si="293"/>
        <v>0</v>
      </c>
      <c r="AD85" s="55">
        <f t="shared" si="293"/>
        <v>0</v>
      </c>
      <c r="AE85" s="55">
        <f t="shared" si="293"/>
        <v>0</v>
      </c>
      <c r="AF85" s="55">
        <f t="shared" ref="AF85:AH86" si="294">AF84</f>
        <v>0</v>
      </c>
      <c r="AG85" s="55">
        <f t="shared" si="294"/>
        <v>0</v>
      </c>
      <c r="AH85" s="55">
        <f t="shared" si="294"/>
        <v>0</v>
      </c>
      <c r="AI85" s="55">
        <f t="shared" ref="AI85:AJ85" si="295">AI84</f>
        <v>0</v>
      </c>
      <c r="AJ85" s="55">
        <f t="shared" si="295"/>
        <v>0</v>
      </c>
      <c r="AK85" s="292">
        <f t="shared" ref="AK85" si="296">AK84</f>
        <v>0</v>
      </c>
      <c r="AL85" s="55">
        <f t="shared" ref="AL85" si="297">AL84</f>
        <v>0</v>
      </c>
      <c r="AM85" s="292">
        <f t="shared" si="291"/>
        <v>0</v>
      </c>
      <c r="AN85" s="55">
        <f t="shared" si="291"/>
        <v>0</v>
      </c>
      <c r="AO85" s="55">
        <f t="shared" si="291"/>
        <v>0</v>
      </c>
      <c r="AP85" s="55">
        <f t="shared" si="291"/>
        <v>0</v>
      </c>
      <c r="AQ85" s="55">
        <f t="shared" si="291"/>
        <v>0</v>
      </c>
      <c r="AR85" s="55">
        <f t="shared" si="291"/>
        <v>0</v>
      </c>
      <c r="AS85" s="55">
        <f t="shared" si="291"/>
        <v>0</v>
      </c>
      <c r="AT85" s="55">
        <f t="shared" si="291"/>
        <v>0</v>
      </c>
      <c r="AU85" s="55">
        <f t="shared" si="291"/>
        <v>0</v>
      </c>
      <c r="AV85" s="55">
        <f t="shared" si="291"/>
        <v>0</v>
      </c>
      <c r="AW85" s="55">
        <f t="shared" si="291"/>
        <v>0</v>
      </c>
      <c r="AX85" s="55">
        <f t="shared" si="291"/>
        <v>0</v>
      </c>
      <c r="AY85" s="292">
        <f t="shared" si="291"/>
        <v>0</v>
      </c>
      <c r="AZ85" s="55">
        <f t="shared" si="291"/>
        <v>0</v>
      </c>
      <c r="BA85" s="55">
        <f t="shared" si="291"/>
        <v>0</v>
      </c>
      <c r="BB85" s="55">
        <f t="shared" si="291"/>
        <v>0</v>
      </c>
      <c r="BC85" s="55">
        <f t="shared" si="291"/>
        <v>0</v>
      </c>
      <c r="BD85" s="55">
        <f t="shared" si="291"/>
        <v>0</v>
      </c>
      <c r="BE85" s="55">
        <f t="shared" si="291"/>
        <v>0</v>
      </c>
      <c r="BF85" s="55">
        <f t="shared" si="291"/>
        <v>0</v>
      </c>
      <c r="BG85" s="55">
        <f t="shared" si="291"/>
        <v>0</v>
      </c>
      <c r="BH85" s="55">
        <f t="shared" si="291"/>
        <v>0</v>
      </c>
      <c r="BI85" s="55">
        <f t="shared" si="291"/>
        <v>0</v>
      </c>
      <c r="BJ85" s="55">
        <f t="shared" si="291"/>
        <v>0</v>
      </c>
      <c r="BK85" s="292">
        <f t="shared" si="291"/>
        <v>0</v>
      </c>
      <c r="BL85" s="55">
        <f t="shared" si="291"/>
        <v>0</v>
      </c>
      <c r="BM85" s="55">
        <f t="shared" si="291"/>
        <v>0</v>
      </c>
      <c r="BN85" s="55">
        <f t="shared" si="291"/>
        <v>0</v>
      </c>
      <c r="BO85" s="55">
        <f t="shared" si="291"/>
        <v>0</v>
      </c>
      <c r="BP85" s="55">
        <f t="shared" si="291"/>
        <v>0</v>
      </c>
      <c r="BQ85" s="55">
        <f t="shared" si="291"/>
        <v>0</v>
      </c>
      <c r="BR85" s="55">
        <f t="shared" si="291"/>
        <v>0</v>
      </c>
      <c r="BS85" s="55">
        <f t="shared" si="291"/>
        <v>0</v>
      </c>
      <c r="BT85" s="55">
        <f t="shared" si="291"/>
        <v>0</v>
      </c>
      <c r="BU85" s="55">
        <f t="shared" si="291"/>
        <v>0</v>
      </c>
      <c r="BV85" s="55">
        <f t="shared" si="291"/>
        <v>0</v>
      </c>
      <c r="BW85" s="292">
        <f t="shared" si="291"/>
        <v>0</v>
      </c>
      <c r="BX85" s="55">
        <f t="shared" si="291"/>
        <v>0</v>
      </c>
      <c r="BY85" s="55">
        <f t="shared" si="291"/>
        <v>0</v>
      </c>
      <c r="BZ85" s="55">
        <f t="shared" si="291"/>
        <v>0</v>
      </c>
      <c r="CA85" s="55">
        <f t="shared" ref="CA85:DG85" si="298">CA84</f>
        <v>0</v>
      </c>
      <c r="CB85" s="55">
        <f t="shared" si="298"/>
        <v>0</v>
      </c>
      <c r="CC85" s="55">
        <f t="shared" si="298"/>
        <v>0</v>
      </c>
      <c r="CD85" s="55">
        <f t="shared" si="298"/>
        <v>0</v>
      </c>
      <c r="CE85" s="55">
        <f t="shared" si="298"/>
        <v>0</v>
      </c>
      <c r="CF85" s="55">
        <f t="shared" si="298"/>
        <v>0</v>
      </c>
      <c r="CG85" s="55">
        <f t="shared" si="298"/>
        <v>0</v>
      </c>
      <c r="CH85" s="55">
        <f t="shared" si="298"/>
        <v>0</v>
      </c>
      <c r="CI85" s="292">
        <f t="shared" si="298"/>
        <v>0</v>
      </c>
      <c r="CJ85" s="55">
        <f t="shared" si="298"/>
        <v>0</v>
      </c>
      <c r="CK85" s="55">
        <f t="shared" si="298"/>
        <v>0</v>
      </c>
      <c r="CL85" s="55">
        <f t="shared" si="298"/>
        <v>0</v>
      </c>
      <c r="CM85" s="55">
        <f t="shared" si="298"/>
        <v>0</v>
      </c>
      <c r="CN85" s="55">
        <f t="shared" si="298"/>
        <v>0</v>
      </c>
      <c r="CO85" s="55">
        <f t="shared" si="298"/>
        <v>0</v>
      </c>
      <c r="CP85" s="55">
        <f t="shared" si="298"/>
        <v>0</v>
      </c>
      <c r="CQ85" s="55">
        <f t="shared" si="298"/>
        <v>0</v>
      </c>
      <c r="CR85" s="55">
        <f t="shared" si="298"/>
        <v>0</v>
      </c>
      <c r="CS85" s="55">
        <f t="shared" si="298"/>
        <v>0</v>
      </c>
      <c r="CT85" s="55">
        <f t="shared" si="298"/>
        <v>0</v>
      </c>
      <c r="CU85" s="292">
        <f t="shared" si="298"/>
        <v>0</v>
      </c>
      <c r="CV85" s="55">
        <f t="shared" si="298"/>
        <v>0</v>
      </c>
      <c r="CW85" s="55">
        <f t="shared" si="298"/>
        <v>0</v>
      </c>
      <c r="CX85" s="55">
        <f t="shared" si="298"/>
        <v>0</v>
      </c>
      <c r="CY85" s="55">
        <f t="shared" si="298"/>
        <v>0</v>
      </c>
      <c r="CZ85" s="55">
        <f t="shared" si="298"/>
        <v>0</v>
      </c>
      <c r="DA85" s="55">
        <f t="shared" si="298"/>
        <v>0</v>
      </c>
      <c r="DB85" s="55">
        <f t="shared" si="298"/>
        <v>0</v>
      </c>
      <c r="DC85" s="55">
        <f t="shared" si="298"/>
        <v>0</v>
      </c>
      <c r="DD85" s="55">
        <f t="shared" si="298"/>
        <v>0</v>
      </c>
      <c r="DE85" s="55">
        <f t="shared" si="298"/>
        <v>0</v>
      </c>
      <c r="DF85" s="55">
        <f t="shared" si="298"/>
        <v>0</v>
      </c>
      <c r="DG85" s="55">
        <f t="shared" si="298"/>
        <v>0</v>
      </c>
    </row>
    <row r="86" spans="1:111" x14ac:dyDescent="0.3">
      <c r="A86" s="5"/>
      <c r="B86" s="6" t="s">
        <v>11</v>
      </c>
      <c r="C86" s="6"/>
      <c r="D86" s="56">
        <f>D85</f>
        <v>0</v>
      </c>
      <c r="E86" s="56">
        <f t="shared" ref="E86:BP86" si="299">E85</f>
        <v>0</v>
      </c>
      <c r="F86" s="56">
        <f t="shared" si="299"/>
        <v>0</v>
      </c>
      <c r="G86" s="56">
        <f t="shared" si="299"/>
        <v>0</v>
      </c>
      <c r="H86" s="56">
        <f t="shared" si="299"/>
        <v>0</v>
      </c>
      <c r="I86" s="56">
        <f t="shared" si="299"/>
        <v>0</v>
      </c>
      <c r="J86" s="56">
        <f t="shared" si="299"/>
        <v>0</v>
      </c>
      <c r="K86" s="56">
        <f t="shared" si="299"/>
        <v>0</v>
      </c>
      <c r="L86" s="56">
        <f t="shared" si="299"/>
        <v>0</v>
      </c>
      <c r="M86" s="55">
        <f t="shared" si="299"/>
        <v>0</v>
      </c>
      <c r="N86" s="55">
        <f t="shared" si="299"/>
        <v>0</v>
      </c>
      <c r="O86" s="55">
        <f t="shared" si="299"/>
        <v>0</v>
      </c>
      <c r="P86" s="55">
        <f t="shared" si="292"/>
        <v>0</v>
      </c>
      <c r="Q86" s="55">
        <f t="shared" si="292"/>
        <v>0</v>
      </c>
      <c r="R86" s="55">
        <f t="shared" si="292"/>
        <v>0</v>
      </c>
      <c r="S86" s="55">
        <f t="shared" si="292"/>
        <v>0</v>
      </c>
      <c r="T86" s="55">
        <f t="shared" si="292"/>
        <v>0</v>
      </c>
      <c r="U86" s="55">
        <f t="shared" si="292"/>
        <v>0</v>
      </c>
      <c r="V86" s="55">
        <f t="shared" si="292"/>
        <v>0</v>
      </c>
      <c r="W86" s="55">
        <f t="shared" si="292"/>
        <v>0</v>
      </c>
      <c r="X86" s="55">
        <f t="shared" si="293"/>
        <v>0</v>
      </c>
      <c r="Y86" s="55">
        <f t="shared" si="293"/>
        <v>0</v>
      </c>
      <c r="Z86" s="55">
        <f t="shared" si="293"/>
        <v>0</v>
      </c>
      <c r="AA86" s="55">
        <f t="shared" si="293"/>
        <v>0</v>
      </c>
      <c r="AB86" s="55">
        <f t="shared" si="293"/>
        <v>0</v>
      </c>
      <c r="AC86" s="55">
        <f t="shared" si="293"/>
        <v>0</v>
      </c>
      <c r="AD86" s="55">
        <f t="shared" si="293"/>
        <v>0</v>
      </c>
      <c r="AE86" s="55">
        <f t="shared" si="293"/>
        <v>0</v>
      </c>
      <c r="AF86" s="55">
        <f t="shared" si="294"/>
        <v>0</v>
      </c>
      <c r="AG86" s="55">
        <f t="shared" si="294"/>
        <v>0</v>
      </c>
      <c r="AH86" s="55">
        <f t="shared" si="294"/>
        <v>0</v>
      </c>
      <c r="AI86" s="55">
        <f t="shared" ref="AI86:AJ86" si="300">AI85</f>
        <v>0</v>
      </c>
      <c r="AJ86" s="55">
        <f t="shared" si="300"/>
        <v>0</v>
      </c>
      <c r="AK86" s="292">
        <f t="shared" ref="AK86" si="301">AK85</f>
        <v>0</v>
      </c>
      <c r="AL86" s="55">
        <f t="shared" ref="AL86" si="302">AL85</f>
        <v>0</v>
      </c>
      <c r="AM86" s="292">
        <f t="shared" si="299"/>
        <v>0</v>
      </c>
      <c r="AN86" s="55">
        <f t="shared" si="299"/>
        <v>0</v>
      </c>
      <c r="AO86" s="55">
        <f t="shared" si="299"/>
        <v>0</v>
      </c>
      <c r="AP86" s="55">
        <f t="shared" si="299"/>
        <v>0</v>
      </c>
      <c r="AQ86" s="55">
        <f t="shared" si="299"/>
        <v>0</v>
      </c>
      <c r="AR86" s="55">
        <f t="shared" si="299"/>
        <v>0</v>
      </c>
      <c r="AS86" s="55">
        <f t="shared" si="299"/>
        <v>0</v>
      </c>
      <c r="AT86" s="55">
        <f t="shared" si="299"/>
        <v>0</v>
      </c>
      <c r="AU86" s="55">
        <f t="shared" si="299"/>
        <v>0</v>
      </c>
      <c r="AV86" s="55">
        <f t="shared" si="299"/>
        <v>0</v>
      </c>
      <c r="AW86" s="55">
        <f t="shared" si="299"/>
        <v>0</v>
      </c>
      <c r="AX86" s="55">
        <f t="shared" si="299"/>
        <v>0</v>
      </c>
      <c r="AY86" s="292">
        <f t="shared" si="299"/>
        <v>0</v>
      </c>
      <c r="AZ86" s="55">
        <f t="shared" si="299"/>
        <v>0</v>
      </c>
      <c r="BA86" s="55">
        <f t="shared" si="299"/>
        <v>0</v>
      </c>
      <c r="BB86" s="55">
        <f t="shared" si="299"/>
        <v>0</v>
      </c>
      <c r="BC86" s="55">
        <f t="shared" si="299"/>
        <v>0</v>
      </c>
      <c r="BD86" s="55">
        <f t="shared" si="299"/>
        <v>0</v>
      </c>
      <c r="BE86" s="55">
        <f t="shared" si="299"/>
        <v>0</v>
      </c>
      <c r="BF86" s="55">
        <f t="shared" si="299"/>
        <v>0</v>
      </c>
      <c r="BG86" s="55">
        <f t="shared" si="299"/>
        <v>0</v>
      </c>
      <c r="BH86" s="55">
        <f t="shared" si="299"/>
        <v>0</v>
      </c>
      <c r="BI86" s="55">
        <f t="shared" si="299"/>
        <v>0</v>
      </c>
      <c r="BJ86" s="55">
        <f t="shared" si="299"/>
        <v>0</v>
      </c>
      <c r="BK86" s="292">
        <f t="shared" si="299"/>
        <v>0</v>
      </c>
      <c r="BL86" s="55">
        <f t="shared" si="299"/>
        <v>0</v>
      </c>
      <c r="BM86" s="55">
        <f t="shared" si="299"/>
        <v>0</v>
      </c>
      <c r="BN86" s="55">
        <f t="shared" si="299"/>
        <v>0</v>
      </c>
      <c r="BO86" s="55">
        <f t="shared" si="299"/>
        <v>0</v>
      </c>
      <c r="BP86" s="55">
        <f t="shared" si="299"/>
        <v>0</v>
      </c>
      <c r="BQ86" s="55">
        <f t="shared" ref="BQ86:DG86" si="303">BQ85</f>
        <v>0</v>
      </c>
      <c r="BR86" s="55">
        <f t="shared" si="303"/>
        <v>0</v>
      </c>
      <c r="BS86" s="55">
        <f t="shared" si="303"/>
        <v>0</v>
      </c>
      <c r="BT86" s="55">
        <f t="shared" si="303"/>
        <v>0</v>
      </c>
      <c r="BU86" s="55">
        <f t="shared" si="303"/>
        <v>0</v>
      </c>
      <c r="BV86" s="55">
        <f t="shared" si="303"/>
        <v>0</v>
      </c>
      <c r="BW86" s="292">
        <f t="shared" si="303"/>
        <v>0</v>
      </c>
      <c r="BX86" s="55">
        <f t="shared" si="303"/>
        <v>0</v>
      </c>
      <c r="BY86" s="55">
        <f t="shared" si="303"/>
        <v>0</v>
      </c>
      <c r="BZ86" s="55">
        <f t="shared" si="303"/>
        <v>0</v>
      </c>
      <c r="CA86" s="55">
        <f t="shared" si="303"/>
        <v>0</v>
      </c>
      <c r="CB86" s="55">
        <f t="shared" si="303"/>
        <v>0</v>
      </c>
      <c r="CC86" s="55">
        <f t="shared" si="303"/>
        <v>0</v>
      </c>
      <c r="CD86" s="55">
        <f t="shared" si="303"/>
        <v>0</v>
      </c>
      <c r="CE86" s="55">
        <f t="shared" si="303"/>
        <v>0</v>
      </c>
      <c r="CF86" s="55">
        <f t="shared" si="303"/>
        <v>0</v>
      </c>
      <c r="CG86" s="55">
        <f t="shared" si="303"/>
        <v>0</v>
      </c>
      <c r="CH86" s="55">
        <f t="shared" si="303"/>
        <v>0</v>
      </c>
      <c r="CI86" s="292">
        <f t="shared" si="303"/>
        <v>0</v>
      </c>
      <c r="CJ86" s="55">
        <f t="shared" si="303"/>
        <v>0</v>
      </c>
      <c r="CK86" s="55">
        <f t="shared" si="303"/>
        <v>0</v>
      </c>
      <c r="CL86" s="55">
        <f t="shared" si="303"/>
        <v>0</v>
      </c>
      <c r="CM86" s="55">
        <f t="shared" si="303"/>
        <v>0</v>
      </c>
      <c r="CN86" s="55">
        <f t="shared" si="303"/>
        <v>0</v>
      </c>
      <c r="CO86" s="55">
        <f t="shared" si="303"/>
        <v>0</v>
      </c>
      <c r="CP86" s="55">
        <f t="shared" si="303"/>
        <v>0</v>
      </c>
      <c r="CQ86" s="55">
        <f t="shared" si="303"/>
        <v>0</v>
      </c>
      <c r="CR86" s="55">
        <f t="shared" si="303"/>
        <v>0</v>
      </c>
      <c r="CS86" s="55">
        <f t="shared" si="303"/>
        <v>0</v>
      </c>
      <c r="CT86" s="55">
        <f t="shared" si="303"/>
        <v>0</v>
      </c>
      <c r="CU86" s="292">
        <f t="shared" si="303"/>
        <v>0</v>
      </c>
      <c r="CV86" s="55">
        <f t="shared" si="303"/>
        <v>0</v>
      </c>
      <c r="CW86" s="55">
        <f t="shared" si="303"/>
        <v>0</v>
      </c>
      <c r="CX86" s="55">
        <f t="shared" si="303"/>
        <v>0</v>
      </c>
      <c r="CY86" s="55">
        <f t="shared" si="303"/>
        <v>0</v>
      </c>
      <c r="CZ86" s="55">
        <f t="shared" si="303"/>
        <v>0</v>
      </c>
      <c r="DA86" s="55">
        <f t="shared" si="303"/>
        <v>0</v>
      </c>
      <c r="DB86" s="55">
        <f t="shared" si="303"/>
        <v>0</v>
      </c>
      <c r="DC86" s="55">
        <f t="shared" si="303"/>
        <v>0</v>
      </c>
      <c r="DD86" s="55">
        <f t="shared" si="303"/>
        <v>0</v>
      </c>
      <c r="DE86" s="55">
        <f t="shared" si="303"/>
        <v>0</v>
      </c>
      <c r="DF86" s="55">
        <f t="shared" si="303"/>
        <v>0</v>
      </c>
      <c r="DG86" s="55">
        <f t="shared" si="303"/>
        <v>0</v>
      </c>
    </row>
    <row r="87" spans="1:111" s="3" customFormat="1" x14ac:dyDescent="0.3">
      <c r="B87" s="4" t="s">
        <v>12</v>
      </c>
      <c r="C87" s="4"/>
      <c r="D87" s="56">
        <f>D81+D86</f>
        <v>0</v>
      </c>
      <c r="E87" s="56">
        <f t="shared" ref="E87:BP87" si="304">E81+E86</f>
        <v>0</v>
      </c>
      <c r="F87" s="56">
        <f t="shared" si="304"/>
        <v>0</v>
      </c>
      <c r="G87" s="56">
        <f t="shared" si="304"/>
        <v>0</v>
      </c>
      <c r="H87" s="56">
        <f t="shared" si="304"/>
        <v>0</v>
      </c>
      <c r="I87" s="56">
        <f t="shared" si="304"/>
        <v>0</v>
      </c>
      <c r="J87" s="56">
        <f t="shared" si="304"/>
        <v>0</v>
      </c>
      <c r="K87" s="56">
        <f t="shared" si="304"/>
        <v>0</v>
      </c>
      <c r="L87" s="56">
        <f t="shared" si="304"/>
        <v>0</v>
      </c>
      <c r="M87" s="56">
        <f t="shared" si="304"/>
        <v>0</v>
      </c>
      <c r="N87" s="56">
        <f t="shared" si="304"/>
        <v>0</v>
      </c>
      <c r="O87" s="56">
        <f t="shared" si="304"/>
        <v>0</v>
      </c>
      <c r="P87" s="56">
        <f t="shared" ref="P87:W87" si="305">P81+P86</f>
        <v>0</v>
      </c>
      <c r="Q87" s="56">
        <f t="shared" si="305"/>
        <v>0</v>
      </c>
      <c r="R87" s="56">
        <f t="shared" si="305"/>
        <v>0</v>
      </c>
      <c r="S87" s="56">
        <f t="shared" si="305"/>
        <v>0</v>
      </c>
      <c r="T87" s="56">
        <f t="shared" si="305"/>
        <v>0</v>
      </c>
      <c r="U87" s="56">
        <f t="shared" si="305"/>
        <v>0</v>
      </c>
      <c r="V87" s="56">
        <f t="shared" si="305"/>
        <v>0</v>
      </c>
      <c r="W87" s="56">
        <f t="shared" si="305"/>
        <v>1942.4</v>
      </c>
      <c r="X87" s="56">
        <f t="shared" ref="X87:AE87" si="306">X81+X86</f>
        <v>8367.7699999999986</v>
      </c>
      <c r="Y87" s="56">
        <f t="shared" si="306"/>
        <v>7621.29</v>
      </c>
      <c r="Z87" s="56">
        <f t="shared" si="306"/>
        <v>7735.9999999999991</v>
      </c>
      <c r="AA87" s="56">
        <f t="shared" si="306"/>
        <v>9837.7000000000007</v>
      </c>
      <c r="AB87" s="56">
        <f t="shared" si="306"/>
        <v>5161.95</v>
      </c>
      <c r="AC87" s="56">
        <f t="shared" si="306"/>
        <v>5593.24</v>
      </c>
      <c r="AD87" s="56">
        <f t="shared" si="306"/>
        <v>8721.89</v>
      </c>
      <c r="AE87" s="56">
        <f t="shared" si="306"/>
        <v>9733.06</v>
      </c>
      <c r="AF87" s="56">
        <f t="shared" ref="AF87:AJ87" si="307">AF81+AF86</f>
        <v>9649.1699999999983</v>
      </c>
      <c r="AG87" s="56">
        <f t="shared" si="307"/>
        <v>10519.93</v>
      </c>
      <c r="AH87" s="56">
        <f t="shared" si="307"/>
        <v>8690.36</v>
      </c>
      <c r="AI87" s="56">
        <f t="shared" si="307"/>
        <v>8902.25</v>
      </c>
      <c r="AJ87" s="56">
        <f t="shared" si="307"/>
        <v>5789.0199999999995</v>
      </c>
      <c r="AK87" s="288">
        <f t="shared" ref="AK87" si="308">AK81+AK86</f>
        <v>7794.08</v>
      </c>
      <c r="AL87" s="56">
        <f t="shared" ref="AL87" si="309">AL81+AL86</f>
        <v>7091.239829581451</v>
      </c>
      <c r="AM87" s="288">
        <f t="shared" si="304"/>
        <v>8485.287462097358</v>
      </c>
      <c r="AN87" s="56">
        <f t="shared" si="304"/>
        <v>6396.0990271204955</v>
      </c>
      <c r="AO87" s="56">
        <f t="shared" si="304"/>
        <v>6080.0147677345522</v>
      </c>
      <c r="AP87" s="56">
        <f t="shared" si="304"/>
        <v>7920.0279151877312</v>
      </c>
      <c r="AQ87" s="56">
        <f t="shared" si="304"/>
        <v>5692.9596328850439</v>
      </c>
      <c r="AR87" s="56">
        <f t="shared" si="304"/>
        <v>6616.3379520753679</v>
      </c>
      <c r="AS87" s="56">
        <f t="shared" si="304"/>
        <v>9305.7478788084045</v>
      </c>
      <c r="AT87" s="56">
        <f t="shared" si="304"/>
        <v>8836.398917949211</v>
      </c>
      <c r="AU87" s="56">
        <f t="shared" si="304"/>
        <v>10856.004686053484</v>
      </c>
      <c r="AV87" s="56">
        <f t="shared" si="304"/>
        <v>10900.841929475284</v>
      </c>
      <c r="AW87" s="56">
        <f t="shared" si="304"/>
        <v>9776.9652103307035</v>
      </c>
      <c r="AX87" s="56">
        <f t="shared" si="304"/>
        <v>11107.485793943784</v>
      </c>
      <c r="AY87" s="288">
        <f t="shared" si="304"/>
        <v>14156.255666871852</v>
      </c>
      <c r="AZ87" s="56">
        <f t="shared" si="304"/>
        <v>9198.0926937902623</v>
      </c>
      <c r="BA87" s="56">
        <f t="shared" si="304"/>
        <v>9322.6638997304835</v>
      </c>
      <c r="BB87" s="56">
        <f t="shared" si="304"/>
        <v>12221.050232584326</v>
      </c>
      <c r="BC87" s="56">
        <f t="shared" si="304"/>
        <v>8777.7028185724994</v>
      </c>
      <c r="BD87" s="56">
        <f t="shared" si="304"/>
        <v>8995.3287752053729</v>
      </c>
      <c r="BE87" s="56">
        <f t="shared" si="304"/>
        <v>13512.277524824554</v>
      </c>
      <c r="BF87" s="56">
        <f t="shared" si="304"/>
        <v>12741.238039782496</v>
      </c>
      <c r="BG87" s="56">
        <f t="shared" si="304"/>
        <v>14605.3757970651</v>
      </c>
      <c r="BH87" s="56">
        <f t="shared" si="304"/>
        <v>14744.937542200094</v>
      </c>
      <c r="BI87" s="56">
        <f t="shared" si="304"/>
        <v>12645.93495908204</v>
      </c>
      <c r="BJ87" s="56">
        <f t="shared" si="304"/>
        <v>17094.488842053834</v>
      </c>
      <c r="BK87" s="288">
        <f t="shared" si="304"/>
        <v>18716.485636481069</v>
      </c>
      <c r="BL87" s="56">
        <f t="shared" si="304"/>
        <v>11899.514034220214</v>
      </c>
      <c r="BM87" s="56">
        <f t="shared" si="304"/>
        <v>12866.58795828445</v>
      </c>
      <c r="BN87" s="56">
        <f t="shared" si="304"/>
        <v>17249.043391650241</v>
      </c>
      <c r="BO87" s="56">
        <f t="shared" si="304"/>
        <v>12055.51474495931</v>
      </c>
      <c r="BP87" s="56">
        <f t="shared" si="304"/>
        <v>12159.561842831296</v>
      </c>
      <c r="BQ87" s="56">
        <f t="shared" ref="BQ87:DG87" si="310">BQ81+BQ86</f>
        <v>17514.630013365942</v>
      </c>
      <c r="BR87" s="56">
        <f t="shared" si="310"/>
        <v>15609.066741300605</v>
      </c>
      <c r="BS87" s="56">
        <f t="shared" si="310"/>
        <v>18693.11317827024</v>
      </c>
      <c r="BT87" s="56">
        <f t="shared" si="310"/>
        <v>18174.290438523403</v>
      </c>
      <c r="BU87" s="56">
        <f t="shared" si="310"/>
        <v>15550.482680412122</v>
      </c>
      <c r="BV87" s="56">
        <f t="shared" si="310"/>
        <v>21274.024382663913</v>
      </c>
      <c r="BW87" s="288">
        <f t="shared" si="310"/>
        <v>22766.585811052104</v>
      </c>
      <c r="BX87" s="56">
        <f t="shared" si="310"/>
        <v>15622.871975405389</v>
      </c>
      <c r="BY87" s="56">
        <f t="shared" si="310"/>
        <v>17962.376541896934</v>
      </c>
      <c r="BZ87" s="56">
        <f t="shared" si="310"/>
        <v>20725.852337892775</v>
      </c>
      <c r="CA87" s="56">
        <f t="shared" si="310"/>
        <v>13955.064992556483</v>
      </c>
      <c r="CB87" s="56">
        <f t="shared" si="310"/>
        <v>17552.927340464154</v>
      </c>
      <c r="CC87" s="56">
        <f t="shared" si="310"/>
        <v>20623.921935776973</v>
      </c>
      <c r="CD87" s="56">
        <f t="shared" si="310"/>
        <v>18445.26831295525</v>
      </c>
      <c r="CE87" s="56">
        <f t="shared" si="310"/>
        <v>22839.534996009446</v>
      </c>
      <c r="CF87" s="56">
        <f t="shared" si="310"/>
        <v>20776.065319498481</v>
      </c>
      <c r="CG87" s="56">
        <f t="shared" si="310"/>
        <v>19660.558279244</v>
      </c>
      <c r="CH87" s="56">
        <f t="shared" si="310"/>
        <v>25342.824805041455</v>
      </c>
      <c r="CI87" s="288">
        <f t="shared" si="310"/>
        <v>25325.459730179904</v>
      </c>
      <c r="CJ87" s="56">
        <f t="shared" si="310"/>
        <v>20838.241747537977</v>
      </c>
      <c r="CK87" s="56">
        <f t="shared" si="310"/>
        <v>20524.576842491777</v>
      </c>
      <c r="CL87" s="56">
        <f t="shared" si="310"/>
        <v>23565.791526854471</v>
      </c>
      <c r="CM87" s="56">
        <f t="shared" si="310"/>
        <v>18747.929852499343</v>
      </c>
      <c r="CN87" s="56">
        <f t="shared" si="310"/>
        <v>20858.26160253361</v>
      </c>
      <c r="CO87" s="56">
        <f t="shared" si="310"/>
        <v>23190.269349819719</v>
      </c>
      <c r="CP87" s="56">
        <f t="shared" si="310"/>
        <v>22054.939963103923</v>
      </c>
      <c r="CQ87" s="56">
        <f t="shared" si="310"/>
        <v>26677.425270767118</v>
      </c>
      <c r="CR87" s="56">
        <f t="shared" si="310"/>
        <v>23239.371451201343</v>
      </c>
      <c r="CS87" s="56">
        <f t="shared" si="310"/>
        <v>23654.789856862386</v>
      </c>
      <c r="CT87" s="56">
        <f t="shared" si="310"/>
        <v>29797.912686182717</v>
      </c>
      <c r="CU87" s="288">
        <f t="shared" si="310"/>
        <v>29860.228915049258</v>
      </c>
      <c r="CV87" s="56">
        <f t="shared" si="310"/>
        <v>24378.265267220799</v>
      </c>
      <c r="CW87" s="56">
        <f t="shared" si="310"/>
        <v>23977.9504126133</v>
      </c>
      <c r="CX87" s="56">
        <f t="shared" si="310"/>
        <v>26558.659323877178</v>
      </c>
      <c r="CY87" s="56">
        <f t="shared" si="310"/>
        <v>22811.590622332555</v>
      </c>
      <c r="CZ87" s="56">
        <f t="shared" si="310"/>
        <v>24268.762902689305</v>
      </c>
      <c r="DA87" s="56">
        <f t="shared" si="310"/>
        <v>25864.376603377656</v>
      </c>
      <c r="DB87" s="56">
        <f t="shared" si="310"/>
        <v>26458.056698534936</v>
      </c>
      <c r="DC87" s="56">
        <f t="shared" si="310"/>
        <v>29944.54568674264</v>
      </c>
      <c r="DD87" s="56">
        <f t="shared" si="310"/>
        <v>28094.635300736456</v>
      </c>
      <c r="DE87" s="56">
        <f t="shared" si="310"/>
        <v>27509.555206781239</v>
      </c>
      <c r="DF87" s="56">
        <f t="shared" si="310"/>
        <v>33547.104740174029</v>
      </c>
      <c r="DG87" s="56">
        <f t="shared" si="310"/>
        <v>36493.08553332727</v>
      </c>
    </row>
    <row r="88" spans="1:111" x14ac:dyDescent="0.3">
      <c r="B88" s="1"/>
      <c r="C88" s="1"/>
      <c r="D88" s="58"/>
      <c r="E88" s="58"/>
      <c r="F88" s="58"/>
      <c r="G88" s="58"/>
      <c r="H88" s="58"/>
      <c r="I88" s="58"/>
      <c r="J88" s="58"/>
      <c r="K88" s="58"/>
      <c r="L88" s="58"/>
      <c r="M88" s="58"/>
      <c r="N88" s="58"/>
      <c r="O88" s="58"/>
      <c r="P88" s="58"/>
      <c r="Q88" s="58"/>
      <c r="R88" s="58"/>
      <c r="S88" s="58"/>
      <c r="T88" s="58"/>
      <c r="U88" s="58"/>
      <c r="V88" s="58"/>
      <c r="W88" s="58"/>
      <c r="X88" s="58"/>
      <c r="Y88" s="58"/>
      <c r="Z88" s="58"/>
      <c r="AA88" s="58"/>
      <c r="AB88" s="58"/>
      <c r="AC88" s="58"/>
      <c r="AD88" s="58"/>
      <c r="AE88" s="58"/>
      <c r="AF88" s="58"/>
      <c r="AG88" s="58"/>
      <c r="AH88" s="58"/>
      <c r="AI88" s="58"/>
      <c r="AJ88" s="58"/>
      <c r="AK88" s="289"/>
      <c r="AL88" s="58"/>
      <c r="AM88" s="289"/>
      <c r="AN88" s="58"/>
      <c r="AO88" s="58"/>
      <c r="AP88" s="58"/>
      <c r="AQ88" s="58"/>
      <c r="AR88" s="58"/>
      <c r="AS88" s="58"/>
      <c r="AT88" s="58"/>
      <c r="AU88" s="58"/>
      <c r="AV88" s="58"/>
      <c r="AW88" s="58"/>
      <c r="AX88" s="58"/>
      <c r="AY88" s="289"/>
      <c r="AZ88" s="58"/>
      <c r="BA88" s="58"/>
      <c r="BB88" s="58"/>
      <c r="BC88" s="58"/>
      <c r="BD88" s="58"/>
      <c r="BE88" s="58"/>
      <c r="BF88" s="58"/>
      <c r="BG88" s="58"/>
      <c r="BH88" s="58"/>
      <c r="BI88" s="58"/>
      <c r="BJ88" s="58"/>
      <c r="BK88" s="289"/>
      <c r="BL88" s="58"/>
      <c r="BM88" s="58"/>
      <c r="BN88" s="58"/>
      <c r="BO88" s="58"/>
      <c r="BP88" s="58"/>
      <c r="BQ88" s="58"/>
      <c r="BR88" s="58"/>
      <c r="BS88" s="58"/>
      <c r="BT88" s="58"/>
      <c r="BU88" s="58"/>
      <c r="BV88" s="58"/>
      <c r="BW88" s="289"/>
      <c r="BX88" s="58"/>
      <c r="BY88" s="58"/>
      <c r="BZ88" s="58"/>
      <c r="CA88" s="58"/>
      <c r="CB88" s="58"/>
      <c r="CC88" s="58"/>
      <c r="CD88" s="58"/>
      <c r="CE88" s="58"/>
      <c r="CF88" s="58"/>
      <c r="CG88" s="58"/>
      <c r="CH88" s="58"/>
      <c r="CI88" s="289"/>
      <c r="CJ88" s="58"/>
      <c r="CK88" s="58"/>
      <c r="CL88" s="58"/>
      <c r="CM88" s="58"/>
      <c r="CN88" s="58"/>
      <c r="CO88" s="58"/>
      <c r="CP88" s="58"/>
      <c r="CQ88" s="58"/>
      <c r="CR88" s="58"/>
      <c r="CS88" s="58"/>
      <c r="CT88" s="58"/>
      <c r="CU88" s="289"/>
      <c r="CV88" s="58"/>
      <c r="CW88" s="58"/>
      <c r="CX88" s="58"/>
      <c r="CY88" s="58"/>
      <c r="CZ88" s="58"/>
      <c r="DA88" s="58"/>
      <c r="DB88" s="58"/>
      <c r="DC88" s="58"/>
      <c r="DD88" s="58"/>
      <c r="DE88" s="58"/>
      <c r="DF88" s="58"/>
      <c r="DG88" s="58"/>
    </row>
    <row r="89" spans="1:111" x14ac:dyDescent="0.3">
      <c r="A89" s="30"/>
      <c r="B89" s="67"/>
      <c r="C89" s="67"/>
      <c r="D89" s="68"/>
      <c r="E89" s="68"/>
      <c r="F89" s="68"/>
      <c r="G89" s="68"/>
      <c r="H89" s="68"/>
      <c r="I89" s="68"/>
      <c r="J89" s="68"/>
      <c r="K89" s="68"/>
      <c r="L89" s="68"/>
      <c r="M89" s="68"/>
      <c r="N89" s="68"/>
      <c r="O89" s="68"/>
      <c r="P89" s="68"/>
      <c r="Q89" s="68"/>
      <c r="R89" s="68"/>
      <c r="S89" s="68"/>
      <c r="T89" s="68"/>
      <c r="U89" s="68"/>
      <c r="V89" s="68"/>
      <c r="W89" s="68"/>
      <c r="X89" s="68"/>
      <c r="Y89" s="68"/>
      <c r="Z89" s="68"/>
      <c r="AA89" s="68"/>
      <c r="AB89" s="68"/>
      <c r="AC89" s="68"/>
      <c r="AD89" s="68"/>
      <c r="AE89" s="68"/>
      <c r="AF89" s="68"/>
      <c r="AG89" s="68"/>
      <c r="AH89" s="68"/>
      <c r="AI89" s="68"/>
      <c r="AJ89" s="68"/>
      <c r="AK89" s="293"/>
      <c r="AL89" s="68"/>
      <c r="AM89" s="293"/>
      <c r="AN89" s="68"/>
      <c r="AO89" s="68"/>
      <c r="AP89" s="68"/>
      <c r="AQ89" s="68"/>
      <c r="AR89" s="68"/>
      <c r="AS89" s="68"/>
      <c r="AT89" s="68"/>
      <c r="AU89" s="68"/>
      <c r="AV89" s="68"/>
      <c r="AW89" s="68"/>
      <c r="AX89" s="68"/>
      <c r="AY89" s="293"/>
      <c r="AZ89" s="68"/>
      <c r="BA89" s="68"/>
      <c r="BB89" s="68"/>
      <c r="BC89" s="68"/>
      <c r="BD89" s="68"/>
      <c r="BE89" s="68"/>
      <c r="BF89" s="68"/>
      <c r="BG89" s="68"/>
      <c r="BH89" s="68"/>
      <c r="BI89" s="68"/>
      <c r="BJ89" s="68"/>
      <c r="BK89" s="293"/>
      <c r="BL89" s="68"/>
      <c r="BM89" s="68"/>
      <c r="BN89" s="68"/>
      <c r="BO89" s="68"/>
      <c r="BP89" s="68"/>
      <c r="BQ89" s="68"/>
      <c r="BR89" s="68"/>
      <c r="BS89" s="68"/>
      <c r="BT89" s="68"/>
      <c r="BU89" s="68"/>
      <c r="BV89" s="68"/>
      <c r="BW89" s="293"/>
      <c r="BX89" s="68"/>
      <c r="BY89" s="68"/>
      <c r="BZ89" s="68"/>
      <c r="CA89" s="68"/>
      <c r="CB89" s="68"/>
      <c r="CC89" s="68"/>
      <c r="CD89" s="68"/>
      <c r="CE89" s="68"/>
      <c r="CF89" s="68"/>
      <c r="CG89" s="68"/>
      <c r="CH89" s="68"/>
      <c r="CI89" s="293"/>
      <c r="CJ89" s="68"/>
      <c r="CK89" s="68"/>
      <c r="CL89" s="68"/>
      <c r="CM89" s="68"/>
      <c r="CN89" s="68"/>
      <c r="CO89" s="68"/>
      <c r="CP89" s="68"/>
      <c r="CQ89" s="68"/>
      <c r="CR89" s="68"/>
      <c r="CS89" s="68"/>
      <c r="CT89" s="68"/>
      <c r="CU89" s="293"/>
      <c r="CV89" s="68"/>
      <c r="CW89" s="68"/>
      <c r="CX89" s="68"/>
      <c r="CY89" s="68"/>
      <c r="CZ89" s="68"/>
      <c r="DA89" s="68"/>
      <c r="DB89" s="68"/>
      <c r="DC89" s="68"/>
      <c r="DD89" s="68"/>
      <c r="DE89" s="68"/>
      <c r="DF89" s="68"/>
      <c r="DG89" s="68"/>
    </row>
    <row r="90" spans="1:111" s="5" customFormat="1" x14ac:dyDescent="0.3">
      <c r="A90"/>
      <c r="B90" s="1"/>
      <c r="C90" s="1"/>
      <c r="D90" s="2"/>
      <c r="E90" s="2"/>
      <c r="F90" s="2"/>
      <c r="G90" s="2"/>
      <c r="H90" s="2"/>
      <c r="I90" s="2"/>
      <c r="J90" s="2"/>
      <c r="K90" s="2"/>
      <c r="L90" s="2"/>
      <c r="M90" s="2"/>
      <c r="N90"/>
      <c r="O90" s="2"/>
      <c r="P90" s="2"/>
      <c r="Q90" s="2"/>
      <c r="R90" s="2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 s="286"/>
      <c r="AL90"/>
      <c r="AM90" s="286"/>
      <c r="AN90"/>
      <c r="AO90"/>
      <c r="AP90"/>
      <c r="AQ90"/>
      <c r="AR90"/>
      <c r="AS90"/>
      <c r="AT90"/>
      <c r="AU90"/>
      <c r="AV90"/>
      <c r="AW90"/>
      <c r="AX90"/>
      <c r="AY90" s="286"/>
      <c r="AZ90"/>
      <c r="BA90"/>
      <c r="BB90"/>
      <c r="BC90"/>
      <c r="BD90"/>
      <c r="BE90"/>
      <c r="BF90"/>
      <c r="BG90"/>
      <c r="BH90"/>
      <c r="BI90"/>
      <c r="BJ90"/>
      <c r="BK90" s="286"/>
      <c r="BL90"/>
      <c r="BM90"/>
      <c r="BN90"/>
      <c r="BO90"/>
      <c r="BP90"/>
      <c r="BQ90"/>
      <c r="BR90"/>
      <c r="BS90"/>
      <c r="BT90"/>
      <c r="BU90"/>
      <c r="BV90"/>
      <c r="BW90" s="286"/>
      <c r="BX90"/>
      <c r="BY90"/>
      <c r="BZ90"/>
      <c r="CA90"/>
      <c r="CB90"/>
      <c r="CC90"/>
      <c r="CD90"/>
      <c r="CE90"/>
      <c r="CF90"/>
      <c r="CG90"/>
      <c r="CH90"/>
      <c r="CI90" s="286"/>
      <c r="CJ90"/>
      <c r="CK90"/>
      <c r="CL90"/>
      <c r="CM90"/>
      <c r="CN90"/>
      <c r="CO90"/>
      <c r="CP90"/>
      <c r="CQ90"/>
      <c r="CR90"/>
      <c r="CS90"/>
      <c r="CT90"/>
      <c r="CU90" s="286"/>
      <c r="CV90"/>
      <c r="CW90"/>
      <c r="CX90"/>
      <c r="CY90"/>
      <c r="CZ90"/>
      <c r="DA90"/>
      <c r="DB90"/>
      <c r="DC90"/>
      <c r="DD90"/>
      <c r="DE90"/>
      <c r="DF90"/>
      <c r="DG90"/>
    </row>
    <row r="91" spans="1:111" s="65" customFormat="1" x14ac:dyDescent="0.3">
      <c r="A91"/>
      <c r="B91" s="1" t="s">
        <v>13</v>
      </c>
      <c r="C91" s="1"/>
      <c r="D91" s="2"/>
      <c r="E91" s="2"/>
      <c r="F91" s="2"/>
      <c r="G91" s="2"/>
      <c r="H91" s="2"/>
      <c r="I91" s="2"/>
      <c r="J91" s="2"/>
      <c r="K91" s="2"/>
      <c r="L91" s="2"/>
      <c r="M91" s="2"/>
      <c r="N91"/>
      <c r="O91" s="2"/>
      <c r="P91" s="2"/>
      <c r="Q91" s="2"/>
      <c r="R91" s="2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 s="286"/>
      <c r="AL91"/>
      <c r="AM91" s="286"/>
      <c r="AN91"/>
      <c r="AO91"/>
      <c r="AP91"/>
      <c r="AQ91"/>
      <c r="AR91"/>
      <c r="AS91"/>
      <c r="AT91"/>
      <c r="AU91"/>
      <c r="AV91"/>
      <c r="AW91"/>
      <c r="AX91"/>
      <c r="AY91" s="286"/>
      <c r="AZ91"/>
      <c r="BA91"/>
      <c r="BB91"/>
      <c r="BC91"/>
      <c r="BD91"/>
      <c r="BE91"/>
      <c r="BF91"/>
      <c r="BG91"/>
      <c r="BH91"/>
      <c r="BI91"/>
      <c r="BJ91"/>
      <c r="BK91" s="286"/>
      <c r="BL91"/>
      <c r="BM91"/>
      <c r="BN91"/>
      <c r="BO91"/>
      <c r="BP91"/>
      <c r="BQ91"/>
      <c r="BR91"/>
      <c r="BS91"/>
      <c r="BT91"/>
      <c r="BU91"/>
      <c r="BV91"/>
      <c r="BW91" s="286"/>
      <c r="BX91"/>
      <c r="BY91"/>
      <c r="BZ91"/>
      <c r="CA91"/>
      <c r="CB91"/>
      <c r="CC91"/>
      <c r="CD91"/>
      <c r="CE91"/>
      <c r="CF91"/>
      <c r="CG91"/>
      <c r="CH91"/>
      <c r="CI91" s="286"/>
      <c r="CJ91"/>
      <c r="CK91"/>
      <c r="CL91"/>
      <c r="CM91"/>
      <c r="CN91"/>
      <c r="CO91"/>
      <c r="CP91"/>
      <c r="CQ91"/>
      <c r="CR91"/>
      <c r="CS91"/>
      <c r="CT91"/>
      <c r="CU91" s="286"/>
      <c r="CV91"/>
      <c r="CW91"/>
      <c r="CX91"/>
      <c r="CY91"/>
      <c r="CZ91"/>
      <c r="DA91"/>
      <c r="DB91"/>
      <c r="DC91"/>
      <c r="DD91"/>
      <c r="DE91"/>
      <c r="DF91"/>
      <c r="DG91"/>
    </row>
    <row r="92" spans="1:111" x14ac:dyDescent="0.3">
      <c r="B92" s="1" t="s">
        <v>14</v>
      </c>
      <c r="C92" s="1"/>
      <c r="D92" s="2"/>
      <c r="E92" s="2"/>
      <c r="F92" s="2"/>
      <c r="G92" s="2"/>
      <c r="H92" s="2"/>
      <c r="I92" s="2"/>
      <c r="J92" s="2"/>
      <c r="K92" s="2"/>
      <c r="L92" s="2"/>
      <c r="M92" s="2"/>
      <c r="O92" s="2"/>
      <c r="P92" s="2"/>
      <c r="Q92" s="2"/>
      <c r="R92" s="2"/>
      <c r="AK92" s="286"/>
    </row>
    <row r="93" spans="1:111" x14ac:dyDescent="0.3">
      <c r="B93" s="1" t="s">
        <v>15</v>
      </c>
      <c r="C93" s="1"/>
      <c r="D93" s="2"/>
      <c r="E93" s="2"/>
      <c r="F93" s="2"/>
      <c r="G93" s="2"/>
      <c r="H93" s="2"/>
      <c r="I93" s="2"/>
      <c r="J93" s="2"/>
      <c r="K93" s="2"/>
      <c r="L93" s="2"/>
      <c r="M93" s="2"/>
      <c r="O93" s="2"/>
      <c r="P93" s="2"/>
      <c r="Q93" s="2"/>
      <c r="R93" s="2"/>
      <c r="AK93" s="286"/>
    </row>
    <row r="94" spans="1:111" s="3" customFormat="1" x14ac:dyDescent="0.3">
      <c r="A94"/>
      <c r="B94" s="1" t="s">
        <v>223</v>
      </c>
      <c r="C94" s="1"/>
      <c r="D94" s="116"/>
      <c r="E94" s="116"/>
      <c r="F94" s="116"/>
      <c r="G94" s="116"/>
      <c r="H94" s="116"/>
      <c r="I94" s="116"/>
      <c r="J94" s="114"/>
      <c r="K94" s="114"/>
      <c r="L94" s="114"/>
      <c r="M94" s="116"/>
      <c r="N94"/>
      <c r="O94"/>
      <c r="P94"/>
      <c r="Q94"/>
      <c r="R94"/>
      <c r="S94"/>
      <c r="T94"/>
      <c r="U94"/>
      <c r="V94" s="114">
        <v>-150</v>
      </c>
      <c r="W94" s="114">
        <v>1450.39</v>
      </c>
      <c r="X94" s="114">
        <v>290.95999999999998</v>
      </c>
      <c r="Y94" s="114">
        <v>531.82000000000005</v>
      </c>
      <c r="Z94" s="114">
        <v>415.12</v>
      </c>
      <c r="AA94" s="114">
        <v>2793.83</v>
      </c>
      <c r="AB94" s="114">
        <v>1017.24</v>
      </c>
      <c r="AC94" s="114">
        <v>1148</v>
      </c>
      <c r="AD94" s="114">
        <v>545.57000000000005</v>
      </c>
      <c r="AE94" s="114">
        <v>769.85</v>
      </c>
      <c r="AF94" s="116">
        <v>971.09</v>
      </c>
      <c r="AG94" s="116">
        <v>2185.46</v>
      </c>
      <c r="AH94" s="116">
        <v>993.03</v>
      </c>
      <c r="AI94" s="116">
        <v>1746.17</v>
      </c>
      <c r="AJ94" s="116">
        <v>252.79</v>
      </c>
      <c r="AK94" s="287">
        <v>775.73</v>
      </c>
      <c r="AL94" s="179">
        <f>+AL97</f>
        <v>888.53038922794315</v>
      </c>
      <c r="AM94" s="488">
        <f t="shared" ref="AM94:CV94" si="311">+AM97</f>
        <v>2182.2172395912257</v>
      </c>
      <c r="AN94" s="389">
        <f t="shared" si="311"/>
        <v>2114.6816072195479</v>
      </c>
      <c r="AO94" s="389">
        <f t="shared" si="311"/>
        <v>1841.6912062470069</v>
      </c>
      <c r="AP94" s="389">
        <f t="shared" si="311"/>
        <v>2764.7093511190319</v>
      </c>
      <c r="AQ94" s="389">
        <f t="shared" si="311"/>
        <v>2240.1331124943104</v>
      </c>
      <c r="AR94" s="389">
        <f t="shared" si="311"/>
        <v>2315.7527813432994</v>
      </c>
      <c r="AS94" s="389">
        <f t="shared" si="311"/>
        <v>4139.4889025687626</v>
      </c>
      <c r="AT94" s="389">
        <f t="shared" si="311"/>
        <v>5658.1481992357494</v>
      </c>
      <c r="AU94" s="389">
        <f t="shared" si="311"/>
        <v>8489.5512451705144</v>
      </c>
      <c r="AV94" s="389">
        <f t="shared" si="311"/>
        <v>11350.098499329448</v>
      </c>
      <c r="AW94" s="389">
        <f t="shared" si="311"/>
        <v>13480.125886044403</v>
      </c>
      <c r="AX94" s="389">
        <f t="shared" si="311"/>
        <v>16474.991652107867</v>
      </c>
      <c r="AY94" s="488">
        <f t="shared" si="311"/>
        <v>21451.557835574571</v>
      </c>
      <c r="AZ94" s="389">
        <f t="shared" si="311"/>
        <v>23205.318086538242</v>
      </c>
      <c r="BA94" s="389">
        <f t="shared" si="311"/>
        <v>25040.049621363054</v>
      </c>
      <c r="BB94" s="389">
        <f t="shared" si="311"/>
        <v>28758.732272542868</v>
      </c>
      <c r="BC94" s="389">
        <f t="shared" si="311"/>
        <v>30239.239104614993</v>
      </c>
      <c r="BD94" s="389">
        <f t="shared" si="311"/>
        <v>31861.202808498485</v>
      </c>
      <c r="BE94" s="389">
        <f t="shared" si="311"/>
        <v>36419.183199634441</v>
      </c>
      <c r="BF94" s="389">
        <f t="shared" si="311"/>
        <v>40475.987925493064</v>
      </c>
      <c r="BG94" s="389">
        <f t="shared" si="311"/>
        <v>45744.482193585383</v>
      </c>
      <c r="BH94" s="389">
        <f t="shared" si="311"/>
        <v>51103.691596015437</v>
      </c>
      <c r="BI94" s="389">
        <f t="shared" si="311"/>
        <v>55098.549319418758</v>
      </c>
      <c r="BJ94" s="389">
        <f t="shared" si="311"/>
        <v>61984.96706675375</v>
      </c>
      <c r="BK94" s="488">
        <f t="shared" si="311"/>
        <v>69925.682730466448</v>
      </c>
      <c r="BL94" s="389">
        <f t="shared" si="311"/>
        <v>73435.366852709587</v>
      </c>
      <c r="BM94" s="389">
        <f t="shared" si="311"/>
        <v>77573.649025594481</v>
      </c>
      <c r="BN94" s="389">
        <f t="shared" si="311"/>
        <v>84560.527230167136</v>
      </c>
      <c r="BO94" s="389">
        <f t="shared" si="311"/>
        <v>88171.611814390693</v>
      </c>
      <c r="BP94" s="389">
        <f t="shared" si="311"/>
        <v>91850.327012231035</v>
      </c>
      <c r="BQ94" s="389">
        <f t="shared" si="311"/>
        <v>99009.836520918892</v>
      </c>
      <c r="BR94" s="389">
        <f t="shared" si="311"/>
        <v>104930.72990276429</v>
      </c>
      <c r="BS94" s="389">
        <f t="shared" si="311"/>
        <v>112856.25346863993</v>
      </c>
      <c r="BT94" s="389">
        <f t="shared" si="311"/>
        <v>120444.54225368015</v>
      </c>
      <c r="BU94" s="389">
        <f t="shared" si="311"/>
        <v>126327.35599594803</v>
      </c>
      <c r="BV94" s="389">
        <f t="shared" si="311"/>
        <v>135930.47184467959</v>
      </c>
      <c r="BW94" s="488">
        <f t="shared" si="311"/>
        <v>146503.75262186344</v>
      </c>
      <c r="BX94" s="389">
        <f t="shared" si="311"/>
        <v>152433.61940587696</v>
      </c>
      <c r="BY94" s="389">
        <f t="shared" si="311"/>
        <v>159884.16415810995</v>
      </c>
      <c r="BZ94" s="389">
        <f t="shared" si="311"/>
        <v>169130.96817774026</v>
      </c>
      <c r="CA94" s="389">
        <f t="shared" si="311"/>
        <v>173976.76042290195</v>
      </c>
      <c r="CB94" s="389">
        <f t="shared" si="311"/>
        <v>181161.16319420366</v>
      </c>
      <c r="CC94" s="389">
        <f t="shared" si="311"/>
        <v>190341.71245245868</v>
      </c>
      <c r="CD94" s="389">
        <f t="shared" si="311"/>
        <v>198106.13685587959</v>
      </c>
      <c r="CE94" s="389">
        <f t="shared" si="311"/>
        <v>208726.83460328574</v>
      </c>
      <c r="CF94" s="389">
        <f t="shared" si="311"/>
        <v>218006.27706095975</v>
      </c>
      <c r="CG94" s="389">
        <f t="shared" si="311"/>
        <v>226560.63994246835</v>
      </c>
      <c r="CH94" s="389">
        <f t="shared" si="311"/>
        <v>238808.47606574526</v>
      </c>
      <c r="CI94" s="488">
        <f t="shared" si="311"/>
        <v>251045.02489036223</v>
      </c>
      <c r="CJ94" s="389">
        <f t="shared" si="311"/>
        <v>260364.88202626191</v>
      </c>
      <c r="CK94" s="389">
        <f t="shared" si="311"/>
        <v>269480.8569738816</v>
      </c>
      <c r="CL94" s="389">
        <f t="shared" si="311"/>
        <v>280573.62146633695</v>
      </c>
      <c r="CM94" s="389">
        <f t="shared" si="311"/>
        <v>288534.77587046154</v>
      </c>
      <c r="CN94" s="389">
        <f t="shared" si="311"/>
        <v>297867.64591210842</v>
      </c>
      <c r="CO94" s="389">
        <f t="shared" si="311"/>
        <v>308716.32098949124</v>
      </c>
      <c r="CP94" s="389">
        <f t="shared" si="311"/>
        <v>318827.03196550877</v>
      </c>
      <c r="CQ94" s="389">
        <f t="shared" si="311"/>
        <v>331942.35839150741</v>
      </c>
      <c r="CR94" s="389">
        <f t="shared" si="311"/>
        <v>342822.94983478833</v>
      </c>
      <c r="CS94" s="389">
        <f t="shared" si="311"/>
        <v>353973.56324174884</v>
      </c>
      <c r="CT94" s="389">
        <f t="shared" si="311"/>
        <v>369117.20648776769</v>
      </c>
      <c r="CU94" s="488">
        <f t="shared" si="311"/>
        <v>384301.35528254969</v>
      </c>
      <c r="CV94" s="389">
        <f t="shared" si="311"/>
        <v>395922.22770624323</v>
      </c>
      <c r="CW94" s="389">
        <f t="shared" ref="CW94:DG94" si="312">+CW97</f>
        <v>407282.89547444193</v>
      </c>
      <c r="CX94" s="389">
        <f t="shared" si="312"/>
        <v>420321.02403496212</v>
      </c>
      <c r="CY94" s="389">
        <f t="shared" si="312"/>
        <v>430923.55793947825</v>
      </c>
      <c r="CZ94" s="389">
        <f t="shared" si="312"/>
        <v>442473.25382622628</v>
      </c>
      <c r="DA94" s="389">
        <f t="shared" si="312"/>
        <v>455060.09861842176</v>
      </c>
      <c r="DB94" s="389">
        <f t="shared" si="312"/>
        <v>468032.83547246945</v>
      </c>
      <c r="DC94" s="389">
        <f t="shared" si="312"/>
        <v>483271.7901688522</v>
      </c>
      <c r="DD94" s="389">
        <f t="shared" si="312"/>
        <v>497308.30311433086</v>
      </c>
      <c r="DE94" s="389">
        <f t="shared" si="312"/>
        <v>510964.51399873866</v>
      </c>
      <c r="DF94" s="389">
        <f t="shared" si="312"/>
        <v>528545.13207985181</v>
      </c>
      <c r="DG94" s="389">
        <f t="shared" si="312"/>
        <v>548040.63767651457</v>
      </c>
    </row>
    <row r="95" spans="1:111" x14ac:dyDescent="0.3">
      <c r="B95" s="1" t="s">
        <v>224</v>
      </c>
      <c r="C95" s="1"/>
      <c r="D95" s="116"/>
      <c r="E95" s="116"/>
      <c r="F95" s="116"/>
      <c r="G95" s="116"/>
      <c r="H95" s="116"/>
      <c r="I95" s="116"/>
      <c r="J95" s="114"/>
      <c r="K95" s="114"/>
      <c r="L95" s="114"/>
      <c r="M95" s="116"/>
      <c r="V95" s="114">
        <v>150.07</v>
      </c>
      <c r="W95" s="114">
        <v>7.0000000000000007E-2</v>
      </c>
      <c r="X95" s="114">
        <v>7.0000000000000007E-2</v>
      </c>
      <c r="Y95" s="114">
        <v>7.0000000000000007E-2</v>
      </c>
      <c r="Z95" s="114">
        <v>5.21</v>
      </c>
      <c r="AA95" s="114">
        <v>5.14</v>
      </c>
      <c r="AB95" s="114">
        <v>5.14</v>
      </c>
      <c r="AC95" s="114">
        <v>5.14</v>
      </c>
      <c r="AD95" s="114">
        <v>5</v>
      </c>
      <c r="AE95" s="114">
        <v>5</v>
      </c>
      <c r="AF95" s="116">
        <v>243.09</v>
      </c>
      <c r="AG95" s="116">
        <v>5</v>
      </c>
      <c r="AH95" s="116">
        <v>5</v>
      </c>
      <c r="AI95" s="116">
        <v>5</v>
      </c>
      <c r="AJ95" s="116">
        <v>5</v>
      </c>
      <c r="AK95" s="287">
        <v>5</v>
      </c>
      <c r="AL95" s="179">
        <f>+AK95+((AK94+AL140)*0.35)</f>
        <v>483.43944035350779</v>
      </c>
      <c r="AM95" s="488">
        <f t="shared" ref="AM95:CV95" si="313">+AL95+((AL94+AM140)*0.35)</f>
        <v>1489.2756883173631</v>
      </c>
      <c r="AN95" s="389">
        <f t="shared" si="313"/>
        <v>2216.6863816664654</v>
      </c>
      <c r="AO95" s="389">
        <f t="shared" si="313"/>
        <v>2809.8301129004003</v>
      </c>
      <c r="AP95" s="389">
        <f t="shared" si="313"/>
        <v>3951.4318054025589</v>
      </c>
      <c r="AQ95" s="389">
        <f t="shared" si="313"/>
        <v>4636.6159498039851</v>
      </c>
      <c r="AR95" s="389">
        <f t="shared" si="313"/>
        <v>5461.3808224033728</v>
      </c>
      <c r="AS95" s="389">
        <f t="shared" si="313"/>
        <v>7253.9060534564687</v>
      </c>
      <c r="AT95" s="389">
        <f t="shared" si="313"/>
        <v>9520.4667906377599</v>
      </c>
      <c r="AU95" s="389">
        <f t="shared" si="313"/>
        <v>13025.420300488991</v>
      </c>
      <c r="AV95" s="389">
        <f t="shared" si="313"/>
        <v>17537.057911615018</v>
      </c>
      <c r="AW95" s="389">
        <f t="shared" si="313"/>
        <v>22656.530209996072</v>
      </c>
      <c r="AX95" s="389">
        <f t="shared" si="313"/>
        <v>28987.194297991937</v>
      </c>
      <c r="AY95" s="488">
        <f t="shared" si="313"/>
        <v>37433.130859634839</v>
      </c>
      <c r="AZ95" s="389">
        <f t="shared" si="313"/>
        <v>45885.508544912533</v>
      </c>
      <c r="BA95" s="389">
        <f t="shared" si="313"/>
        <v>54995.302240106583</v>
      </c>
      <c r="BB95" s="389">
        <f t="shared" si="313"/>
        <v>65761.687188988173</v>
      </c>
      <c r="BC95" s="389">
        <f t="shared" si="313"/>
        <v>76624.439470878555</v>
      </c>
      <c r="BD95" s="389">
        <f t="shared" si="313"/>
        <v>88081.538228815683</v>
      </c>
      <c r="BE95" s="389">
        <f t="shared" si="313"/>
        <v>101687.25634547875</v>
      </c>
      <c r="BF95" s="389">
        <f t="shared" si="313"/>
        <v>116618.40377927467</v>
      </c>
      <c r="BG95" s="389">
        <f t="shared" si="313"/>
        <v>133621.88108217003</v>
      </c>
      <c r="BH95" s="389">
        <f t="shared" si="313"/>
        <v>152518.17798969496</v>
      </c>
      <c r="BI95" s="389">
        <f t="shared" si="313"/>
        <v>172555.54728397907</v>
      </c>
      <c r="BJ95" s="389">
        <f t="shared" si="313"/>
        <v>195548.11064049447</v>
      </c>
      <c r="BK95" s="488">
        <f t="shared" si="313"/>
        <v>221518.61908662666</v>
      </c>
      <c r="BL95" s="389">
        <f t="shared" si="313"/>
        <v>247882.43795426699</v>
      </c>
      <c r="BM95" s="389">
        <f t="shared" si="313"/>
        <v>275813.12213811488</v>
      </c>
      <c r="BN95" s="389">
        <f t="shared" si="313"/>
        <v>306726.0644841505</v>
      </c>
      <c r="BO95" s="389">
        <f t="shared" si="313"/>
        <v>338266.67917544476</v>
      </c>
      <c r="BP95" s="389">
        <f t="shared" si="313"/>
        <v>371107.58995547245</v>
      </c>
      <c r="BQ95" s="389">
        <f t="shared" si="313"/>
        <v>407110.32491443137</v>
      </c>
      <c r="BR95" s="389">
        <f t="shared" si="313"/>
        <v>444951.94105620822</v>
      </c>
      <c r="BS95" s="389">
        <f t="shared" si="313"/>
        <v>485945.28613457031</v>
      </c>
      <c r="BT95" s="389">
        <f t="shared" si="313"/>
        <v>529530.97650207742</v>
      </c>
      <c r="BU95" s="389">
        <f t="shared" si="313"/>
        <v>574854.23522900976</v>
      </c>
      <c r="BV95" s="389">
        <f t="shared" si="313"/>
        <v>624239.71836152393</v>
      </c>
      <c r="BW95" s="488">
        <f t="shared" si="313"/>
        <v>677508.68854103005</v>
      </c>
      <c r="BX95" s="389">
        <f t="shared" si="313"/>
        <v>731978.00715007412</v>
      </c>
      <c r="BY95" s="389">
        <f t="shared" si="313"/>
        <v>789341.60573179496</v>
      </c>
      <c r="BZ95" s="389">
        <f t="shared" si="313"/>
        <v>850280.11150539597</v>
      </c>
      <c r="CA95" s="389">
        <f t="shared" si="313"/>
        <v>912085.22311499983</v>
      </c>
      <c r="CB95" s="389">
        <f t="shared" si="313"/>
        <v>976845.61383217794</v>
      </c>
      <c r="CC95" s="389">
        <f t="shared" si="313"/>
        <v>1045195.3936276712</v>
      </c>
      <c r="CD95" s="389">
        <f t="shared" si="313"/>
        <v>1115995.836895566</v>
      </c>
      <c r="CE95" s="389">
        <f t="shared" si="313"/>
        <v>1191051.8220437272</v>
      </c>
      <c r="CF95" s="389">
        <f t="shared" si="313"/>
        <v>1269102.8370167017</v>
      </c>
      <c r="CG95" s="389">
        <f t="shared" si="313"/>
        <v>1350011.229385773</v>
      </c>
      <c r="CH95" s="389">
        <f t="shared" si="313"/>
        <v>1435902.4420474013</v>
      </c>
      <c r="CI95" s="488">
        <f t="shared" si="313"/>
        <v>1526074.3195759752</v>
      </c>
      <c r="CJ95" s="389">
        <f t="shared" si="313"/>
        <v>1618958.4628992402</v>
      </c>
      <c r="CK95" s="389">
        <f t="shared" si="313"/>
        <v>1714994.773503304</v>
      </c>
      <c r="CL95" s="389">
        <f t="shared" si="313"/>
        <v>1815286.1004785616</v>
      </c>
      <c r="CM95" s="389">
        <f t="shared" si="313"/>
        <v>1917773.6434401544</v>
      </c>
      <c r="CN95" s="389">
        <f t="shared" si="313"/>
        <v>2023786.2065557027</v>
      </c>
      <c r="CO95" s="389">
        <f t="shared" si="313"/>
        <v>2133881.4768973775</v>
      </c>
      <c r="CP95" s="389">
        <f t="shared" si="313"/>
        <v>2247376.418230786</v>
      </c>
      <c r="CQ95" s="389">
        <f t="shared" si="313"/>
        <v>2366027.9782634825</v>
      </c>
      <c r="CR95" s="389">
        <f t="shared" si="313"/>
        <v>2488066.5837084306</v>
      </c>
      <c r="CS95" s="389">
        <f t="shared" si="313"/>
        <v>2614058.7926005083</v>
      </c>
      <c r="CT95" s="389">
        <f t="shared" si="313"/>
        <v>2746103.8091752846</v>
      </c>
      <c r="CU95" s="488">
        <f t="shared" si="313"/>
        <v>2883470.9115662705</v>
      </c>
      <c r="CV95" s="389">
        <f t="shared" si="313"/>
        <v>3024233.7787586902</v>
      </c>
      <c r="CW95" s="389">
        <f t="shared" ref="CW95:DG95" si="314">+CV95+((CV94+CW140)*0.35)</f>
        <v>3168923.84110029</v>
      </c>
      <c r="CX95" s="389">
        <f t="shared" si="314"/>
        <v>3318493.3852797016</v>
      </c>
      <c r="CY95" s="389">
        <f t="shared" si="314"/>
        <v>3471314.8004097547</v>
      </c>
      <c r="CZ95" s="389">
        <f t="shared" si="314"/>
        <v>3628357.1127045136</v>
      </c>
      <c r="DA95" s="389">
        <f t="shared" si="314"/>
        <v>3790000.2833548752</v>
      </c>
      <c r="DB95" s="389">
        <f t="shared" si="314"/>
        <v>3956256.63771581</v>
      </c>
      <c r="DC95" s="389">
        <f t="shared" si="314"/>
        <v>4128273.7211215342</v>
      </c>
      <c r="DD95" s="389">
        <f t="shared" si="314"/>
        <v>4304976.9700358901</v>
      </c>
      <c r="DE95" s="389">
        <f t="shared" si="314"/>
        <v>4486388.2204482798</v>
      </c>
      <c r="DF95" s="389">
        <f t="shared" si="314"/>
        <v>4674692.2870068988</v>
      </c>
      <c r="DG95" s="389">
        <f t="shared" si="314"/>
        <v>4870180.6631715111</v>
      </c>
    </row>
    <row r="96" spans="1:111" x14ac:dyDescent="0.3">
      <c r="A96" s="3"/>
      <c r="B96" s="4" t="s">
        <v>16</v>
      </c>
      <c r="C96" s="4"/>
      <c r="D96" s="56">
        <f>(((D94)+(D95)))</f>
        <v>0</v>
      </c>
      <c r="E96" s="56">
        <v>0</v>
      </c>
      <c r="F96" s="56">
        <v>0</v>
      </c>
      <c r="G96" s="56">
        <v>0</v>
      </c>
      <c r="H96" s="56">
        <v>0</v>
      </c>
      <c r="I96" s="56">
        <v>0</v>
      </c>
      <c r="J96" s="56">
        <f t="shared" ref="J96:AA96" si="315">SUM(J94:J95)</f>
        <v>0</v>
      </c>
      <c r="K96" s="56">
        <f t="shared" si="315"/>
        <v>0</v>
      </c>
      <c r="L96" s="56">
        <f t="shared" si="315"/>
        <v>0</v>
      </c>
      <c r="M96" s="56">
        <f t="shared" si="315"/>
        <v>0</v>
      </c>
      <c r="N96" s="56">
        <f t="shared" si="315"/>
        <v>0</v>
      </c>
      <c r="O96" s="56">
        <f t="shared" si="315"/>
        <v>0</v>
      </c>
      <c r="P96" s="56">
        <f t="shared" si="315"/>
        <v>0</v>
      </c>
      <c r="Q96" s="56">
        <f t="shared" si="315"/>
        <v>0</v>
      </c>
      <c r="R96" s="56">
        <f t="shared" si="315"/>
        <v>0</v>
      </c>
      <c r="S96" s="56">
        <f t="shared" si="315"/>
        <v>0</v>
      </c>
      <c r="T96" s="56">
        <f t="shared" si="315"/>
        <v>0</v>
      </c>
      <c r="U96" s="56">
        <f t="shared" si="315"/>
        <v>0</v>
      </c>
      <c r="V96" s="56">
        <f t="shared" si="315"/>
        <v>6.9999999999993179E-2</v>
      </c>
      <c r="W96" s="56">
        <f t="shared" si="315"/>
        <v>1450.46</v>
      </c>
      <c r="X96" s="56">
        <f t="shared" si="315"/>
        <v>291.02999999999997</v>
      </c>
      <c r="Y96" s="56">
        <f t="shared" si="315"/>
        <v>531.8900000000001</v>
      </c>
      <c r="Z96" s="56">
        <f t="shared" si="315"/>
        <v>420.33</v>
      </c>
      <c r="AA96" s="56">
        <f t="shared" si="315"/>
        <v>2798.97</v>
      </c>
      <c r="AB96" s="56">
        <f t="shared" ref="AB96:AG96" si="316">SUM(AB94:AB95)</f>
        <v>1022.38</v>
      </c>
      <c r="AC96" s="56">
        <f t="shared" si="316"/>
        <v>1153.1400000000001</v>
      </c>
      <c r="AD96" s="56">
        <f t="shared" si="316"/>
        <v>550.57000000000005</v>
      </c>
      <c r="AE96" s="56">
        <f t="shared" si="316"/>
        <v>774.85</v>
      </c>
      <c r="AF96" s="56">
        <f t="shared" si="316"/>
        <v>1214.18</v>
      </c>
      <c r="AG96" s="56">
        <f t="shared" si="316"/>
        <v>2190.46</v>
      </c>
      <c r="AH96" s="56">
        <f>SUM(AH94:AH95)</f>
        <v>998.03</v>
      </c>
      <c r="AI96" s="56">
        <f>SUM(AI94:AI95)</f>
        <v>1751.17</v>
      </c>
      <c r="AJ96" s="56">
        <f>SUM(AJ94:AJ95)</f>
        <v>257.78999999999996</v>
      </c>
      <c r="AK96" s="288">
        <f>SUM(AK94:AK95)</f>
        <v>780.73</v>
      </c>
      <c r="AL96" s="10">
        <f>SUM(AL94:AL95)</f>
        <v>1371.969829581451</v>
      </c>
      <c r="AM96" s="296">
        <f t="shared" ref="AM96:BL96" si="317">AL96+AM140</f>
        <v>3357.257291678809</v>
      </c>
      <c r="AN96" s="10">
        <f t="shared" si="317"/>
        <v>3253.3563187993045</v>
      </c>
      <c r="AO96" s="10">
        <f t="shared" si="317"/>
        <v>2833.3710865338567</v>
      </c>
      <c r="AP96" s="10">
        <f t="shared" si="317"/>
        <v>4253.3990017215874</v>
      </c>
      <c r="AQ96" s="10">
        <f t="shared" si="317"/>
        <v>3446.3586346066313</v>
      </c>
      <c r="AR96" s="10">
        <f t="shared" si="317"/>
        <v>3562.6965866819992</v>
      </c>
      <c r="AS96" s="10">
        <f t="shared" si="317"/>
        <v>6368.4444654904037</v>
      </c>
      <c r="AT96" s="10">
        <f t="shared" si="317"/>
        <v>8704.8433834396146</v>
      </c>
      <c r="AU96" s="10">
        <f t="shared" si="317"/>
        <v>13060.848069493099</v>
      </c>
      <c r="AV96" s="10">
        <f t="shared" si="317"/>
        <v>17461.689998968381</v>
      </c>
      <c r="AW96" s="10">
        <f t="shared" si="317"/>
        <v>20738.655209299082</v>
      </c>
      <c r="AX96" s="10">
        <f t="shared" si="317"/>
        <v>25346.141003242868</v>
      </c>
      <c r="AY96" s="296">
        <f t="shared" si="317"/>
        <v>33002.396670114722</v>
      </c>
      <c r="AZ96" s="10">
        <f t="shared" si="317"/>
        <v>35700.489363904984</v>
      </c>
      <c r="BA96" s="10">
        <f t="shared" si="317"/>
        <v>38523.153263635468</v>
      </c>
      <c r="BB96" s="10">
        <f t="shared" si="317"/>
        <v>44244.203496219794</v>
      </c>
      <c r="BC96" s="10">
        <f t="shared" si="317"/>
        <v>46521.906314792293</v>
      </c>
      <c r="BD96" s="10">
        <f t="shared" si="317"/>
        <v>49017.235089997666</v>
      </c>
      <c r="BE96" s="10">
        <f t="shared" si="317"/>
        <v>56029.512614822219</v>
      </c>
      <c r="BF96" s="10">
        <f t="shared" si="317"/>
        <v>62270.750654604715</v>
      </c>
      <c r="BG96" s="10">
        <f t="shared" si="317"/>
        <v>70376.126451669814</v>
      </c>
      <c r="BH96" s="10">
        <f t="shared" si="317"/>
        <v>78621.063993869902</v>
      </c>
      <c r="BI96" s="10">
        <f t="shared" si="317"/>
        <v>84766.998952951937</v>
      </c>
      <c r="BJ96" s="10">
        <f t="shared" si="317"/>
        <v>95361.487795005771</v>
      </c>
      <c r="BK96" s="296">
        <f t="shared" si="317"/>
        <v>107577.97343148684</v>
      </c>
      <c r="BL96" s="10">
        <f t="shared" si="317"/>
        <v>112977.48746570706</v>
      </c>
      <c r="BM96" s="10">
        <f t="shared" ref="BM96:CR96" si="318">BL96+BM140</f>
        <v>119344.07542399151</v>
      </c>
      <c r="BN96" s="10">
        <f t="shared" si="318"/>
        <v>130093.11881564175</v>
      </c>
      <c r="BO96" s="10">
        <f t="shared" si="318"/>
        <v>135648.63356060107</v>
      </c>
      <c r="BP96" s="10">
        <f t="shared" si="318"/>
        <v>141308.19540343236</v>
      </c>
      <c r="BQ96" s="10">
        <f t="shared" si="318"/>
        <v>152322.8254167983</v>
      </c>
      <c r="BR96" s="10">
        <f t="shared" si="318"/>
        <v>161431.8921580989</v>
      </c>
      <c r="BS96" s="10">
        <f t="shared" si="318"/>
        <v>173625.00533636913</v>
      </c>
      <c r="BT96" s="10">
        <f t="shared" si="318"/>
        <v>185299.29577489253</v>
      </c>
      <c r="BU96" s="10">
        <f t="shared" si="318"/>
        <v>194349.77845530465</v>
      </c>
      <c r="BV96" s="10">
        <f t="shared" si="318"/>
        <v>209123.80283796857</v>
      </c>
      <c r="BW96" s="296">
        <f t="shared" si="318"/>
        <v>225390.38864902066</v>
      </c>
      <c r="BX96" s="10">
        <f t="shared" si="318"/>
        <v>234513.26062442607</v>
      </c>
      <c r="BY96" s="10">
        <f t="shared" si="318"/>
        <v>245975.63716632299</v>
      </c>
      <c r="BZ96" s="10">
        <f t="shared" si="318"/>
        <v>260201.48950421577</v>
      </c>
      <c r="CA96" s="10">
        <f t="shared" si="318"/>
        <v>267656.55449677224</v>
      </c>
      <c r="CB96" s="10">
        <f t="shared" si="318"/>
        <v>278709.48183723638</v>
      </c>
      <c r="CC96" s="10">
        <f t="shared" si="318"/>
        <v>292833.40377301333</v>
      </c>
      <c r="CD96" s="10">
        <f t="shared" si="318"/>
        <v>304778.6720859686</v>
      </c>
      <c r="CE96" s="10">
        <f t="shared" si="318"/>
        <v>321118.20708197803</v>
      </c>
      <c r="CF96" s="10">
        <f t="shared" si="318"/>
        <v>335394.27240147651</v>
      </c>
      <c r="CG96" s="10">
        <f t="shared" si="318"/>
        <v>348554.83068072051</v>
      </c>
      <c r="CH96" s="10">
        <f t="shared" si="318"/>
        <v>367397.65548576193</v>
      </c>
      <c r="CI96" s="296">
        <f t="shared" si="318"/>
        <v>386223.11521594186</v>
      </c>
      <c r="CJ96" s="10">
        <f t="shared" si="318"/>
        <v>400561.35696347983</v>
      </c>
      <c r="CK96" s="10">
        <f t="shared" si="318"/>
        <v>414585.93380597164</v>
      </c>
      <c r="CL96" s="10">
        <f t="shared" si="318"/>
        <v>431651.72533282608</v>
      </c>
      <c r="CM96" s="10">
        <f t="shared" si="318"/>
        <v>443899.65518532542</v>
      </c>
      <c r="CN96" s="10">
        <f t="shared" si="318"/>
        <v>458257.91678785905</v>
      </c>
      <c r="CO96" s="10">
        <f t="shared" si="318"/>
        <v>474948.1861376788</v>
      </c>
      <c r="CP96" s="10">
        <f t="shared" si="318"/>
        <v>490503.12610078271</v>
      </c>
      <c r="CQ96" s="10">
        <f t="shared" si="318"/>
        <v>510680.55137154984</v>
      </c>
      <c r="CR96" s="10">
        <f t="shared" si="318"/>
        <v>527419.92282275122</v>
      </c>
      <c r="CS96" s="10">
        <f t="shared" ref="CS96:DG96" si="319">CR96+CS140</f>
        <v>544574.71267961361</v>
      </c>
      <c r="CT96" s="10">
        <f t="shared" si="319"/>
        <v>567872.62536579638</v>
      </c>
      <c r="CU96" s="296">
        <f t="shared" si="319"/>
        <v>591232.85428084561</v>
      </c>
      <c r="CV96" s="10">
        <f t="shared" si="319"/>
        <v>609111.11954806652</v>
      </c>
      <c r="CW96" s="10">
        <f t="shared" si="319"/>
        <v>626589.06996067986</v>
      </c>
      <c r="CX96" s="10">
        <f t="shared" si="319"/>
        <v>646647.72928455705</v>
      </c>
      <c r="CY96" s="10">
        <f t="shared" si="319"/>
        <v>662959.31990688958</v>
      </c>
      <c r="CZ96" s="10">
        <f t="shared" si="319"/>
        <v>680728.08280957886</v>
      </c>
      <c r="DA96" s="10">
        <f t="shared" si="319"/>
        <v>700092.45941295649</v>
      </c>
      <c r="DB96" s="10">
        <f t="shared" si="319"/>
        <v>720050.51611149148</v>
      </c>
      <c r="DC96" s="10">
        <f t="shared" si="319"/>
        <v>743495.06179823412</v>
      </c>
      <c r="DD96" s="10">
        <f t="shared" si="319"/>
        <v>765089.69709897053</v>
      </c>
      <c r="DE96" s="10">
        <f t="shared" si="319"/>
        <v>786099.25230575178</v>
      </c>
      <c r="DF96" s="10">
        <f t="shared" si="319"/>
        <v>813146.3570459258</v>
      </c>
      <c r="DG96" s="10">
        <f t="shared" si="319"/>
        <v>843139.44257925311</v>
      </c>
    </row>
    <row r="97" spans="1:111" s="177" customFormat="1" x14ac:dyDescent="0.3">
      <c r="B97" s="321"/>
      <c r="C97" s="321" t="s">
        <v>328</v>
      </c>
      <c r="D97" s="322"/>
      <c r="E97" s="322"/>
      <c r="F97" s="322"/>
      <c r="G97" s="322"/>
      <c r="H97" s="322"/>
      <c r="I97" s="322"/>
      <c r="J97" s="322"/>
      <c r="K97" s="322"/>
      <c r="L97" s="322"/>
      <c r="M97" s="322"/>
      <c r="N97" s="322"/>
      <c r="O97" s="322"/>
      <c r="P97" s="322"/>
      <c r="Q97" s="322"/>
      <c r="R97" s="322"/>
      <c r="S97" s="322"/>
      <c r="T97" s="322"/>
      <c r="U97" s="322"/>
      <c r="V97" s="322"/>
      <c r="W97" s="322"/>
      <c r="X97" s="322"/>
      <c r="Y97" s="322"/>
      <c r="Z97" s="322"/>
      <c r="AA97" s="322"/>
      <c r="AB97" s="322">
        <f t="shared" ref="AB97:AG97" si="320">+AB96*0.65</f>
        <v>664.54700000000003</v>
      </c>
      <c r="AC97" s="322">
        <f t="shared" si="320"/>
        <v>749.54100000000005</v>
      </c>
      <c r="AD97" s="322">
        <f t="shared" si="320"/>
        <v>357.87050000000005</v>
      </c>
      <c r="AE97" s="322">
        <f t="shared" si="320"/>
        <v>503.65250000000003</v>
      </c>
      <c r="AF97" s="322">
        <f t="shared" si="320"/>
        <v>789.2170000000001</v>
      </c>
      <c r="AG97" s="322">
        <f t="shared" si="320"/>
        <v>1423.799</v>
      </c>
      <c r="AH97" s="322">
        <f>+AH96*0.65</f>
        <v>648.71950000000004</v>
      </c>
      <c r="AI97" s="322">
        <f>+AI96*0.65</f>
        <v>1138.2605000000001</v>
      </c>
      <c r="AJ97" s="322">
        <f>+AJ96*0.65</f>
        <v>167.56349999999998</v>
      </c>
      <c r="AK97" s="323">
        <f>+AK96*0.65</f>
        <v>507.47450000000003</v>
      </c>
      <c r="AL97" s="325">
        <f>(AL140+AK94)*0.65</f>
        <v>888.53038922794315</v>
      </c>
      <c r="AM97" s="326">
        <f t="shared" ref="AM97:CT97" si="321">+AM96*0.65</f>
        <v>2182.2172395912257</v>
      </c>
      <c r="AN97" s="325">
        <f t="shared" si="321"/>
        <v>2114.6816072195479</v>
      </c>
      <c r="AO97" s="325">
        <f t="shared" si="321"/>
        <v>1841.6912062470069</v>
      </c>
      <c r="AP97" s="325">
        <f t="shared" si="321"/>
        <v>2764.7093511190319</v>
      </c>
      <c r="AQ97" s="325">
        <f t="shared" si="321"/>
        <v>2240.1331124943104</v>
      </c>
      <c r="AR97" s="325">
        <f t="shared" si="321"/>
        <v>2315.7527813432994</v>
      </c>
      <c r="AS97" s="325">
        <f t="shared" si="321"/>
        <v>4139.4889025687626</v>
      </c>
      <c r="AT97" s="325">
        <f t="shared" si="321"/>
        <v>5658.1481992357494</v>
      </c>
      <c r="AU97" s="325">
        <f t="shared" si="321"/>
        <v>8489.5512451705144</v>
      </c>
      <c r="AV97" s="325">
        <f t="shared" si="321"/>
        <v>11350.098499329448</v>
      </c>
      <c r="AW97" s="325">
        <f t="shared" si="321"/>
        <v>13480.125886044403</v>
      </c>
      <c r="AX97" s="325">
        <f t="shared" si="321"/>
        <v>16474.991652107867</v>
      </c>
      <c r="AY97" s="326">
        <f t="shared" si="321"/>
        <v>21451.557835574571</v>
      </c>
      <c r="AZ97" s="325">
        <f t="shared" si="321"/>
        <v>23205.318086538242</v>
      </c>
      <c r="BA97" s="325">
        <f t="shared" si="321"/>
        <v>25040.049621363054</v>
      </c>
      <c r="BB97" s="325">
        <f t="shared" si="321"/>
        <v>28758.732272542868</v>
      </c>
      <c r="BC97" s="325">
        <f t="shared" si="321"/>
        <v>30239.239104614993</v>
      </c>
      <c r="BD97" s="325">
        <f t="shared" si="321"/>
        <v>31861.202808498485</v>
      </c>
      <c r="BE97" s="325">
        <f t="shared" si="321"/>
        <v>36419.183199634441</v>
      </c>
      <c r="BF97" s="325">
        <f t="shared" si="321"/>
        <v>40475.987925493064</v>
      </c>
      <c r="BG97" s="325">
        <f t="shared" si="321"/>
        <v>45744.482193585383</v>
      </c>
      <c r="BH97" s="325">
        <f t="shared" si="321"/>
        <v>51103.691596015437</v>
      </c>
      <c r="BI97" s="325">
        <f t="shared" si="321"/>
        <v>55098.549319418758</v>
      </c>
      <c r="BJ97" s="325">
        <f t="shared" si="321"/>
        <v>61984.96706675375</v>
      </c>
      <c r="BK97" s="326">
        <f t="shared" si="321"/>
        <v>69925.682730466448</v>
      </c>
      <c r="BL97" s="325">
        <f t="shared" si="321"/>
        <v>73435.366852709587</v>
      </c>
      <c r="BM97" s="325">
        <f t="shared" si="321"/>
        <v>77573.649025594481</v>
      </c>
      <c r="BN97" s="325">
        <f t="shared" si="321"/>
        <v>84560.527230167136</v>
      </c>
      <c r="BO97" s="325">
        <f t="shared" si="321"/>
        <v>88171.611814390693</v>
      </c>
      <c r="BP97" s="325">
        <f t="shared" si="321"/>
        <v>91850.327012231035</v>
      </c>
      <c r="BQ97" s="325">
        <f t="shared" si="321"/>
        <v>99009.836520918892</v>
      </c>
      <c r="BR97" s="325">
        <f t="shared" si="321"/>
        <v>104930.72990276429</v>
      </c>
      <c r="BS97" s="325">
        <f t="shared" si="321"/>
        <v>112856.25346863993</v>
      </c>
      <c r="BT97" s="325">
        <f t="shared" si="321"/>
        <v>120444.54225368015</v>
      </c>
      <c r="BU97" s="325">
        <f t="shared" si="321"/>
        <v>126327.35599594803</v>
      </c>
      <c r="BV97" s="325">
        <f t="shared" si="321"/>
        <v>135930.47184467959</v>
      </c>
      <c r="BW97" s="326">
        <f t="shared" si="321"/>
        <v>146503.75262186344</v>
      </c>
      <c r="BX97" s="325">
        <f t="shared" si="321"/>
        <v>152433.61940587696</v>
      </c>
      <c r="BY97" s="325">
        <f t="shared" si="321"/>
        <v>159884.16415810995</v>
      </c>
      <c r="BZ97" s="325">
        <f t="shared" si="321"/>
        <v>169130.96817774026</v>
      </c>
      <c r="CA97" s="325">
        <f t="shared" si="321"/>
        <v>173976.76042290195</v>
      </c>
      <c r="CB97" s="325">
        <f t="shared" si="321"/>
        <v>181161.16319420366</v>
      </c>
      <c r="CC97" s="325">
        <f t="shared" si="321"/>
        <v>190341.71245245868</v>
      </c>
      <c r="CD97" s="325">
        <f t="shared" si="321"/>
        <v>198106.13685587959</v>
      </c>
      <c r="CE97" s="325">
        <f t="shared" si="321"/>
        <v>208726.83460328574</v>
      </c>
      <c r="CF97" s="325">
        <f t="shared" si="321"/>
        <v>218006.27706095975</v>
      </c>
      <c r="CG97" s="325">
        <f t="shared" si="321"/>
        <v>226560.63994246835</v>
      </c>
      <c r="CH97" s="325">
        <f t="shared" si="321"/>
        <v>238808.47606574526</v>
      </c>
      <c r="CI97" s="326">
        <f t="shared" si="321"/>
        <v>251045.02489036223</v>
      </c>
      <c r="CJ97" s="325">
        <f t="shared" si="321"/>
        <v>260364.88202626191</v>
      </c>
      <c r="CK97" s="325">
        <f t="shared" si="321"/>
        <v>269480.8569738816</v>
      </c>
      <c r="CL97" s="325">
        <f t="shared" si="321"/>
        <v>280573.62146633695</v>
      </c>
      <c r="CM97" s="325">
        <f t="shared" si="321"/>
        <v>288534.77587046154</v>
      </c>
      <c r="CN97" s="325">
        <f t="shared" si="321"/>
        <v>297867.64591210842</v>
      </c>
      <c r="CO97" s="325">
        <f t="shared" si="321"/>
        <v>308716.32098949124</v>
      </c>
      <c r="CP97" s="325">
        <f t="shared" si="321"/>
        <v>318827.03196550877</v>
      </c>
      <c r="CQ97" s="325">
        <f t="shared" si="321"/>
        <v>331942.35839150741</v>
      </c>
      <c r="CR97" s="325">
        <f t="shared" si="321"/>
        <v>342822.94983478833</v>
      </c>
      <c r="CS97" s="325">
        <f t="shared" si="321"/>
        <v>353973.56324174884</v>
      </c>
      <c r="CT97" s="325">
        <f t="shared" si="321"/>
        <v>369117.20648776769</v>
      </c>
      <c r="CU97" s="326">
        <f t="shared" ref="CU97:DG97" si="322">+CU96*0.65</f>
        <v>384301.35528254969</v>
      </c>
      <c r="CV97" s="325">
        <f t="shared" si="322"/>
        <v>395922.22770624323</v>
      </c>
      <c r="CW97" s="325">
        <f t="shared" si="322"/>
        <v>407282.89547444193</v>
      </c>
      <c r="CX97" s="325">
        <f t="shared" si="322"/>
        <v>420321.02403496212</v>
      </c>
      <c r="CY97" s="325">
        <f t="shared" si="322"/>
        <v>430923.55793947825</v>
      </c>
      <c r="CZ97" s="325">
        <f t="shared" si="322"/>
        <v>442473.25382622628</v>
      </c>
      <c r="DA97" s="325">
        <f t="shared" si="322"/>
        <v>455060.09861842176</v>
      </c>
      <c r="DB97" s="325">
        <f t="shared" si="322"/>
        <v>468032.83547246945</v>
      </c>
      <c r="DC97" s="325">
        <f t="shared" si="322"/>
        <v>483271.7901688522</v>
      </c>
      <c r="DD97" s="325">
        <f t="shared" si="322"/>
        <v>497308.30311433086</v>
      </c>
      <c r="DE97" s="325">
        <f t="shared" si="322"/>
        <v>510964.51399873866</v>
      </c>
      <c r="DF97" s="325">
        <f t="shared" si="322"/>
        <v>528545.13207985181</v>
      </c>
      <c r="DG97" s="325">
        <f t="shared" si="322"/>
        <v>548040.63767651457</v>
      </c>
    </row>
    <row r="98" spans="1:111" x14ac:dyDescent="0.3">
      <c r="B98" s="1" t="s">
        <v>17</v>
      </c>
      <c r="C98" s="1"/>
      <c r="D98" s="2"/>
      <c r="E98" s="2"/>
      <c r="F98" s="2"/>
      <c r="G98" s="2"/>
      <c r="H98" s="2"/>
      <c r="I98" s="2"/>
      <c r="J98" s="2"/>
      <c r="K98" s="2"/>
      <c r="L98" s="2"/>
      <c r="M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627"/>
    </row>
    <row r="99" spans="1:111" x14ac:dyDescent="0.3">
      <c r="B99" s="1" t="s">
        <v>18</v>
      </c>
      <c r="C99" s="1"/>
      <c r="D99" s="116"/>
      <c r="E99" s="116"/>
      <c r="F99" s="116"/>
      <c r="G99" s="116"/>
      <c r="H99" s="116"/>
      <c r="I99" s="116"/>
      <c r="J99" s="114"/>
      <c r="K99" s="114"/>
      <c r="L99" s="114"/>
      <c r="M99" s="114"/>
      <c r="N99" s="116"/>
      <c r="O99" s="116"/>
      <c r="P99" s="116"/>
      <c r="Q99" s="116"/>
      <c r="R99" s="116"/>
      <c r="S99" s="116"/>
      <c r="T99" s="116"/>
      <c r="U99" s="116"/>
      <c r="V99" s="116">
        <v>0</v>
      </c>
      <c r="W99" s="116">
        <v>0</v>
      </c>
      <c r="X99" s="116">
        <v>0</v>
      </c>
      <c r="Y99" s="116">
        <v>0</v>
      </c>
      <c r="Z99" s="116">
        <v>0</v>
      </c>
      <c r="AA99" s="116">
        <v>0</v>
      </c>
      <c r="AB99" s="116">
        <v>0</v>
      </c>
      <c r="AC99" s="116">
        <v>0</v>
      </c>
      <c r="AD99" s="116">
        <v>0</v>
      </c>
      <c r="AE99" s="116">
        <v>0</v>
      </c>
      <c r="AF99" s="116">
        <v>0</v>
      </c>
      <c r="AG99" s="116">
        <v>0</v>
      </c>
      <c r="AH99" s="116">
        <v>0</v>
      </c>
      <c r="AI99" s="116">
        <v>0</v>
      </c>
      <c r="AJ99" s="116">
        <v>0</v>
      </c>
      <c r="AK99" s="287">
        <v>0</v>
      </c>
      <c r="AL99" s="116">
        <f t="shared" ref="AL99:BQ99" si="323">+(AL101*AL7)/30.433</f>
        <v>0</v>
      </c>
      <c r="AM99" s="287">
        <f t="shared" si="323"/>
        <v>0</v>
      </c>
      <c r="AN99" s="116">
        <f t="shared" si="323"/>
        <v>0</v>
      </c>
      <c r="AO99" s="116">
        <f t="shared" si="323"/>
        <v>0</v>
      </c>
      <c r="AP99" s="116">
        <f t="shared" si="323"/>
        <v>0</v>
      </c>
      <c r="AQ99" s="116">
        <f t="shared" si="323"/>
        <v>0</v>
      </c>
      <c r="AR99" s="116">
        <f t="shared" si="323"/>
        <v>0</v>
      </c>
      <c r="AS99" s="116">
        <f t="shared" si="323"/>
        <v>0</v>
      </c>
      <c r="AT99" s="116">
        <f t="shared" si="323"/>
        <v>0</v>
      </c>
      <c r="AU99" s="116">
        <f t="shared" si="323"/>
        <v>0</v>
      </c>
      <c r="AV99" s="116">
        <f t="shared" si="323"/>
        <v>0</v>
      </c>
      <c r="AW99" s="116">
        <f t="shared" si="323"/>
        <v>0</v>
      </c>
      <c r="AX99" s="116">
        <f t="shared" si="323"/>
        <v>0</v>
      </c>
      <c r="AY99" s="287">
        <f t="shared" si="323"/>
        <v>0</v>
      </c>
      <c r="AZ99" s="116">
        <f t="shared" si="323"/>
        <v>0</v>
      </c>
      <c r="BA99" s="116">
        <f t="shared" si="323"/>
        <v>0</v>
      </c>
      <c r="BB99" s="116">
        <f t="shared" si="323"/>
        <v>0</v>
      </c>
      <c r="BC99" s="116">
        <f t="shared" si="323"/>
        <v>0</v>
      </c>
      <c r="BD99" s="116">
        <f t="shared" si="323"/>
        <v>0</v>
      </c>
      <c r="BE99" s="116">
        <f t="shared" si="323"/>
        <v>0</v>
      </c>
      <c r="BF99" s="116">
        <f t="shared" si="323"/>
        <v>0</v>
      </c>
      <c r="BG99" s="116">
        <f t="shared" si="323"/>
        <v>0</v>
      </c>
      <c r="BH99" s="116">
        <f t="shared" si="323"/>
        <v>0</v>
      </c>
      <c r="BI99" s="116">
        <f t="shared" si="323"/>
        <v>0</v>
      </c>
      <c r="BJ99" s="116">
        <f t="shared" si="323"/>
        <v>0</v>
      </c>
      <c r="BK99" s="287">
        <f t="shared" si="323"/>
        <v>0</v>
      </c>
      <c r="BL99" s="116">
        <f t="shared" si="323"/>
        <v>0</v>
      </c>
      <c r="BM99" s="116">
        <f t="shared" si="323"/>
        <v>0</v>
      </c>
      <c r="BN99" s="116">
        <f t="shared" si="323"/>
        <v>0</v>
      </c>
      <c r="BO99" s="116">
        <f t="shared" si="323"/>
        <v>0</v>
      </c>
      <c r="BP99" s="116">
        <f t="shared" si="323"/>
        <v>0</v>
      </c>
      <c r="BQ99" s="116">
        <f t="shared" si="323"/>
        <v>0</v>
      </c>
      <c r="BR99" s="116">
        <f t="shared" ref="BR99:CW99" si="324">+(BR101*BR7)/30.433</f>
        <v>0</v>
      </c>
      <c r="BS99" s="116">
        <f t="shared" si="324"/>
        <v>0</v>
      </c>
      <c r="BT99" s="116">
        <f t="shared" si="324"/>
        <v>0</v>
      </c>
      <c r="BU99" s="116">
        <f t="shared" si="324"/>
        <v>0</v>
      </c>
      <c r="BV99" s="116">
        <f t="shared" si="324"/>
        <v>0</v>
      </c>
      <c r="BW99" s="287">
        <f t="shared" si="324"/>
        <v>0</v>
      </c>
      <c r="BX99" s="116">
        <f t="shared" si="324"/>
        <v>0</v>
      </c>
      <c r="BY99" s="116">
        <f t="shared" si="324"/>
        <v>0</v>
      </c>
      <c r="BZ99" s="116">
        <f t="shared" si="324"/>
        <v>0</v>
      </c>
      <c r="CA99" s="116">
        <f t="shared" si="324"/>
        <v>0</v>
      </c>
      <c r="CB99" s="116">
        <f t="shared" si="324"/>
        <v>0</v>
      </c>
      <c r="CC99" s="116">
        <f t="shared" si="324"/>
        <v>0</v>
      </c>
      <c r="CD99" s="116">
        <f t="shared" si="324"/>
        <v>0</v>
      </c>
      <c r="CE99" s="116">
        <f t="shared" si="324"/>
        <v>0</v>
      </c>
      <c r="CF99" s="116">
        <f t="shared" si="324"/>
        <v>0</v>
      </c>
      <c r="CG99" s="116">
        <f t="shared" si="324"/>
        <v>0</v>
      </c>
      <c r="CH99" s="116">
        <f t="shared" si="324"/>
        <v>0</v>
      </c>
      <c r="CI99" s="287">
        <f t="shared" si="324"/>
        <v>0</v>
      </c>
      <c r="CJ99" s="116">
        <f t="shared" si="324"/>
        <v>0</v>
      </c>
      <c r="CK99" s="116">
        <f t="shared" si="324"/>
        <v>0</v>
      </c>
      <c r="CL99" s="116">
        <f t="shared" si="324"/>
        <v>0</v>
      </c>
      <c r="CM99" s="116">
        <f t="shared" si="324"/>
        <v>0</v>
      </c>
      <c r="CN99" s="116">
        <f t="shared" si="324"/>
        <v>0</v>
      </c>
      <c r="CO99" s="116">
        <f t="shared" si="324"/>
        <v>0</v>
      </c>
      <c r="CP99" s="116">
        <f t="shared" si="324"/>
        <v>0</v>
      </c>
      <c r="CQ99" s="116">
        <f t="shared" si="324"/>
        <v>0</v>
      </c>
      <c r="CR99" s="116">
        <f t="shared" si="324"/>
        <v>0</v>
      </c>
      <c r="CS99" s="116">
        <f t="shared" si="324"/>
        <v>0</v>
      </c>
      <c r="CT99" s="116">
        <f t="shared" si="324"/>
        <v>0</v>
      </c>
      <c r="CU99" s="287">
        <f t="shared" si="324"/>
        <v>0</v>
      </c>
      <c r="CV99" s="116">
        <f t="shared" si="324"/>
        <v>0</v>
      </c>
      <c r="CW99" s="116">
        <f t="shared" si="324"/>
        <v>0</v>
      </c>
      <c r="CX99" s="116">
        <f t="shared" ref="CX99:DG99" si="325">+(CX101*CX7)/30.433</f>
        <v>0</v>
      </c>
      <c r="CY99" s="116">
        <f t="shared" si="325"/>
        <v>0</v>
      </c>
      <c r="CZ99" s="116">
        <f t="shared" si="325"/>
        <v>0</v>
      </c>
      <c r="DA99" s="116">
        <f t="shared" si="325"/>
        <v>0</v>
      </c>
      <c r="DB99" s="116">
        <f t="shared" si="325"/>
        <v>0</v>
      </c>
      <c r="DC99" s="116">
        <f t="shared" si="325"/>
        <v>0</v>
      </c>
      <c r="DD99" s="116">
        <f t="shared" si="325"/>
        <v>0</v>
      </c>
      <c r="DE99" s="116">
        <f t="shared" si="325"/>
        <v>0</v>
      </c>
      <c r="DF99" s="116">
        <f t="shared" si="325"/>
        <v>0</v>
      </c>
      <c r="DG99" s="116">
        <f t="shared" si="325"/>
        <v>0</v>
      </c>
    </row>
    <row r="100" spans="1:111" x14ac:dyDescent="0.3">
      <c r="A100" s="5"/>
      <c r="B100" s="6" t="s">
        <v>19</v>
      </c>
      <c r="C100" s="6"/>
      <c r="D100" s="55">
        <f>D99</f>
        <v>0</v>
      </c>
      <c r="E100" s="55">
        <f t="shared" ref="E100:M100" si="326">E99</f>
        <v>0</v>
      </c>
      <c r="F100" s="55">
        <f t="shared" si="326"/>
        <v>0</v>
      </c>
      <c r="G100" s="55">
        <f t="shared" si="326"/>
        <v>0</v>
      </c>
      <c r="H100" s="55">
        <f t="shared" si="326"/>
        <v>0</v>
      </c>
      <c r="I100" s="55">
        <f t="shared" si="326"/>
        <v>0</v>
      </c>
      <c r="J100" s="55">
        <f t="shared" si="326"/>
        <v>0</v>
      </c>
      <c r="K100" s="55">
        <f t="shared" si="326"/>
        <v>0</v>
      </c>
      <c r="L100" s="55">
        <f t="shared" si="326"/>
        <v>0</v>
      </c>
      <c r="M100" s="55">
        <f t="shared" si="326"/>
        <v>0</v>
      </c>
      <c r="N100" s="55">
        <f>N99</f>
        <v>0</v>
      </c>
      <c r="O100" s="55">
        <f>O99</f>
        <v>0</v>
      </c>
      <c r="P100" s="55">
        <f t="shared" ref="P100:BZ100" si="327">P99</f>
        <v>0</v>
      </c>
      <c r="Q100" s="55">
        <f t="shared" ref="Q100:W100" si="328">Q99</f>
        <v>0</v>
      </c>
      <c r="R100" s="55">
        <f t="shared" si="328"/>
        <v>0</v>
      </c>
      <c r="S100" s="55">
        <f t="shared" si="328"/>
        <v>0</v>
      </c>
      <c r="T100" s="55">
        <f t="shared" si="328"/>
        <v>0</v>
      </c>
      <c r="U100" s="55">
        <f t="shared" si="328"/>
        <v>0</v>
      </c>
      <c r="V100" s="55">
        <f t="shared" si="328"/>
        <v>0</v>
      </c>
      <c r="W100" s="55">
        <f t="shared" si="328"/>
        <v>0</v>
      </c>
      <c r="X100" s="55">
        <f t="shared" ref="X100:AE100" si="329">X99</f>
        <v>0</v>
      </c>
      <c r="Y100" s="55">
        <f t="shared" si="329"/>
        <v>0</v>
      </c>
      <c r="Z100" s="55">
        <f t="shared" si="329"/>
        <v>0</v>
      </c>
      <c r="AA100" s="55">
        <f t="shared" si="329"/>
        <v>0</v>
      </c>
      <c r="AB100" s="55">
        <f t="shared" si="329"/>
        <v>0</v>
      </c>
      <c r="AC100" s="55">
        <f t="shared" si="329"/>
        <v>0</v>
      </c>
      <c r="AD100" s="55">
        <f t="shared" si="329"/>
        <v>0</v>
      </c>
      <c r="AE100" s="55">
        <f t="shared" si="329"/>
        <v>0</v>
      </c>
      <c r="AF100" s="55">
        <f t="shared" ref="AF100:AJ100" si="330">AF99</f>
        <v>0</v>
      </c>
      <c r="AG100" s="55">
        <f t="shared" si="330"/>
        <v>0</v>
      </c>
      <c r="AH100" s="55">
        <f t="shared" si="330"/>
        <v>0</v>
      </c>
      <c r="AI100" s="55">
        <f t="shared" si="330"/>
        <v>0</v>
      </c>
      <c r="AJ100" s="55">
        <f t="shared" si="330"/>
        <v>0</v>
      </c>
      <c r="AK100" s="292">
        <f t="shared" ref="AK100" si="331">AK99</f>
        <v>0</v>
      </c>
      <c r="AL100" s="55">
        <f t="shared" ref="AL100" si="332">AL99</f>
        <v>0</v>
      </c>
      <c r="AM100" s="292">
        <f t="shared" si="327"/>
        <v>0</v>
      </c>
      <c r="AN100" s="55">
        <f t="shared" si="327"/>
        <v>0</v>
      </c>
      <c r="AO100" s="55">
        <f t="shared" si="327"/>
        <v>0</v>
      </c>
      <c r="AP100" s="55">
        <f t="shared" si="327"/>
        <v>0</v>
      </c>
      <c r="AQ100" s="55">
        <f t="shared" si="327"/>
        <v>0</v>
      </c>
      <c r="AR100" s="55">
        <f t="shared" si="327"/>
        <v>0</v>
      </c>
      <c r="AS100" s="55">
        <f t="shared" si="327"/>
        <v>0</v>
      </c>
      <c r="AT100" s="55">
        <f t="shared" si="327"/>
        <v>0</v>
      </c>
      <c r="AU100" s="55">
        <f t="shared" si="327"/>
        <v>0</v>
      </c>
      <c r="AV100" s="55">
        <f t="shared" si="327"/>
        <v>0</v>
      </c>
      <c r="AW100" s="55">
        <f t="shared" si="327"/>
        <v>0</v>
      </c>
      <c r="AX100" s="55">
        <f t="shared" si="327"/>
        <v>0</v>
      </c>
      <c r="AY100" s="292">
        <f t="shared" si="327"/>
        <v>0</v>
      </c>
      <c r="AZ100" s="55">
        <f t="shared" si="327"/>
        <v>0</v>
      </c>
      <c r="BA100" s="55">
        <f t="shared" si="327"/>
        <v>0</v>
      </c>
      <c r="BB100" s="55">
        <f t="shared" si="327"/>
        <v>0</v>
      </c>
      <c r="BC100" s="55">
        <f t="shared" si="327"/>
        <v>0</v>
      </c>
      <c r="BD100" s="55">
        <f t="shared" si="327"/>
        <v>0</v>
      </c>
      <c r="BE100" s="55">
        <f t="shared" si="327"/>
        <v>0</v>
      </c>
      <c r="BF100" s="55">
        <f t="shared" si="327"/>
        <v>0</v>
      </c>
      <c r="BG100" s="55">
        <f t="shared" si="327"/>
        <v>0</v>
      </c>
      <c r="BH100" s="55">
        <f t="shared" si="327"/>
        <v>0</v>
      </c>
      <c r="BI100" s="55">
        <f t="shared" si="327"/>
        <v>0</v>
      </c>
      <c r="BJ100" s="55">
        <f t="shared" si="327"/>
        <v>0</v>
      </c>
      <c r="BK100" s="292">
        <f t="shared" si="327"/>
        <v>0</v>
      </c>
      <c r="BL100" s="55">
        <f t="shared" si="327"/>
        <v>0</v>
      </c>
      <c r="BM100" s="55">
        <f t="shared" si="327"/>
        <v>0</v>
      </c>
      <c r="BN100" s="55">
        <f t="shared" si="327"/>
        <v>0</v>
      </c>
      <c r="BO100" s="55">
        <f t="shared" si="327"/>
        <v>0</v>
      </c>
      <c r="BP100" s="55">
        <f t="shared" si="327"/>
        <v>0</v>
      </c>
      <c r="BQ100" s="55">
        <f t="shared" si="327"/>
        <v>0</v>
      </c>
      <c r="BR100" s="55">
        <f t="shared" si="327"/>
        <v>0</v>
      </c>
      <c r="BS100" s="55">
        <f t="shared" si="327"/>
        <v>0</v>
      </c>
      <c r="BT100" s="55">
        <f t="shared" si="327"/>
        <v>0</v>
      </c>
      <c r="BU100" s="55">
        <f t="shared" si="327"/>
        <v>0</v>
      </c>
      <c r="BV100" s="55">
        <f t="shared" si="327"/>
        <v>0</v>
      </c>
      <c r="BW100" s="292">
        <f t="shared" si="327"/>
        <v>0</v>
      </c>
      <c r="BX100" s="55">
        <f t="shared" si="327"/>
        <v>0</v>
      </c>
      <c r="BY100" s="55">
        <f t="shared" si="327"/>
        <v>0</v>
      </c>
      <c r="BZ100" s="55">
        <f t="shared" si="327"/>
        <v>0</v>
      </c>
      <c r="CA100" s="55">
        <f t="shared" ref="CA100:DG100" si="333">CA99</f>
        <v>0</v>
      </c>
      <c r="CB100" s="55">
        <f t="shared" si="333"/>
        <v>0</v>
      </c>
      <c r="CC100" s="55">
        <f t="shared" si="333"/>
        <v>0</v>
      </c>
      <c r="CD100" s="55">
        <f t="shared" si="333"/>
        <v>0</v>
      </c>
      <c r="CE100" s="55">
        <f t="shared" si="333"/>
        <v>0</v>
      </c>
      <c r="CF100" s="55">
        <f t="shared" si="333"/>
        <v>0</v>
      </c>
      <c r="CG100" s="55">
        <f t="shared" si="333"/>
        <v>0</v>
      </c>
      <c r="CH100" s="55">
        <f t="shared" si="333"/>
        <v>0</v>
      </c>
      <c r="CI100" s="292">
        <f t="shared" si="333"/>
        <v>0</v>
      </c>
      <c r="CJ100" s="55">
        <f t="shared" si="333"/>
        <v>0</v>
      </c>
      <c r="CK100" s="55">
        <f t="shared" si="333"/>
        <v>0</v>
      </c>
      <c r="CL100" s="55">
        <f t="shared" si="333"/>
        <v>0</v>
      </c>
      <c r="CM100" s="55">
        <f t="shared" si="333"/>
        <v>0</v>
      </c>
      <c r="CN100" s="55">
        <f t="shared" si="333"/>
        <v>0</v>
      </c>
      <c r="CO100" s="55">
        <f t="shared" si="333"/>
        <v>0</v>
      </c>
      <c r="CP100" s="55">
        <f t="shared" si="333"/>
        <v>0</v>
      </c>
      <c r="CQ100" s="55">
        <f t="shared" si="333"/>
        <v>0</v>
      </c>
      <c r="CR100" s="55">
        <f t="shared" si="333"/>
        <v>0</v>
      </c>
      <c r="CS100" s="55">
        <f t="shared" si="333"/>
        <v>0</v>
      </c>
      <c r="CT100" s="55">
        <f t="shared" si="333"/>
        <v>0</v>
      </c>
      <c r="CU100" s="292">
        <f t="shared" si="333"/>
        <v>0</v>
      </c>
      <c r="CV100" s="55">
        <f t="shared" si="333"/>
        <v>0</v>
      </c>
      <c r="CW100" s="55">
        <f t="shared" si="333"/>
        <v>0</v>
      </c>
      <c r="CX100" s="55">
        <f t="shared" si="333"/>
        <v>0</v>
      </c>
      <c r="CY100" s="55">
        <f t="shared" si="333"/>
        <v>0</v>
      </c>
      <c r="CZ100" s="55">
        <f t="shared" si="333"/>
        <v>0</v>
      </c>
      <c r="DA100" s="55">
        <f t="shared" si="333"/>
        <v>0</v>
      </c>
      <c r="DB100" s="55">
        <f t="shared" si="333"/>
        <v>0</v>
      </c>
      <c r="DC100" s="55">
        <f t="shared" si="333"/>
        <v>0</v>
      </c>
      <c r="DD100" s="55">
        <f t="shared" si="333"/>
        <v>0</v>
      </c>
      <c r="DE100" s="55">
        <f t="shared" si="333"/>
        <v>0</v>
      </c>
      <c r="DF100" s="55">
        <f t="shared" si="333"/>
        <v>0</v>
      </c>
      <c r="DG100" s="55">
        <f t="shared" si="333"/>
        <v>0</v>
      </c>
    </row>
    <row r="101" spans="1:111" x14ac:dyDescent="0.3">
      <c r="A101" s="65"/>
      <c r="B101" s="62"/>
      <c r="C101" s="63" t="s">
        <v>148</v>
      </c>
      <c r="D101" s="64">
        <v>0</v>
      </c>
      <c r="E101" s="64">
        <f t="shared" ref="E101:AK101" si="334">IFERROR(AVERAGE(D99:E99)/(E9/30.4333), 0)</f>
        <v>0</v>
      </c>
      <c r="F101" s="64">
        <f t="shared" si="334"/>
        <v>0</v>
      </c>
      <c r="G101" s="64">
        <f t="shared" si="334"/>
        <v>0</v>
      </c>
      <c r="H101" s="64">
        <f t="shared" si="334"/>
        <v>0</v>
      </c>
      <c r="I101" s="64">
        <f t="shared" si="334"/>
        <v>0</v>
      </c>
      <c r="J101" s="64">
        <f t="shared" si="334"/>
        <v>0</v>
      </c>
      <c r="K101" s="64">
        <f t="shared" si="334"/>
        <v>0</v>
      </c>
      <c r="L101" s="64">
        <f t="shared" si="334"/>
        <v>0</v>
      </c>
      <c r="M101" s="64">
        <f t="shared" si="334"/>
        <v>0</v>
      </c>
      <c r="N101" s="64">
        <f t="shared" si="334"/>
        <v>0</v>
      </c>
      <c r="O101" s="64">
        <f t="shared" si="334"/>
        <v>0</v>
      </c>
      <c r="P101" s="64">
        <f t="shared" si="334"/>
        <v>0</v>
      </c>
      <c r="Q101" s="64">
        <f t="shared" si="334"/>
        <v>0</v>
      </c>
      <c r="R101" s="64">
        <f t="shared" si="334"/>
        <v>0</v>
      </c>
      <c r="S101" s="64">
        <f t="shared" si="334"/>
        <v>0</v>
      </c>
      <c r="T101" s="64">
        <f t="shared" si="334"/>
        <v>0</v>
      </c>
      <c r="U101" s="64">
        <f t="shared" si="334"/>
        <v>0</v>
      </c>
      <c r="V101" s="64">
        <f t="shared" si="334"/>
        <v>0</v>
      </c>
      <c r="W101" s="64">
        <f t="shared" si="334"/>
        <v>0</v>
      </c>
      <c r="X101" s="64">
        <f t="shared" si="334"/>
        <v>0</v>
      </c>
      <c r="Y101" s="64">
        <f t="shared" si="334"/>
        <v>0</v>
      </c>
      <c r="Z101" s="64">
        <f t="shared" si="334"/>
        <v>0</v>
      </c>
      <c r="AA101" s="64">
        <f t="shared" si="334"/>
        <v>0</v>
      </c>
      <c r="AB101" s="64">
        <f t="shared" si="334"/>
        <v>0</v>
      </c>
      <c r="AC101" s="64">
        <f t="shared" si="334"/>
        <v>0</v>
      </c>
      <c r="AD101" s="64">
        <f t="shared" si="334"/>
        <v>0</v>
      </c>
      <c r="AE101" s="64">
        <f t="shared" si="334"/>
        <v>0</v>
      </c>
      <c r="AF101" s="64">
        <f t="shared" si="334"/>
        <v>0</v>
      </c>
      <c r="AG101" s="64">
        <f t="shared" si="334"/>
        <v>0</v>
      </c>
      <c r="AH101" s="64">
        <f t="shared" si="334"/>
        <v>0</v>
      </c>
      <c r="AI101" s="64">
        <f t="shared" si="334"/>
        <v>0</v>
      </c>
      <c r="AJ101" s="64">
        <f t="shared" si="334"/>
        <v>0</v>
      </c>
      <c r="AK101" s="294">
        <f t="shared" si="334"/>
        <v>0</v>
      </c>
      <c r="AL101" s="234">
        <v>0</v>
      </c>
      <c r="AM101" s="294">
        <f t="shared" ref="AM101:CA101" si="335">AL101</f>
        <v>0</v>
      </c>
      <c r="AN101" s="64">
        <f t="shared" si="335"/>
        <v>0</v>
      </c>
      <c r="AO101" s="64">
        <f t="shared" si="335"/>
        <v>0</v>
      </c>
      <c r="AP101" s="64">
        <f t="shared" si="335"/>
        <v>0</v>
      </c>
      <c r="AQ101" s="64">
        <f t="shared" si="335"/>
        <v>0</v>
      </c>
      <c r="AR101" s="64">
        <f t="shared" si="335"/>
        <v>0</v>
      </c>
      <c r="AS101" s="64">
        <f t="shared" si="335"/>
        <v>0</v>
      </c>
      <c r="AT101" s="64">
        <f t="shared" si="335"/>
        <v>0</v>
      </c>
      <c r="AU101" s="64">
        <f t="shared" si="335"/>
        <v>0</v>
      </c>
      <c r="AV101" s="64">
        <f t="shared" si="335"/>
        <v>0</v>
      </c>
      <c r="AW101" s="64">
        <f t="shared" si="335"/>
        <v>0</v>
      </c>
      <c r="AX101" s="64">
        <f t="shared" si="335"/>
        <v>0</v>
      </c>
      <c r="AY101" s="294">
        <f t="shared" si="335"/>
        <v>0</v>
      </c>
      <c r="AZ101" s="64">
        <f t="shared" si="335"/>
        <v>0</v>
      </c>
      <c r="BA101" s="64">
        <f t="shared" si="335"/>
        <v>0</v>
      </c>
      <c r="BB101" s="64">
        <f t="shared" si="335"/>
        <v>0</v>
      </c>
      <c r="BC101" s="64">
        <f t="shared" si="335"/>
        <v>0</v>
      </c>
      <c r="BD101" s="64">
        <f t="shared" si="335"/>
        <v>0</v>
      </c>
      <c r="BE101" s="64">
        <f t="shared" si="335"/>
        <v>0</v>
      </c>
      <c r="BF101" s="64">
        <f t="shared" si="335"/>
        <v>0</v>
      </c>
      <c r="BG101" s="64">
        <f t="shared" si="335"/>
        <v>0</v>
      </c>
      <c r="BH101" s="64">
        <f t="shared" si="335"/>
        <v>0</v>
      </c>
      <c r="BI101" s="64">
        <f t="shared" si="335"/>
        <v>0</v>
      </c>
      <c r="BJ101" s="64">
        <f t="shared" si="335"/>
        <v>0</v>
      </c>
      <c r="BK101" s="294">
        <f t="shared" si="335"/>
        <v>0</v>
      </c>
      <c r="BL101" s="64">
        <f t="shared" si="335"/>
        <v>0</v>
      </c>
      <c r="BM101" s="64">
        <f t="shared" si="335"/>
        <v>0</v>
      </c>
      <c r="BN101" s="64">
        <f t="shared" si="335"/>
        <v>0</v>
      </c>
      <c r="BO101" s="64">
        <f t="shared" si="335"/>
        <v>0</v>
      </c>
      <c r="BP101" s="64">
        <f t="shared" si="335"/>
        <v>0</v>
      </c>
      <c r="BQ101" s="64">
        <f t="shared" si="335"/>
        <v>0</v>
      </c>
      <c r="BR101" s="64">
        <f t="shared" si="335"/>
        <v>0</v>
      </c>
      <c r="BS101" s="64">
        <f t="shared" si="335"/>
        <v>0</v>
      </c>
      <c r="BT101" s="64">
        <f t="shared" si="335"/>
        <v>0</v>
      </c>
      <c r="BU101" s="64">
        <f t="shared" si="335"/>
        <v>0</v>
      </c>
      <c r="BV101" s="64">
        <f t="shared" si="335"/>
        <v>0</v>
      </c>
      <c r="BW101" s="294">
        <f t="shared" si="335"/>
        <v>0</v>
      </c>
      <c r="BX101" s="64">
        <f t="shared" si="335"/>
        <v>0</v>
      </c>
      <c r="BY101" s="64">
        <f t="shared" si="335"/>
        <v>0</v>
      </c>
      <c r="BZ101" s="64">
        <f t="shared" si="335"/>
        <v>0</v>
      </c>
      <c r="CA101" s="64">
        <f t="shared" si="335"/>
        <v>0</v>
      </c>
      <c r="CB101" s="64">
        <f t="shared" ref="CB101:DG101" si="336">CA101</f>
        <v>0</v>
      </c>
      <c r="CC101" s="64">
        <f t="shared" si="336"/>
        <v>0</v>
      </c>
      <c r="CD101" s="64">
        <f t="shared" si="336"/>
        <v>0</v>
      </c>
      <c r="CE101" s="64">
        <f t="shared" si="336"/>
        <v>0</v>
      </c>
      <c r="CF101" s="64">
        <f t="shared" si="336"/>
        <v>0</v>
      </c>
      <c r="CG101" s="64">
        <f t="shared" si="336"/>
        <v>0</v>
      </c>
      <c r="CH101" s="64">
        <f t="shared" si="336"/>
        <v>0</v>
      </c>
      <c r="CI101" s="294">
        <f t="shared" si="336"/>
        <v>0</v>
      </c>
      <c r="CJ101" s="64">
        <f t="shared" si="336"/>
        <v>0</v>
      </c>
      <c r="CK101" s="64">
        <f t="shared" si="336"/>
        <v>0</v>
      </c>
      <c r="CL101" s="64">
        <f t="shared" si="336"/>
        <v>0</v>
      </c>
      <c r="CM101" s="64">
        <f t="shared" si="336"/>
        <v>0</v>
      </c>
      <c r="CN101" s="64">
        <f t="shared" si="336"/>
        <v>0</v>
      </c>
      <c r="CO101" s="64">
        <f t="shared" si="336"/>
        <v>0</v>
      </c>
      <c r="CP101" s="64">
        <f t="shared" si="336"/>
        <v>0</v>
      </c>
      <c r="CQ101" s="64">
        <f t="shared" si="336"/>
        <v>0</v>
      </c>
      <c r="CR101" s="64">
        <f t="shared" si="336"/>
        <v>0</v>
      </c>
      <c r="CS101" s="64">
        <f t="shared" si="336"/>
        <v>0</v>
      </c>
      <c r="CT101" s="64">
        <f t="shared" si="336"/>
        <v>0</v>
      </c>
      <c r="CU101" s="294">
        <f t="shared" si="336"/>
        <v>0</v>
      </c>
      <c r="CV101" s="64">
        <f t="shared" si="336"/>
        <v>0</v>
      </c>
      <c r="CW101" s="64">
        <f t="shared" si="336"/>
        <v>0</v>
      </c>
      <c r="CX101" s="64">
        <f t="shared" si="336"/>
        <v>0</v>
      </c>
      <c r="CY101" s="64">
        <f t="shared" si="336"/>
        <v>0</v>
      </c>
      <c r="CZ101" s="64">
        <f t="shared" si="336"/>
        <v>0</v>
      </c>
      <c r="DA101" s="64">
        <f t="shared" si="336"/>
        <v>0</v>
      </c>
      <c r="DB101" s="64">
        <f t="shared" si="336"/>
        <v>0</v>
      </c>
      <c r="DC101" s="64">
        <f t="shared" si="336"/>
        <v>0</v>
      </c>
      <c r="DD101" s="64">
        <f t="shared" si="336"/>
        <v>0</v>
      </c>
      <c r="DE101" s="64">
        <f t="shared" si="336"/>
        <v>0</v>
      </c>
      <c r="DF101" s="64">
        <f t="shared" si="336"/>
        <v>0</v>
      </c>
      <c r="DG101" s="64">
        <f t="shared" si="336"/>
        <v>0</v>
      </c>
    </row>
    <row r="102" spans="1:111" x14ac:dyDescent="0.3">
      <c r="B102" s="1" t="s">
        <v>205</v>
      </c>
      <c r="C102" s="1"/>
      <c r="D102" s="58"/>
      <c r="E102" s="58"/>
      <c r="F102" s="58"/>
      <c r="G102" s="58"/>
      <c r="H102" s="58"/>
      <c r="I102" s="58"/>
      <c r="J102" s="58"/>
      <c r="K102" s="58"/>
      <c r="L102" s="58"/>
      <c r="M102" s="58" t="s">
        <v>147</v>
      </c>
      <c r="O102" s="52"/>
      <c r="P102" s="52"/>
      <c r="Q102" s="52"/>
      <c r="R102" s="52"/>
      <c r="S102" s="52"/>
      <c r="T102" s="52"/>
      <c r="U102" s="52"/>
      <c r="V102" s="52"/>
      <c r="W102" s="52"/>
      <c r="X102" s="52"/>
      <c r="Y102" s="52"/>
      <c r="Z102" s="52"/>
      <c r="AA102" s="52"/>
      <c r="AB102" s="52"/>
      <c r="AC102" s="52"/>
      <c r="AD102" s="52"/>
      <c r="AE102" s="52"/>
      <c r="AF102" s="52"/>
      <c r="AG102" s="52"/>
      <c r="AH102" s="52"/>
      <c r="AI102" s="52"/>
      <c r="AJ102" s="52"/>
      <c r="AK102" s="628"/>
      <c r="AL102" s="52"/>
    </row>
    <row r="103" spans="1:111" x14ac:dyDescent="0.3">
      <c r="B103" s="1" t="s">
        <v>250</v>
      </c>
      <c r="C103" s="1"/>
      <c r="D103" s="58"/>
      <c r="E103" s="58"/>
      <c r="F103" s="58"/>
      <c r="G103" s="58"/>
      <c r="H103" s="58"/>
      <c r="I103" s="58"/>
      <c r="J103" s="58"/>
      <c r="K103" s="58"/>
      <c r="L103" s="58"/>
      <c r="M103" s="58"/>
      <c r="O103" s="52"/>
      <c r="P103" s="116">
        <v>0</v>
      </c>
      <c r="Q103" s="116">
        <v>0</v>
      </c>
      <c r="R103" s="116"/>
      <c r="S103" s="116">
        <v>0</v>
      </c>
      <c r="T103" s="116">
        <v>0</v>
      </c>
      <c r="U103" s="116">
        <v>0</v>
      </c>
      <c r="V103" s="116">
        <v>0</v>
      </c>
      <c r="W103" s="116">
        <v>0</v>
      </c>
      <c r="X103" s="116">
        <v>0</v>
      </c>
      <c r="Y103" s="116">
        <v>0</v>
      </c>
      <c r="Z103" s="116">
        <v>0</v>
      </c>
      <c r="AA103" s="116">
        <v>0</v>
      </c>
      <c r="AB103" s="116">
        <v>0</v>
      </c>
      <c r="AC103" s="116">
        <v>0</v>
      </c>
      <c r="AD103" s="116">
        <v>0</v>
      </c>
      <c r="AE103" s="116">
        <v>0</v>
      </c>
      <c r="AF103" s="116">
        <v>0</v>
      </c>
      <c r="AG103" s="116">
        <v>0</v>
      </c>
      <c r="AH103" s="116">
        <v>0</v>
      </c>
      <c r="AI103" s="116">
        <v>0</v>
      </c>
      <c r="AJ103" s="116">
        <v>0</v>
      </c>
      <c r="AK103" s="287">
        <v>0</v>
      </c>
      <c r="AL103" s="607">
        <f t="shared" ref="AL103:AL108" si="337">AK103</f>
        <v>0</v>
      </c>
      <c r="AM103" s="287">
        <f t="shared" ref="AM103:CI103" si="338">AL103</f>
        <v>0</v>
      </c>
      <c r="AN103" s="116">
        <f t="shared" si="338"/>
        <v>0</v>
      </c>
      <c r="AO103" s="116">
        <f t="shared" si="338"/>
        <v>0</v>
      </c>
      <c r="AP103" s="116">
        <f t="shared" si="338"/>
        <v>0</v>
      </c>
      <c r="AQ103" s="116">
        <f t="shared" si="338"/>
        <v>0</v>
      </c>
      <c r="AR103" s="116">
        <f t="shared" si="338"/>
        <v>0</v>
      </c>
      <c r="AS103" s="116">
        <f t="shared" si="338"/>
        <v>0</v>
      </c>
      <c r="AT103" s="116">
        <f t="shared" si="338"/>
        <v>0</v>
      </c>
      <c r="AU103" s="116">
        <f t="shared" si="338"/>
        <v>0</v>
      </c>
      <c r="AV103" s="116">
        <f t="shared" si="338"/>
        <v>0</v>
      </c>
      <c r="AW103" s="116">
        <f t="shared" si="338"/>
        <v>0</v>
      </c>
      <c r="AX103" s="116">
        <f t="shared" si="338"/>
        <v>0</v>
      </c>
      <c r="AY103" s="287">
        <f t="shared" si="338"/>
        <v>0</v>
      </c>
      <c r="AZ103" s="116">
        <f t="shared" si="338"/>
        <v>0</v>
      </c>
      <c r="BA103" s="116">
        <f t="shared" si="338"/>
        <v>0</v>
      </c>
      <c r="BB103" s="116">
        <f t="shared" si="338"/>
        <v>0</v>
      </c>
      <c r="BC103" s="116">
        <f t="shared" si="338"/>
        <v>0</v>
      </c>
      <c r="BD103" s="116">
        <f t="shared" si="338"/>
        <v>0</v>
      </c>
      <c r="BE103" s="116">
        <f t="shared" si="338"/>
        <v>0</v>
      </c>
      <c r="BF103" s="116">
        <f t="shared" si="338"/>
        <v>0</v>
      </c>
      <c r="BG103" s="116">
        <f t="shared" si="338"/>
        <v>0</v>
      </c>
      <c r="BH103" s="116">
        <f t="shared" si="338"/>
        <v>0</v>
      </c>
      <c r="BI103" s="116">
        <f t="shared" si="338"/>
        <v>0</v>
      </c>
      <c r="BJ103" s="116">
        <f t="shared" si="338"/>
        <v>0</v>
      </c>
      <c r="BK103" s="287">
        <f t="shared" si="338"/>
        <v>0</v>
      </c>
      <c r="BL103" s="116">
        <f t="shared" si="338"/>
        <v>0</v>
      </c>
      <c r="BM103" s="116">
        <f t="shared" si="338"/>
        <v>0</v>
      </c>
      <c r="BN103" s="116">
        <f t="shared" si="338"/>
        <v>0</v>
      </c>
      <c r="BO103" s="116">
        <f t="shared" si="338"/>
        <v>0</v>
      </c>
      <c r="BP103" s="116">
        <f t="shared" si="338"/>
        <v>0</v>
      </c>
      <c r="BQ103" s="116">
        <f t="shared" si="338"/>
        <v>0</v>
      </c>
      <c r="BR103" s="116">
        <f t="shared" si="338"/>
        <v>0</v>
      </c>
      <c r="BS103" s="116">
        <f t="shared" si="338"/>
        <v>0</v>
      </c>
      <c r="BT103" s="116">
        <f t="shared" si="338"/>
        <v>0</v>
      </c>
      <c r="BU103" s="116">
        <f t="shared" si="338"/>
        <v>0</v>
      </c>
      <c r="BV103" s="116">
        <f t="shared" si="338"/>
        <v>0</v>
      </c>
      <c r="BW103" s="287">
        <f t="shared" si="338"/>
        <v>0</v>
      </c>
      <c r="BX103" s="116">
        <f t="shared" si="338"/>
        <v>0</v>
      </c>
      <c r="BY103" s="116">
        <f t="shared" si="338"/>
        <v>0</v>
      </c>
      <c r="BZ103" s="116">
        <f t="shared" si="338"/>
        <v>0</v>
      </c>
      <c r="CA103" s="116">
        <f t="shared" si="338"/>
        <v>0</v>
      </c>
      <c r="CB103" s="116">
        <f t="shared" si="338"/>
        <v>0</v>
      </c>
      <c r="CC103" s="116">
        <f t="shared" si="338"/>
        <v>0</v>
      </c>
      <c r="CD103" s="116">
        <f t="shared" si="338"/>
        <v>0</v>
      </c>
      <c r="CE103" s="116">
        <f t="shared" si="338"/>
        <v>0</v>
      </c>
      <c r="CF103" s="116">
        <f t="shared" si="338"/>
        <v>0</v>
      </c>
      <c r="CG103" s="116">
        <f t="shared" si="338"/>
        <v>0</v>
      </c>
      <c r="CH103" s="116">
        <f t="shared" si="338"/>
        <v>0</v>
      </c>
      <c r="CI103" s="287">
        <f t="shared" si="338"/>
        <v>0</v>
      </c>
      <c r="CJ103" s="116">
        <f t="shared" ref="CJ103:DG103" si="339">CI103</f>
        <v>0</v>
      </c>
      <c r="CK103" s="116">
        <f t="shared" si="339"/>
        <v>0</v>
      </c>
      <c r="CL103" s="116">
        <f t="shared" si="339"/>
        <v>0</v>
      </c>
      <c r="CM103" s="116">
        <f t="shared" si="339"/>
        <v>0</v>
      </c>
      <c r="CN103" s="116">
        <f t="shared" si="339"/>
        <v>0</v>
      </c>
      <c r="CO103" s="116">
        <f t="shared" si="339"/>
        <v>0</v>
      </c>
      <c r="CP103" s="116">
        <f t="shared" si="339"/>
        <v>0</v>
      </c>
      <c r="CQ103" s="116">
        <f t="shared" si="339"/>
        <v>0</v>
      </c>
      <c r="CR103" s="116">
        <f t="shared" si="339"/>
        <v>0</v>
      </c>
      <c r="CS103" s="116">
        <f t="shared" si="339"/>
        <v>0</v>
      </c>
      <c r="CT103" s="116">
        <f t="shared" si="339"/>
        <v>0</v>
      </c>
      <c r="CU103" s="287">
        <f t="shared" si="339"/>
        <v>0</v>
      </c>
      <c r="CV103" s="116">
        <f t="shared" si="339"/>
        <v>0</v>
      </c>
      <c r="CW103" s="116">
        <f t="shared" si="339"/>
        <v>0</v>
      </c>
      <c r="CX103" s="116">
        <f t="shared" si="339"/>
        <v>0</v>
      </c>
      <c r="CY103" s="116">
        <f t="shared" si="339"/>
        <v>0</v>
      </c>
      <c r="CZ103" s="116">
        <f t="shared" si="339"/>
        <v>0</v>
      </c>
      <c r="DA103" s="116">
        <f t="shared" si="339"/>
        <v>0</v>
      </c>
      <c r="DB103" s="116">
        <f t="shared" si="339"/>
        <v>0</v>
      </c>
      <c r="DC103" s="116">
        <f t="shared" si="339"/>
        <v>0</v>
      </c>
      <c r="DD103" s="116">
        <f t="shared" si="339"/>
        <v>0</v>
      </c>
      <c r="DE103" s="116">
        <f t="shared" si="339"/>
        <v>0</v>
      </c>
      <c r="DF103" s="116">
        <f t="shared" si="339"/>
        <v>0</v>
      </c>
      <c r="DG103" s="116">
        <f t="shared" si="339"/>
        <v>0</v>
      </c>
    </row>
    <row r="104" spans="1:111" x14ac:dyDescent="0.3">
      <c r="B104" s="1" t="s">
        <v>251</v>
      </c>
      <c r="C104" s="1"/>
      <c r="D104" s="58"/>
      <c r="E104" s="58"/>
      <c r="F104" s="58"/>
      <c r="G104" s="58"/>
      <c r="H104" s="58"/>
      <c r="I104" s="58"/>
      <c r="J104" s="58"/>
      <c r="K104" s="58"/>
      <c r="L104" s="58"/>
      <c r="M104" s="58"/>
      <c r="O104" s="52"/>
      <c r="P104" s="116"/>
      <c r="Q104" s="116"/>
      <c r="R104" s="116"/>
      <c r="S104" s="116"/>
      <c r="T104" s="116"/>
      <c r="U104" s="116"/>
      <c r="V104" s="116"/>
      <c r="W104" s="116">
        <v>0</v>
      </c>
      <c r="X104" s="116">
        <v>0</v>
      </c>
      <c r="Y104" s="116">
        <v>0</v>
      </c>
      <c r="Z104" s="116">
        <v>0</v>
      </c>
      <c r="AA104" s="116">
        <v>0</v>
      </c>
      <c r="AB104" s="116">
        <v>0</v>
      </c>
      <c r="AC104" s="116">
        <v>0</v>
      </c>
      <c r="AD104" s="116">
        <v>0</v>
      </c>
      <c r="AE104" s="116">
        <v>0</v>
      </c>
      <c r="AF104" s="116">
        <v>0</v>
      </c>
      <c r="AG104" s="116">
        <v>0</v>
      </c>
      <c r="AH104" s="116">
        <v>0</v>
      </c>
      <c r="AI104" s="116">
        <v>0</v>
      </c>
      <c r="AJ104" s="116">
        <v>0</v>
      </c>
      <c r="AK104" s="287">
        <v>0</v>
      </c>
      <c r="AL104" s="607">
        <f t="shared" si="337"/>
        <v>0</v>
      </c>
      <c r="AM104" s="287">
        <f t="shared" ref="AM104:BO104" si="340">AL104</f>
        <v>0</v>
      </c>
      <c r="AN104" s="116">
        <f t="shared" si="340"/>
        <v>0</v>
      </c>
      <c r="AO104" s="116">
        <f t="shared" si="340"/>
        <v>0</v>
      </c>
      <c r="AP104" s="116">
        <f t="shared" si="340"/>
        <v>0</v>
      </c>
      <c r="AQ104" s="116">
        <f t="shared" si="340"/>
        <v>0</v>
      </c>
      <c r="AR104" s="116">
        <f t="shared" si="340"/>
        <v>0</v>
      </c>
      <c r="AS104" s="116">
        <f t="shared" si="340"/>
        <v>0</v>
      </c>
      <c r="AT104" s="116">
        <f t="shared" si="340"/>
        <v>0</v>
      </c>
      <c r="AU104" s="116">
        <f t="shared" si="340"/>
        <v>0</v>
      </c>
      <c r="AV104" s="116">
        <f t="shared" si="340"/>
        <v>0</v>
      </c>
      <c r="AW104" s="116">
        <f t="shared" si="340"/>
        <v>0</v>
      </c>
      <c r="AX104" s="116">
        <f t="shared" si="340"/>
        <v>0</v>
      </c>
      <c r="AY104" s="287">
        <f t="shared" si="340"/>
        <v>0</v>
      </c>
      <c r="AZ104" s="116">
        <f t="shared" si="340"/>
        <v>0</v>
      </c>
      <c r="BA104" s="116">
        <f t="shared" si="340"/>
        <v>0</v>
      </c>
      <c r="BB104" s="116">
        <f t="shared" si="340"/>
        <v>0</v>
      </c>
      <c r="BC104" s="116">
        <f t="shared" si="340"/>
        <v>0</v>
      </c>
      <c r="BD104" s="116">
        <f t="shared" si="340"/>
        <v>0</v>
      </c>
      <c r="BE104" s="116">
        <f t="shared" si="340"/>
        <v>0</v>
      </c>
      <c r="BF104" s="116">
        <f t="shared" si="340"/>
        <v>0</v>
      </c>
      <c r="BG104" s="116">
        <f t="shared" si="340"/>
        <v>0</v>
      </c>
      <c r="BH104" s="116">
        <f t="shared" si="340"/>
        <v>0</v>
      </c>
      <c r="BI104" s="116">
        <f t="shared" si="340"/>
        <v>0</v>
      </c>
      <c r="BJ104" s="116">
        <f t="shared" si="340"/>
        <v>0</v>
      </c>
      <c r="BK104" s="287">
        <f t="shared" si="340"/>
        <v>0</v>
      </c>
      <c r="BL104" s="116">
        <f t="shared" si="340"/>
        <v>0</v>
      </c>
      <c r="BM104" s="116">
        <f t="shared" si="340"/>
        <v>0</v>
      </c>
      <c r="BN104" s="116">
        <f t="shared" si="340"/>
        <v>0</v>
      </c>
      <c r="BO104" s="116">
        <f t="shared" si="340"/>
        <v>0</v>
      </c>
      <c r="BP104" s="116">
        <f t="shared" ref="BP104:CU104" si="341">BO104</f>
        <v>0</v>
      </c>
      <c r="BQ104" s="116">
        <f t="shared" si="341"/>
        <v>0</v>
      </c>
      <c r="BR104" s="116">
        <f t="shared" si="341"/>
        <v>0</v>
      </c>
      <c r="BS104" s="116">
        <f t="shared" si="341"/>
        <v>0</v>
      </c>
      <c r="BT104" s="116">
        <f t="shared" si="341"/>
        <v>0</v>
      </c>
      <c r="BU104" s="116">
        <f t="shared" si="341"/>
        <v>0</v>
      </c>
      <c r="BV104" s="116">
        <f t="shared" si="341"/>
        <v>0</v>
      </c>
      <c r="BW104" s="287">
        <f t="shared" si="341"/>
        <v>0</v>
      </c>
      <c r="BX104" s="116">
        <f t="shared" si="341"/>
        <v>0</v>
      </c>
      <c r="BY104" s="116">
        <f t="shared" si="341"/>
        <v>0</v>
      </c>
      <c r="BZ104" s="116">
        <f t="shared" si="341"/>
        <v>0</v>
      </c>
      <c r="CA104" s="116">
        <f t="shared" si="341"/>
        <v>0</v>
      </c>
      <c r="CB104" s="116">
        <f t="shared" si="341"/>
        <v>0</v>
      </c>
      <c r="CC104" s="116">
        <f t="shared" si="341"/>
        <v>0</v>
      </c>
      <c r="CD104" s="116">
        <f t="shared" si="341"/>
        <v>0</v>
      </c>
      <c r="CE104" s="116">
        <f t="shared" si="341"/>
        <v>0</v>
      </c>
      <c r="CF104" s="116">
        <f t="shared" si="341"/>
        <v>0</v>
      </c>
      <c r="CG104" s="116">
        <f t="shared" si="341"/>
        <v>0</v>
      </c>
      <c r="CH104" s="116">
        <f t="shared" si="341"/>
        <v>0</v>
      </c>
      <c r="CI104" s="287">
        <f t="shared" si="341"/>
        <v>0</v>
      </c>
      <c r="CJ104" s="116">
        <f t="shared" si="341"/>
        <v>0</v>
      </c>
      <c r="CK104" s="116">
        <f t="shared" si="341"/>
        <v>0</v>
      </c>
      <c r="CL104" s="116">
        <f t="shared" si="341"/>
        <v>0</v>
      </c>
      <c r="CM104" s="116">
        <f t="shared" si="341"/>
        <v>0</v>
      </c>
      <c r="CN104" s="116">
        <f t="shared" si="341"/>
        <v>0</v>
      </c>
      <c r="CO104" s="116">
        <f t="shared" si="341"/>
        <v>0</v>
      </c>
      <c r="CP104" s="116">
        <f t="shared" si="341"/>
        <v>0</v>
      </c>
      <c r="CQ104" s="116">
        <f t="shared" si="341"/>
        <v>0</v>
      </c>
      <c r="CR104" s="116">
        <f t="shared" si="341"/>
        <v>0</v>
      </c>
      <c r="CS104" s="116">
        <f t="shared" si="341"/>
        <v>0</v>
      </c>
      <c r="CT104" s="116">
        <f t="shared" si="341"/>
        <v>0</v>
      </c>
      <c r="CU104" s="287">
        <f t="shared" si="341"/>
        <v>0</v>
      </c>
      <c r="CV104" s="116">
        <f t="shared" ref="CV104:DG104" si="342">CU104</f>
        <v>0</v>
      </c>
      <c r="CW104" s="116">
        <f t="shared" si="342"/>
        <v>0</v>
      </c>
      <c r="CX104" s="116">
        <f t="shared" si="342"/>
        <v>0</v>
      </c>
      <c r="CY104" s="116">
        <f t="shared" si="342"/>
        <v>0</v>
      </c>
      <c r="CZ104" s="116">
        <f t="shared" si="342"/>
        <v>0</v>
      </c>
      <c r="DA104" s="116">
        <f t="shared" si="342"/>
        <v>0</v>
      </c>
      <c r="DB104" s="116">
        <f t="shared" si="342"/>
        <v>0</v>
      </c>
      <c r="DC104" s="116">
        <f t="shared" si="342"/>
        <v>0</v>
      </c>
      <c r="DD104" s="116">
        <f t="shared" si="342"/>
        <v>0</v>
      </c>
      <c r="DE104" s="116">
        <f t="shared" si="342"/>
        <v>0</v>
      </c>
      <c r="DF104" s="116">
        <f t="shared" si="342"/>
        <v>0</v>
      </c>
      <c r="DG104" s="116">
        <f t="shared" si="342"/>
        <v>0</v>
      </c>
    </row>
    <row r="105" spans="1:111" x14ac:dyDescent="0.3">
      <c r="B105" s="1" t="s">
        <v>252</v>
      </c>
      <c r="C105" s="1"/>
      <c r="D105" s="58"/>
      <c r="E105" s="58"/>
      <c r="F105" s="58"/>
      <c r="G105" s="58"/>
      <c r="H105" s="58"/>
      <c r="I105" s="58"/>
      <c r="J105" s="58"/>
      <c r="K105" s="58"/>
      <c r="L105" s="58"/>
      <c r="M105" s="58"/>
      <c r="O105" s="52"/>
      <c r="P105" s="116"/>
      <c r="Q105" s="116"/>
      <c r="R105" s="116"/>
      <c r="S105" s="116"/>
      <c r="T105" s="116"/>
      <c r="U105" s="116"/>
      <c r="V105" s="116"/>
      <c r="W105" s="116">
        <v>0</v>
      </c>
      <c r="X105" s="116">
        <v>0</v>
      </c>
      <c r="Y105" s="116">
        <v>0</v>
      </c>
      <c r="Z105" s="116">
        <v>0</v>
      </c>
      <c r="AA105" s="116">
        <v>0</v>
      </c>
      <c r="AB105" s="116">
        <v>3000</v>
      </c>
      <c r="AC105" s="116">
        <v>0</v>
      </c>
      <c r="AD105" s="116">
        <v>0</v>
      </c>
      <c r="AE105" s="116">
        <v>0</v>
      </c>
      <c r="AF105" s="116">
        <v>0</v>
      </c>
      <c r="AG105" s="116">
        <v>0</v>
      </c>
      <c r="AH105" s="116">
        <v>0</v>
      </c>
      <c r="AI105" s="116">
        <v>0</v>
      </c>
      <c r="AJ105" s="116">
        <v>0</v>
      </c>
      <c r="AK105" s="287">
        <v>0</v>
      </c>
      <c r="AL105" s="607">
        <f t="shared" si="337"/>
        <v>0</v>
      </c>
      <c r="AM105" s="287">
        <f t="shared" ref="AM105:BO105" si="343">AL105</f>
        <v>0</v>
      </c>
      <c r="AN105" s="116">
        <f t="shared" si="343"/>
        <v>0</v>
      </c>
      <c r="AO105" s="116">
        <f t="shared" si="343"/>
        <v>0</v>
      </c>
      <c r="AP105" s="116">
        <f t="shared" si="343"/>
        <v>0</v>
      </c>
      <c r="AQ105" s="116">
        <f t="shared" si="343"/>
        <v>0</v>
      </c>
      <c r="AR105" s="116">
        <f t="shared" si="343"/>
        <v>0</v>
      </c>
      <c r="AS105" s="116">
        <f t="shared" si="343"/>
        <v>0</v>
      </c>
      <c r="AT105" s="116">
        <f t="shared" si="343"/>
        <v>0</v>
      </c>
      <c r="AU105" s="116">
        <f t="shared" si="343"/>
        <v>0</v>
      </c>
      <c r="AV105" s="116">
        <f t="shared" si="343"/>
        <v>0</v>
      </c>
      <c r="AW105" s="116">
        <f t="shared" si="343"/>
        <v>0</v>
      </c>
      <c r="AX105" s="116">
        <f t="shared" si="343"/>
        <v>0</v>
      </c>
      <c r="AY105" s="287">
        <f t="shared" si="343"/>
        <v>0</v>
      </c>
      <c r="AZ105" s="116">
        <f t="shared" si="343"/>
        <v>0</v>
      </c>
      <c r="BA105" s="116">
        <f t="shared" si="343"/>
        <v>0</v>
      </c>
      <c r="BB105" s="116">
        <f t="shared" si="343"/>
        <v>0</v>
      </c>
      <c r="BC105" s="116">
        <f t="shared" si="343"/>
        <v>0</v>
      </c>
      <c r="BD105" s="116">
        <f t="shared" si="343"/>
        <v>0</v>
      </c>
      <c r="BE105" s="116">
        <f t="shared" si="343"/>
        <v>0</v>
      </c>
      <c r="BF105" s="116">
        <f t="shared" si="343"/>
        <v>0</v>
      </c>
      <c r="BG105" s="116">
        <f t="shared" si="343"/>
        <v>0</v>
      </c>
      <c r="BH105" s="116">
        <f t="shared" si="343"/>
        <v>0</v>
      </c>
      <c r="BI105" s="116">
        <f t="shared" si="343"/>
        <v>0</v>
      </c>
      <c r="BJ105" s="116">
        <f t="shared" si="343"/>
        <v>0</v>
      </c>
      <c r="BK105" s="287">
        <f t="shared" si="343"/>
        <v>0</v>
      </c>
      <c r="BL105" s="116">
        <f t="shared" si="343"/>
        <v>0</v>
      </c>
      <c r="BM105" s="116">
        <f t="shared" si="343"/>
        <v>0</v>
      </c>
      <c r="BN105" s="116">
        <f t="shared" si="343"/>
        <v>0</v>
      </c>
      <c r="BO105" s="116">
        <f t="shared" si="343"/>
        <v>0</v>
      </c>
      <c r="BP105" s="116">
        <f t="shared" ref="BP105:CU105" si="344">BO105</f>
        <v>0</v>
      </c>
      <c r="BQ105" s="116">
        <f t="shared" si="344"/>
        <v>0</v>
      </c>
      <c r="BR105" s="116">
        <f t="shared" si="344"/>
        <v>0</v>
      </c>
      <c r="BS105" s="116">
        <f t="shared" si="344"/>
        <v>0</v>
      </c>
      <c r="BT105" s="116">
        <f t="shared" si="344"/>
        <v>0</v>
      </c>
      <c r="BU105" s="116">
        <f t="shared" si="344"/>
        <v>0</v>
      </c>
      <c r="BV105" s="116">
        <f t="shared" si="344"/>
        <v>0</v>
      </c>
      <c r="BW105" s="287">
        <f t="shared" si="344"/>
        <v>0</v>
      </c>
      <c r="BX105" s="116">
        <f t="shared" si="344"/>
        <v>0</v>
      </c>
      <c r="BY105" s="116">
        <f t="shared" si="344"/>
        <v>0</v>
      </c>
      <c r="BZ105" s="116">
        <f t="shared" si="344"/>
        <v>0</v>
      </c>
      <c r="CA105" s="116">
        <f t="shared" si="344"/>
        <v>0</v>
      </c>
      <c r="CB105" s="116">
        <f t="shared" si="344"/>
        <v>0</v>
      </c>
      <c r="CC105" s="116">
        <f t="shared" si="344"/>
        <v>0</v>
      </c>
      <c r="CD105" s="116">
        <f t="shared" si="344"/>
        <v>0</v>
      </c>
      <c r="CE105" s="116">
        <f t="shared" si="344"/>
        <v>0</v>
      </c>
      <c r="CF105" s="116">
        <f t="shared" si="344"/>
        <v>0</v>
      </c>
      <c r="CG105" s="116">
        <f t="shared" si="344"/>
        <v>0</v>
      </c>
      <c r="CH105" s="116">
        <f t="shared" si="344"/>
        <v>0</v>
      </c>
      <c r="CI105" s="287">
        <f t="shared" si="344"/>
        <v>0</v>
      </c>
      <c r="CJ105" s="116">
        <f t="shared" si="344"/>
        <v>0</v>
      </c>
      <c r="CK105" s="116">
        <f t="shared" si="344"/>
        <v>0</v>
      </c>
      <c r="CL105" s="116">
        <f t="shared" si="344"/>
        <v>0</v>
      </c>
      <c r="CM105" s="116">
        <f t="shared" si="344"/>
        <v>0</v>
      </c>
      <c r="CN105" s="116">
        <f t="shared" si="344"/>
        <v>0</v>
      </c>
      <c r="CO105" s="116">
        <f t="shared" si="344"/>
        <v>0</v>
      </c>
      <c r="CP105" s="116">
        <f t="shared" si="344"/>
        <v>0</v>
      </c>
      <c r="CQ105" s="116">
        <f t="shared" si="344"/>
        <v>0</v>
      </c>
      <c r="CR105" s="116">
        <f t="shared" si="344"/>
        <v>0</v>
      </c>
      <c r="CS105" s="116">
        <f t="shared" si="344"/>
        <v>0</v>
      </c>
      <c r="CT105" s="116">
        <f t="shared" si="344"/>
        <v>0</v>
      </c>
      <c r="CU105" s="287">
        <f t="shared" si="344"/>
        <v>0</v>
      </c>
      <c r="CV105" s="116">
        <f t="shared" ref="CV105:DG105" si="345">CU105</f>
        <v>0</v>
      </c>
      <c r="CW105" s="116">
        <f t="shared" si="345"/>
        <v>0</v>
      </c>
      <c r="CX105" s="116">
        <f t="shared" si="345"/>
        <v>0</v>
      </c>
      <c r="CY105" s="116">
        <f t="shared" si="345"/>
        <v>0</v>
      </c>
      <c r="CZ105" s="116">
        <f t="shared" si="345"/>
        <v>0</v>
      </c>
      <c r="DA105" s="116">
        <f t="shared" si="345"/>
        <v>0</v>
      </c>
      <c r="DB105" s="116">
        <f t="shared" si="345"/>
        <v>0</v>
      </c>
      <c r="DC105" s="116">
        <f t="shared" si="345"/>
        <v>0</v>
      </c>
      <c r="DD105" s="116">
        <f t="shared" si="345"/>
        <v>0</v>
      </c>
      <c r="DE105" s="116">
        <f t="shared" si="345"/>
        <v>0</v>
      </c>
      <c r="DF105" s="116">
        <f t="shared" si="345"/>
        <v>0</v>
      </c>
      <c r="DG105" s="116">
        <f t="shared" si="345"/>
        <v>0</v>
      </c>
    </row>
    <row r="106" spans="1:111" x14ac:dyDescent="0.3">
      <c r="B106" s="1" t="s">
        <v>253</v>
      </c>
      <c r="C106" s="1"/>
      <c r="D106" s="58"/>
      <c r="E106" s="58"/>
      <c r="F106" s="58"/>
      <c r="G106" s="58"/>
      <c r="H106" s="58"/>
      <c r="I106" s="58"/>
      <c r="J106" s="58"/>
      <c r="K106" s="58"/>
      <c r="L106" s="58"/>
      <c r="M106" s="58"/>
      <c r="O106" s="52"/>
      <c r="P106" s="116"/>
      <c r="Q106" s="116"/>
      <c r="R106" s="116"/>
      <c r="S106" s="116"/>
      <c r="T106" s="116"/>
      <c r="U106" s="116"/>
      <c r="V106" s="116"/>
      <c r="W106" s="116">
        <v>0</v>
      </c>
      <c r="X106" s="116">
        <v>0</v>
      </c>
      <c r="Y106" s="116">
        <v>0</v>
      </c>
      <c r="Z106" s="116">
        <v>0</v>
      </c>
      <c r="AA106" s="116">
        <v>0</v>
      </c>
      <c r="AB106" s="116">
        <v>0</v>
      </c>
      <c r="AC106" s="116">
        <v>0</v>
      </c>
      <c r="AD106" s="116">
        <v>0</v>
      </c>
      <c r="AE106" s="116">
        <v>0</v>
      </c>
      <c r="AF106" s="116">
        <v>0</v>
      </c>
      <c r="AG106" s="116">
        <v>0</v>
      </c>
      <c r="AH106" s="116">
        <v>0</v>
      </c>
      <c r="AI106" s="116">
        <v>0</v>
      </c>
      <c r="AJ106" s="116">
        <v>0</v>
      </c>
      <c r="AK106" s="287">
        <v>0</v>
      </c>
      <c r="AL106" s="607">
        <f t="shared" si="337"/>
        <v>0</v>
      </c>
      <c r="AM106" s="287">
        <f t="shared" ref="AM106:BO106" si="346">AL106</f>
        <v>0</v>
      </c>
      <c r="AN106" s="116">
        <f t="shared" si="346"/>
        <v>0</v>
      </c>
      <c r="AO106" s="116">
        <f t="shared" si="346"/>
        <v>0</v>
      </c>
      <c r="AP106" s="116">
        <f t="shared" si="346"/>
        <v>0</v>
      </c>
      <c r="AQ106" s="116">
        <f t="shared" si="346"/>
        <v>0</v>
      </c>
      <c r="AR106" s="116">
        <f t="shared" si="346"/>
        <v>0</v>
      </c>
      <c r="AS106" s="116">
        <f t="shared" si="346"/>
        <v>0</v>
      </c>
      <c r="AT106" s="116">
        <f t="shared" si="346"/>
        <v>0</v>
      </c>
      <c r="AU106" s="116">
        <f t="shared" si="346"/>
        <v>0</v>
      </c>
      <c r="AV106" s="116">
        <f t="shared" si="346"/>
        <v>0</v>
      </c>
      <c r="AW106" s="116">
        <f t="shared" si="346"/>
        <v>0</v>
      </c>
      <c r="AX106" s="116">
        <f t="shared" si="346"/>
        <v>0</v>
      </c>
      <c r="AY106" s="287">
        <f t="shared" si="346"/>
        <v>0</v>
      </c>
      <c r="AZ106" s="116">
        <f t="shared" si="346"/>
        <v>0</v>
      </c>
      <c r="BA106" s="116">
        <f t="shared" si="346"/>
        <v>0</v>
      </c>
      <c r="BB106" s="116">
        <f t="shared" si="346"/>
        <v>0</v>
      </c>
      <c r="BC106" s="116">
        <f t="shared" si="346"/>
        <v>0</v>
      </c>
      <c r="BD106" s="116">
        <f t="shared" si="346"/>
        <v>0</v>
      </c>
      <c r="BE106" s="116">
        <f t="shared" si="346"/>
        <v>0</v>
      </c>
      <c r="BF106" s="116">
        <f t="shared" si="346"/>
        <v>0</v>
      </c>
      <c r="BG106" s="116">
        <f t="shared" si="346"/>
        <v>0</v>
      </c>
      <c r="BH106" s="116">
        <f t="shared" si="346"/>
        <v>0</v>
      </c>
      <c r="BI106" s="116">
        <f t="shared" si="346"/>
        <v>0</v>
      </c>
      <c r="BJ106" s="116">
        <f t="shared" si="346"/>
        <v>0</v>
      </c>
      <c r="BK106" s="287">
        <f t="shared" si="346"/>
        <v>0</v>
      </c>
      <c r="BL106" s="116">
        <f t="shared" si="346"/>
        <v>0</v>
      </c>
      <c r="BM106" s="116">
        <f t="shared" si="346"/>
        <v>0</v>
      </c>
      <c r="BN106" s="116">
        <f t="shared" si="346"/>
        <v>0</v>
      </c>
      <c r="BO106" s="116">
        <f t="shared" si="346"/>
        <v>0</v>
      </c>
      <c r="BP106" s="116">
        <f t="shared" ref="BP106:CU106" si="347">BO106</f>
        <v>0</v>
      </c>
      <c r="BQ106" s="116">
        <f t="shared" si="347"/>
        <v>0</v>
      </c>
      <c r="BR106" s="116">
        <f t="shared" si="347"/>
        <v>0</v>
      </c>
      <c r="BS106" s="116">
        <f t="shared" si="347"/>
        <v>0</v>
      </c>
      <c r="BT106" s="116">
        <f t="shared" si="347"/>
        <v>0</v>
      </c>
      <c r="BU106" s="116">
        <f t="shared" si="347"/>
        <v>0</v>
      </c>
      <c r="BV106" s="116">
        <f t="shared" si="347"/>
        <v>0</v>
      </c>
      <c r="BW106" s="287">
        <f t="shared" si="347"/>
        <v>0</v>
      </c>
      <c r="BX106" s="116">
        <f t="shared" si="347"/>
        <v>0</v>
      </c>
      <c r="BY106" s="116">
        <f t="shared" si="347"/>
        <v>0</v>
      </c>
      <c r="BZ106" s="116">
        <f t="shared" si="347"/>
        <v>0</v>
      </c>
      <c r="CA106" s="116">
        <f t="shared" si="347"/>
        <v>0</v>
      </c>
      <c r="CB106" s="116">
        <f t="shared" si="347"/>
        <v>0</v>
      </c>
      <c r="CC106" s="116">
        <f t="shared" si="347"/>
        <v>0</v>
      </c>
      <c r="CD106" s="116">
        <f t="shared" si="347"/>
        <v>0</v>
      </c>
      <c r="CE106" s="116">
        <f t="shared" si="347"/>
        <v>0</v>
      </c>
      <c r="CF106" s="116">
        <f t="shared" si="347"/>
        <v>0</v>
      </c>
      <c r="CG106" s="116">
        <f t="shared" si="347"/>
        <v>0</v>
      </c>
      <c r="CH106" s="116">
        <f t="shared" si="347"/>
        <v>0</v>
      </c>
      <c r="CI106" s="287">
        <f t="shared" si="347"/>
        <v>0</v>
      </c>
      <c r="CJ106" s="116">
        <f t="shared" si="347"/>
        <v>0</v>
      </c>
      <c r="CK106" s="116">
        <f t="shared" si="347"/>
        <v>0</v>
      </c>
      <c r="CL106" s="116">
        <f t="shared" si="347"/>
        <v>0</v>
      </c>
      <c r="CM106" s="116">
        <f t="shared" si="347"/>
        <v>0</v>
      </c>
      <c r="CN106" s="116">
        <f t="shared" si="347"/>
        <v>0</v>
      </c>
      <c r="CO106" s="116">
        <f t="shared" si="347"/>
        <v>0</v>
      </c>
      <c r="CP106" s="116">
        <f t="shared" si="347"/>
        <v>0</v>
      </c>
      <c r="CQ106" s="116">
        <f t="shared" si="347"/>
        <v>0</v>
      </c>
      <c r="CR106" s="116">
        <f t="shared" si="347"/>
        <v>0</v>
      </c>
      <c r="CS106" s="116">
        <f t="shared" si="347"/>
        <v>0</v>
      </c>
      <c r="CT106" s="116">
        <f t="shared" si="347"/>
        <v>0</v>
      </c>
      <c r="CU106" s="287">
        <f t="shared" si="347"/>
        <v>0</v>
      </c>
      <c r="CV106" s="116">
        <f t="shared" ref="CV106:DG106" si="348">CU106</f>
        <v>0</v>
      </c>
      <c r="CW106" s="116">
        <f t="shared" si="348"/>
        <v>0</v>
      </c>
      <c r="CX106" s="116">
        <f t="shared" si="348"/>
        <v>0</v>
      </c>
      <c r="CY106" s="116">
        <f t="shared" si="348"/>
        <v>0</v>
      </c>
      <c r="CZ106" s="116">
        <f t="shared" si="348"/>
        <v>0</v>
      </c>
      <c r="DA106" s="116">
        <f t="shared" si="348"/>
        <v>0</v>
      </c>
      <c r="DB106" s="116">
        <f t="shared" si="348"/>
        <v>0</v>
      </c>
      <c r="DC106" s="116">
        <f t="shared" si="348"/>
        <v>0</v>
      </c>
      <c r="DD106" s="116">
        <f t="shared" si="348"/>
        <v>0</v>
      </c>
      <c r="DE106" s="116">
        <f t="shared" si="348"/>
        <v>0</v>
      </c>
      <c r="DF106" s="116">
        <f t="shared" si="348"/>
        <v>0</v>
      </c>
      <c r="DG106" s="116">
        <f t="shared" si="348"/>
        <v>0</v>
      </c>
    </row>
    <row r="107" spans="1:111" x14ac:dyDescent="0.3">
      <c r="B107" s="1" t="s">
        <v>254</v>
      </c>
      <c r="C107" s="1"/>
      <c r="D107" s="58"/>
      <c r="E107" s="58"/>
      <c r="F107" s="58"/>
      <c r="G107" s="58"/>
      <c r="H107" s="58"/>
      <c r="I107" s="58"/>
      <c r="J107" s="58"/>
      <c r="K107" s="58"/>
      <c r="L107" s="58"/>
      <c r="M107" s="58"/>
      <c r="O107" s="52"/>
      <c r="P107" s="116"/>
      <c r="Q107" s="116"/>
      <c r="R107" s="116"/>
      <c r="S107" s="116"/>
      <c r="T107" s="116"/>
      <c r="U107" s="116"/>
      <c r="V107" s="116"/>
      <c r="W107" s="116">
        <v>0</v>
      </c>
      <c r="X107" s="116">
        <v>0</v>
      </c>
      <c r="Y107" s="116">
        <v>0</v>
      </c>
      <c r="Z107" s="116">
        <v>0</v>
      </c>
      <c r="AA107" s="116">
        <v>0</v>
      </c>
      <c r="AB107" s="116">
        <v>0</v>
      </c>
      <c r="AC107" s="116">
        <v>0</v>
      </c>
      <c r="AD107" s="116">
        <v>0</v>
      </c>
      <c r="AE107" s="116">
        <v>0</v>
      </c>
      <c r="AF107" s="116">
        <v>0</v>
      </c>
      <c r="AG107" s="116">
        <v>0</v>
      </c>
      <c r="AH107" s="116">
        <v>0</v>
      </c>
      <c r="AI107" s="116">
        <v>0</v>
      </c>
      <c r="AJ107" s="116">
        <v>0</v>
      </c>
      <c r="AK107" s="287">
        <v>0</v>
      </c>
      <c r="AL107" s="607">
        <f t="shared" si="337"/>
        <v>0</v>
      </c>
      <c r="AM107" s="287">
        <f t="shared" ref="AM107:BO107" si="349">AL107</f>
        <v>0</v>
      </c>
      <c r="AN107" s="116">
        <f t="shared" si="349"/>
        <v>0</v>
      </c>
      <c r="AO107" s="116">
        <f t="shared" si="349"/>
        <v>0</v>
      </c>
      <c r="AP107" s="116">
        <f t="shared" si="349"/>
        <v>0</v>
      </c>
      <c r="AQ107" s="116">
        <f t="shared" si="349"/>
        <v>0</v>
      </c>
      <c r="AR107" s="116">
        <f t="shared" si="349"/>
        <v>0</v>
      </c>
      <c r="AS107" s="116">
        <f t="shared" si="349"/>
        <v>0</v>
      </c>
      <c r="AT107" s="116">
        <f t="shared" si="349"/>
        <v>0</v>
      </c>
      <c r="AU107" s="116">
        <f t="shared" si="349"/>
        <v>0</v>
      </c>
      <c r="AV107" s="116">
        <f t="shared" si="349"/>
        <v>0</v>
      </c>
      <c r="AW107" s="116">
        <f t="shared" si="349"/>
        <v>0</v>
      </c>
      <c r="AX107" s="116">
        <f t="shared" si="349"/>
        <v>0</v>
      </c>
      <c r="AY107" s="287">
        <f t="shared" si="349"/>
        <v>0</v>
      </c>
      <c r="AZ107" s="116">
        <f t="shared" si="349"/>
        <v>0</v>
      </c>
      <c r="BA107" s="116">
        <f t="shared" si="349"/>
        <v>0</v>
      </c>
      <c r="BB107" s="116">
        <f t="shared" si="349"/>
        <v>0</v>
      </c>
      <c r="BC107" s="116">
        <f t="shared" si="349"/>
        <v>0</v>
      </c>
      <c r="BD107" s="116">
        <f t="shared" si="349"/>
        <v>0</v>
      </c>
      <c r="BE107" s="116">
        <f t="shared" si="349"/>
        <v>0</v>
      </c>
      <c r="BF107" s="116">
        <f t="shared" si="349"/>
        <v>0</v>
      </c>
      <c r="BG107" s="116">
        <f t="shared" si="349"/>
        <v>0</v>
      </c>
      <c r="BH107" s="116">
        <f t="shared" si="349"/>
        <v>0</v>
      </c>
      <c r="BI107" s="116">
        <f t="shared" si="349"/>
        <v>0</v>
      </c>
      <c r="BJ107" s="116">
        <f t="shared" si="349"/>
        <v>0</v>
      </c>
      <c r="BK107" s="287">
        <f t="shared" si="349"/>
        <v>0</v>
      </c>
      <c r="BL107" s="116">
        <f t="shared" si="349"/>
        <v>0</v>
      </c>
      <c r="BM107" s="116">
        <f t="shared" si="349"/>
        <v>0</v>
      </c>
      <c r="BN107" s="116">
        <f t="shared" si="349"/>
        <v>0</v>
      </c>
      <c r="BO107" s="116">
        <f t="shared" si="349"/>
        <v>0</v>
      </c>
      <c r="BP107" s="116">
        <f t="shared" ref="BP107:CU107" si="350">BO107</f>
        <v>0</v>
      </c>
      <c r="BQ107" s="116">
        <f t="shared" si="350"/>
        <v>0</v>
      </c>
      <c r="BR107" s="116">
        <f t="shared" si="350"/>
        <v>0</v>
      </c>
      <c r="BS107" s="116">
        <f t="shared" si="350"/>
        <v>0</v>
      </c>
      <c r="BT107" s="116">
        <f t="shared" si="350"/>
        <v>0</v>
      </c>
      <c r="BU107" s="116">
        <f t="shared" si="350"/>
        <v>0</v>
      </c>
      <c r="BV107" s="116">
        <f t="shared" si="350"/>
        <v>0</v>
      </c>
      <c r="BW107" s="287">
        <f t="shared" si="350"/>
        <v>0</v>
      </c>
      <c r="BX107" s="116">
        <f t="shared" si="350"/>
        <v>0</v>
      </c>
      <c r="BY107" s="116">
        <f t="shared" si="350"/>
        <v>0</v>
      </c>
      <c r="BZ107" s="116">
        <f t="shared" si="350"/>
        <v>0</v>
      </c>
      <c r="CA107" s="116">
        <f t="shared" si="350"/>
        <v>0</v>
      </c>
      <c r="CB107" s="116">
        <f t="shared" si="350"/>
        <v>0</v>
      </c>
      <c r="CC107" s="116">
        <f t="shared" si="350"/>
        <v>0</v>
      </c>
      <c r="CD107" s="116">
        <f t="shared" si="350"/>
        <v>0</v>
      </c>
      <c r="CE107" s="116">
        <f t="shared" si="350"/>
        <v>0</v>
      </c>
      <c r="CF107" s="116">
        <f t="shared" si="350"/>
        <v>0</v>
      </c>
      <c r="CG107" s="116">
        <f t="shared" si="350"/>
        <v>0</v>
      </c>
      <c r="CH107" s="116">
        <f t="shared" si="350"/>
        <v>0</v>
      </c>
      <c r="CI107" s="287">
        <f t="shared" si="350"/>
        <v>0</v>
      </c>
      <c r="CJ107" s="116">
        <f t="shared" si="350"/>
        <v>0</v>
      </c>
      <c r="CK107" s="116">
        <f t="shared" si="350"/>
        <v>0</v>
      </c>
      <c r="CL107" s="116">
        <f t="shared" si="350"/>
        <v>0</v>
      </c>
      <c r="CM107" s="116">
        <f t="shared" si="350"/>
        <v>0</v>
      </c>
      <c r="CN107" s="116">
        <f t="shared" si="350"/>
        <v>0</v>
      </c>
      <c r="CO107" s="116">
        <f t="shared" si="350"/>
        <v>0</v>
      </c>
      <c r="CP107" s="116">
        <f t="shared" si="350"/>
        <v>0</v>
      </c>
      <c r="CQ107" s="116">
        <f t="shared" si="350"/>
        <v>0</v>
      </c>
      <c r="CR107" s="116">
        <f t="shared" si="350"/>
        <v>0</v>
      </c>
      <c r="CS107" s="116">
        <f t="shared" si="350"/>
        <v>0</v>
      </c>
      <c r="CT107" s="116">
        <f t="shared" si="350"/>
        <v>0</v>
      </c>
      <c r="CU107" s="287">
        <f t="shared" si="350"/>
        <v>0</v>
      </c>
      <c r="CV107" s="116">
        <f t="shared" ref="CV107:DG107" si="351">CU107</f>
        <v>0</v>
      </c>
      <c r="CW107" s="116">
        <f t="shared" si="351"/>
        <v>0</v>
      </c>
      <c r="CX107" s="116">
        <f t="shared" si="351"/>
        <v>0</v>
      </c>
      <c r="CY107" s="116">
        <f t="shared" si="351"/>
        <v>0</v>
      </c>
      <c r="CZ107" s="116">
        <f t="shared" si="351"/>
        <v>0</v>
      </c>
      <c r="DA107" s="116">
        <f t="shared" si="351"/>
        <v>0</v>
      </c>
      <c r="DB107" s="116">
        <f t="shared" si="351"/>
        <v>0</v>
      </c>
      <c r="DC107" s="116">
        <f t="shared" si="351"/>
        <v>0</v>
      </c>
      <c r="DD107" s="116">
        <f t="shared" si="351"/>
        <v>0</v>
      </c>
      <c r="DE107" s="116">
        <f t="shared" si="351"/>
        <v>0</v>
      </c>
      <c r="DF107" s="116">
        <f t="shared" si="351"/>
        <v>0</v>
      </c>
      <c r="DG107" s="116">
        <f t="shared" si="351"/>
        <v>0</v>
      </c>
    </row>
    <row r="108" spans="1:111" x14ac:dyDescent="0.3">
      <c r="B108" s="1" t="s">
        <v>255</v>
      </c>
      <c r="C108" s="1"/>
      <c r="D108" s="58"/>
      <c r="E108" s="58"/>
      <c r="F108" s="58"/>
      <c r="G108" s="58"/>
      <c r="H108" s="58"/>
      <c r="I108" s="58"/>
      <c r="J108" s="58"/>
      <c r="K108" s="58"/>
      <c r="L108" s="58"/>
      <c r="M108" s="58"/>
      <c r="O108" s="52"/>
      <c r="P108" s="116"/>
      <c r="Q108" s="116"/>
      <c r="R108" s="116"/>
      <c r="S108" s="116"/>
      <c r="T108" s="116"/>
      <c r="U108" s="116"/>
      <c r="V108" s="116"/>
      <c r="W108" s="116">
        <v>0</v>
      </c>
      <c r="X108" s="116">
        <v>0</v>
      </c>
      <c r="Y108" s="116">
        <v>0</v>
      </c>
      <c r="Z108" s="116">
        <v>0</v>
      </c>
      <c r="AA108" s="116">
        <v>0</v>
      </c>
      <c r="AB108" s="116">
        <v>0</v>
      </c>
      <c r="AC108" s="116">
        <v>0</v>
      </c>
      <c r="AD108" s="116">
        <v>0</v>
      </c>
      <c r="AE108" s="116">
        <v>0</v>
      </c>
      <c r="AF108" s="116">
        <v>0</v>
      </c>
      <c r="AG108" s="116">
        <v>0</v>
      </c>
      <c r="AH108" s="116">
        <v>0</v>
      </c>
      <c r="AI108" s="116">
        <v>0</v>
      </c>
      <c r="AJ108" s="116">
        <v>0</v>
      </c>
      <c r="AK108" s="287">
        <v>0</v>
      </c>
      <c r="AL108" s="607">
        <f t="shared" si="337"/>
        <v>0</v>
      </c>
      <c r="AM108" s="287">
        <f t="shared" ref="AM108:BO108" si="352">AL108</f>
        <v>0</v>
      </c>
      <c r="AN108" s="116">
        <f t="shared" si="352"/>
        <v>0</v>
      </c>
      <c r="AO108" s="116">
        <f t="shared" si="352"/>
        <v>0</v>
      </c>
      <c r="AP108" s="116">
        <f t="shared" si="352"/>
        <v>0</v>
      </c>
      <c r="AQ108" s="116">
        <f t="shared" si="352"/>
        <v>0</v>
      </c>
      <c r="AR108" s="116">
        <f t="shared" si="352"/>
        <v>0</v>
      </c>
      <c r="AS108" s="116">
        <f t="shared" si="352"/>
        <v>0</v>
      </c>
      <c r="AT108" s="116">
        <f t="shared" si="352"/>
        <v>0</v>
      </c>
      <c r="AU108" s="116">
        <f t="shared" si="352"/>
        <v>0</v>
      </c>
      <c r="AV108" s="116">
        <f t="shared" si="352"/>
        <v>0</v>
      </c>
      <c r="AW108" s="116">
        <f t="shared" si="352"/>
        <v>0</v>
      </c>
      <c r="AX108" s="116">
        <f t="shared" si="352"/>
        <v>0</v>
      </c>
      <c r="AY108" s="287">
        <f t="shared" si="352"/>
        <v>0</v>
      </c>
      <c r="AZ108" s="116">
        <f t="shared" si="352"/>
        <v>0</v>
      </c>
      <c r="BA108" s="116">
        <f t="shared" si="352"/>
        <v>0</v>
      </c>
      <c r="BB108" s="116">
        <f t="shared" si="352"/>
        <v>0</v>
      </c>
      <c r="BC108" s="116">
        <f t="shared" si="352"/>
        <v>0</v>
      </c>
      <c r="BD108" s="116">
        <f t="shared" si="352"/>
        <v>0</v>
      </c>
      <c r="BE108" s="116">
        <f t="shared" si="352"/>
        <v>0</v>
      </c>
      <c r="BF108" s="116">
        <f t="shared" si="352"/>
        <v>0</v>
      </c>
      <c r="BG108" s="116">
        <f t="shared" si="352"/>
        <v>0</v>
      </c>
      <c r="BH108" s="116">
        <f t="shared" si="352"/>
        <v>0</v>
      </c>
      <c r="BI108" s="116">
        <f t="shared" si="352"/>
        <v>0</v>
      </c>
      <c r="BJ108" s="116">
        <f t="shared" si="352"/>
        <v>0</v>
      </c>
      <c r="BK108" s="287">
        <f t="shared" si="352"/>
        <v>0</v>
      </c>
      <c r="BL108" s="116">
        <f t="shared" si="352"/>
        <v>0</v>
      </c>
      <c r="BM108" s="116">
        <f t="shared" si="352"/>
        <v>0</v>
      </c>
      <c r="BN108" s="116">
        <f t="shared" si="352"/>
        <v>0</v>
      </c>
      <c r="BO108" s="116">
        <f t="shared" si="352"/>
        <v>0</v>
      </c>
      <c r="BP108" s="116">
        <f t="shared" ref="BP108:CU108" si="353">BO108</f>
        <v>0</v>
      </c>
      <c r="BQ108" s="116">
        <f t="shared" si="353"/>
        <v>0</v>
      </c>
      <c r="BR108" s="116">
        <f t="shared" si="353"/>
        <v>0</v>
      </c>
      <c r="BS108" s="116">
        <f t="shared" si="353"/>
        <v>0</v>
      </c>
      <c r="BT108" s="116">
        <f t="shared" si="353"/>
        <v>0</v>
      </c>
      <c r="BU108" s="116">
        <f t="shared" si="353"/>
        <v>0</v>
      </c>
      <c r="BV108" s="116">
        <f t="shared" si="353"/>
        <v>0</v>
      </c>
      <c r="BW108" s="287">
        <f t="shared" si="353"/>
        <v>0</v>
      </c>
      <c r="BX108" s="116">
        <f t="shared" si="353"/>
        <v>0</v>
      </c>
      <c r="BY108" s="116">
        <f t="shared" si="353"/>
        <v>0</v>
      </c>
      <c r="BZ108" s="116">
        <f t="shared" si="353"/>
        <v>0</v>
      </c>
      <c r="CA108" s="116">
        <f t="shared" si="353"/>
        <v>0</v>
      </c>
      <c r="CB108" s="116">
        <f t="shared" si="353"/>
        <v>0</v>
      </c>
      <c r="CC108" s="116">
        <f t="shared" si="353"/>
        <v>0</v>
      </c>
      <c r="CD108" s="116">
        <f t="shared" si="353"/>
        <v>0</v>
      </c>
      <c r="CE108" s="116">
        <f t="shared" si="353"/>
        <v>0</v>
      </c>
      <c r="CF108" s="116">
        <f t="shared" si="353"/>
        <v>0</v>
      </c>
      <c r="CG108" s="116">
        <f t="shared" si="353"/>
        <v>0</v>
      </c>
      <c r="CH108" s="116">
        <f t="shared" si="353"/>
        <v>0</v>
      </c>
      <c r="CI108" s="287">
        <f t="shared" si="353"/>
        <v>0</v>
      </c>
      <c r="CJ108" s="116">
        <f t="shared" si="353"/>
        <v>0</v>
      </c>
      <c r="CK108" s="116">
        <f t="shared" si="353"/>
        <v>0</v>
      </c>
      <c r="CL108" s="116">
        <f t="shared" si="353"/>
        <v>0</v>
      </c>
      <c r="CM108" s="116">
        <f t="shared" si="353"/>
        <v>0</v>
      </c>
      <c r="CN108" s="116">
        <f t="shared" si="353"/>
        <v>0</v>
      </c>
      <c r="CO108" s="116">
        <f t="shared" si="353"/>
        <v>0</v>
      </c>
      <c r="CP108" s="116">
        <f t="shared" si="353"/>
        <v>0</v>
      </c>
      <c r="CQ108" s="116">
        <f t="shared" si="353"/>
        <v>0</v>
      </c>
      <c r="CR108" s="116">
        <f t="shared" si="353"/>
        <v>0</v>
      </c>
      <c r="CS108" s="116">
        <f t="shared" si="353"/>
        <v>0</v>
      </c>
      <c r="CT108" s="116">
        <f t="shared" si="353"/>
        <v>0</v>
      </c>
      <c r="CU108" s="287">
        <f t="shared" si="353"/>
        <v>0</v>
      </c>
      <c r="CV108" s="116">
        <f t="shared" ref="CV108:DG108" si="354">CU108</f>
        <v>0</v>
      </c>
      <c r="CW108" s="116">
        <f t="shared" si="354"/>
        <v>0</v>
      </c>
      <c r="CX108" s="116">
        <f t="shared" si="354"/>
        <v>0</v>
      </c>
      <c r="CY108" s="116">
        <f t="shared" si="354"/>
        <v>0</v>
      </c>
      <c r="CZ108" s="116">
        <f t="shared" si="354"/>
        <v>0</v>
      </c>
      <c r="DA108" s="116">
        <f t="shared" si="354"/>
        <v>0</v>
      </c>
      <c r="DB108" s="116">
        <f t="shared" si="354"/>
        <v>0</v>
      </c>
      <c r="DC108" s="116">
        <f t="shared" si="354"/>
        <v>0</v>
      </c>
      <c r="DD108" s="116">
        <f t="shared" si="354"/>
        <v>0</v>
      </c>
      <c r="DE108" s="116">
        <f t="shared" si="354"/>
        <v>0</v>
      </c>
      <c r="DF108" s="116">
        <f t="shared" si="354"/>
        <v>0</v>
      </c>
      <c r="DG108" s="116">
        <f t="shared" si="354"/>
        <v>0</v>
      </c>
    </row>
    <row r="109" spans="1:111" x14ac:dyDescent="0.3">
      <c r="A109" s="5"/>
      <c r="B109" s="6" t="s">
        <v>256</v>
      </c>
      <c r="C109" s="6"/>
      <c r="D109" s="55"/>
      <c r="E109" s="55"/>
      <c r="F109" s="55"/>
      <c r="G109" s="55"/>
      <c r="H109" s="55"/>
      <c r="I109" s="55"/>
      <c r="J109" s="55"/>
      <c r="K109" s="55"/>
      <c r="L109" s="55"/>
      <c r="M109" s="55"/>
      <c r="N109" s="55"/>
      <c r="O109" s="55"/>
      <c r="P109" s="55"/>
      <c r="Q109" s="55"/>
      <c r="R109" s="55"/>
      <c r="S109" s="55"/>
      <c r="T109" s="55"/>
      <c r="U109" s="55"/>
      <c r="V109" s="55"/>
      <c r="W109" s="55">
        <f>SUM(W103:W108)</f>
        <v>0</v>
      </c>
      <c r="X109" s="55">
        <f t="shared" ref="X109:CI109" si="355">SUM(X103:X108)</f>
        <v>0</v>
      </c>
      <c r="Y109" s="55">
        <f t="shared" si="355"/>
        <v>0</v>
      </c>
      <c r="Z109" s="55">
        <f t="shared" si="355"/>
        <v>0</v>
      </c>
      <c r="AA109" s="55">
        <f t="shared" si="355"/>
        <v>0</v>
      </c>
      <c r="AB109" s="55">
        <f t="shared" si="355"/>
        <v>3000</v>
      </c>
      <c r="AC109" s="55">
        <f t="shared" si="355"/>
        <v>0</v>
      </c>
      <c r="AD109" s="55">
        <f t="shared" si="355"/>
        <v>0</v>
      </c>
      <c r="AE109" s="55">
        <f t="shared" si="355"/>
        <v>0</v>
      </c>
      <c r="AF109" s="55">
        <f t="shared" si="355"/>
        <v>0</v>
      </c>
      <c r="AG109" s="55">
        <f t="shared" ref="AG109:AL109" si="356">SUM(AG103:AG108)</f>
        <v>0</v>
      </c>
      <c r="AH109" s="55">
        <f t="shared" si="356"/>
        <v>0</v>
      </c>
      <c r="AI109" s="55">
        <f t="shared" si="356"/>
        <v>0</v>
      </c>
      <c r="AJ109" s="55">
        <f t="shared" si="356"/>
        <v>0</v>
      </c>
      <c r="AK109" s="292">
        <f t="shared" si="356"/>
        <v>0</v>
      </c>
      <c r="AL109" s="55">
        <f t="shared" si="356"/>
        <v>0</v>
      </c>
      <c r="AM109" s="292">
        <f t="shared" si="355"/>
        <v>0</v>
      </c>
      <c r="AN109" s="55">
        <f t="shared" si="355"/>
        <v>0</v>
      </c>
      <c r="AO109" s="55">
        <f t="shared" si="355"/>
        <v>0</v>
      </c>
      <c r="AP109" s="55">
        <f t="shared" si="355"/>
        <v>0</v>
      </c>
      <c r="AQ109" s="55">
        <f t="shared" si="355"/>
        <v>0</v>
      </c>
      <c r="AR109" s="55">
        <f t="shared" si="355"/>
        <v>0</v>
      </c>
      <c r="AS109" s="55">
        <f t="shared" si="355"/>
        <v>0</v>
      </c>
      <c r="AT109" s="55">
        <f t="shared" si="355"/>
        <v>0</v>
      </c>
      <c r="AU109" s="55">
        <f t="shared" si="355"/>
        <v>0</v>
      </c>
      <c r="AV109" s="55">
        <f t="shared" si="355"/>
        <v>0</v>
      </c>
      <c r="AW109" s="55">
        <f t="shared" si="355"/>
        <v>0</v>
      </c>
      <c r="AX109" s="55">
        <f t="shared" si="355"/>
        <v>0</v>
      </c>
      <c r="AY109" s="292">
        <f t="shared" si="355"/>
        <v>0</v>
      </c>
      <c r="AZ109" s="55">
        <f t="shared" si="355"/>
        <v>0</v>
      </c>
      <c r="BA109" s="55">
        <f t="shared" si="355"/>
        <v>0</v>
      </c>
      <c r="BB109" s="55">
        <f t="shared" si="355"/>
        <v>0</v>
      </c>
      <c r="BC109" s="55">
        <f t="shared" si="355"/>
        <v>0</v>
      </c>
      <c r="BD109" s="55">
        <f t="shared" si="355"/>
        <v>0</v>
      </c>
      <c r="BE109" s="55">
        <f t="shared" si="355"/>
        <v>0</v>
      </c>
      <c r="BF109" s="55">
        <f t="shared" si="355"/>
        <v>0</v>
      </c>
      <c r="BG109" s="55">
        <f t="shared" si="355"/>
        <v>0</v>
      </c>
      <c r="BH109" s="55">
        <f t="shared" si="355"/>
        <v>0</v>
      </c>
      <c r="BI109" s="55">
        <f t="shared" si="355"/>
        <v>0</v>
      </c>
      <c r="BJ109" s="55">
        <f t="shared" si="355"/>
        <v>0</v>
      </c>
      <c r="BK109" s="292">
        <f t="shared" si="355"/>
        <v>0</v>
      </c>
      <c r="BL109" s="55">
        <f t="shared" si="355"/>
        <v>0</v>
      </c>
      <c r="BM109" s="55">
        <f t="shared" si="355"/>
        <v>0</v>
      </c>
      <c r="BN109" s="55">
        <f t="shared" si="355"/>
        <v>0</v>
      </c>
      <c r="BO109" s="55">
        <f t="shared" si="355"/>
        <v>0</v>
      </c>
      <c r="BP109" s="55">
        <f t="shared" si="355"/>
        <v>0</v>
      </c>
      <c r="BQ109" s="55">
        <f t="shared" si="355"/>
        <v>0</v>
      </c>
      <c r="BR109" s="55">
        <f t="shared" si="355"/>
        <v>0</v>
      </c>
      <c r="BS109" s="55">
        <f t="shared" si="355"/>
        <v>0</v>
      </c>
      <c r="BT109" s="55">
        <f t="shared" si="355"/>
        <v>0</v>
      </c>
      <c r="BU109" s="55">
        <f t="shared" si="355"/>
        <v>0</v>
      </c>
      <c r="BV109" s="55">
        <f t="shared" si="355"/>
        <v>0</v>
      </c>
      <c r="BW109" s="292">
        <f t="shared" si="355"/>
        <v>0</v>
      </c>
      <c r="BX109" s="55">
        <f t="shared" si="355"/>
        <v>0</v>
      </c>
      <c r="BY109" s="55">
        <f t="shared" si="355"/>
        <v>0</v>
      </c>
      <c r="BZ109" s="55">
        <f t="shared" si="355"/>
        <v>0</v>
      </c>
      <c r="CA109" s="55">
        <f t="shared" si="355"/>
        <v>0</v>
      </c>
      <c r="CB109" s="55">
        <f t="shared" si="355"/>
        <v>0</v>
      </c>
      <c r="CC109" s="55">
        <f t="shared" si="355"/>
        <v>0</v>
      </c>
      <c r="CD109" s="55">
        <f t="shared" si="355"/>
        <v>0</v>
      </c>
      <c r="CE109" s="55">
        <f t="shared" si="355"/>
        <v>0</v>
      </c>
      <c r="CF109" s="55">
        <f t="shared" si="355"/>
        <v>0</v>
      </c>
      <c r="CG109" s="55">
        <f t="shared" si="355"/>
        <v>0</v>
      </c>
      <c r="CH109" s="55">
        <f t="shared" si="355"/>
        <v>0</v>
      </c>
      <c r="CI109" s="292">
        <f t="shared" si="355"/>
        <v>0</v>
      </c>
      <c r="CJ109" s="55">
        <f t="shared" ref="CJ109:DG109" si="357">SUM(CJ103:CJ108)</f>
        <v>0</v>
      </c>
      <c r="CK109" s="55">
        <f t="shared" si="357"/>
        <v>0</v>
      </c>
      <c r="CL109" s="55">
        <f t="shared" si="357"/>
        <v>0</v>
      </c>
      <c r="CM109" s="55">
        <f t="shared" si="357"/>
        <v>0</v>
      </c>
      <c r="CN109" s="55">
        <f t="shared" si="357"/>
        <v>0</v>
      </c>
      <c r="CO109" s="55">
        <f t="shared" si="357"/>
        <v>0</v>
      </c>
      <c r="CP109" s="55">
        <f t="shared" si="357"/>
        <v>0</v>
      </c>
      <c r="CQ109" s="55">
        <f t="shared" si="357"/>
        <v>0</v>
      </c>
      <c r="CR109" s="55">
        <f t="shared" si="357"/>
        <v>0</v>
      </c>
      <c r="CS109" s="55">
        <f t="shared" si="357"/>
        <v>0</v>
      </c>
      <c r="CT109" s="55">
        <f t="shared" si="357"/>
        <v>0</v>
      </c>
      <c r="CU109" s="292">
        <f t="shared" si="357"/>
        <v>0</v>
      </c>
      <c r="CV109" s="55">
        <f t="shared" si="357"/>
        <v>0</v>
      </c>
      <c r="CW109" s="55">
        <f t="shared" si="357"/>
        <v>0</v>
      </c>
      <c r="CX109" s="55">
        <f t="shared" si="357"/>
        <v>0</v>
      </c>
      <c r="CY109" s="55">
        <f t="shared" si="357"/>
        <v>0</v>
      </c>
      <c r="CZ109" s="55">
        <f t="shared" si="357"/>
        <v>0</v>
      </c>
      <c r="DA109" s="55">
        <f t="shared" si="357"/>
        <v>0</v>
      </c>
      <c r="DB109" s="55">
        <f t="shared" si="357"/>
        <v>0</v>
      </c>
      <c r="DC109" s="55">
        <f t="shared" si="357"/>
        <v>0</v>
      </c>
      <c r="DD109" s="55">
        <f t="shared" si="357"/>
        <v>0</v>
      </c>
      <c r="DE109" s="55">
        <f t="shared" si="357"/>
        <v>0</v>
      </c>
      <c r="DF109" s="55">
        <f t="shared" si="357"/>
        <v>0</v>
      </c>
      <c r="DG109" s="55">
        <f t="shared" si="357"/>
        <v>0</v>
      </c>
    </row>
    <row r="110" spans="1:111" x14ac:dyDescent="0.3">
      <c r="B110" s="1" t="s">
        <v>208</v>
      </c>
      <c r="C110" s="1"/>
      <c r="D110" s="58"/>
      <c r="E110" s="58"/>
      <c r="F110" s="58"/>
      <c r="G110" s="58"/>
      <c r="H110" s="58"/>
      <c r="I110" s="58"/>
      <c r="J110" s="58"/>
      <c r="K110" s="58"/>
      <c r="L110" s="58"/>
      <c r="M110" s="58"/>
      <c r="O110" s="52"/>
      <c r="P110" s="116"/>
      <c r="Q110" s="116"/>
      <c r="R110" s="116"/>
      <c r="S110" s="116"/>
      <c r="T110" s="116"/>
      <c r="U110" s="116"/>
      <c r="V110" s="116">
        <v>0</v>
      </c>
      <c r="W110" s="116">
        <v>0</v>
      </c>
      <c r="X110" s="116">
        <v>0</v>
      </c>
      <c r="Y110" s="116">
        <v>0</v>
      </c>
      <c r="Z110" s="116">
        <v>0</v>
      </c>
      <c r="AA110" s="116">
        <v>0</v>
      </c>
      <c r="AB110" s="116">
        <v>0</v>
      </c>
      <c r="AC110" s="116">
        <v>0</v>
      </c>
      <c r="AD110" s="116">
        <v>0</v>
      </c>
      <c r="AE110" s="116">
        <v>0</v>
      </c>
      <c r="AF110" s="116">
        <v>0</v>
      </c>
      <c r="AG110" s="116">
        <v>0</v>
      </c>
      <c r="AH110" s="116">
        <v>0</v>
      </c>
      <c r="AI110" s="116">
        <v>0</v>
      </c>
      <c r="AJ110" s="116">
        <v>0</v>
      </c>
      <c r="AK110" s="287">
        <v>0</v>
      </c>
      <c r="AL110" s="607">
        <v>0</v>
      </c>
      <c r="AM110" s="287">
        <v>0</v>
      </c>
      <c r="AN110" s="116">
        <v>0</v>
      </c>
      <c r="AO110" s="116">
        <v>0</v>
      </c>
      <c r="AP110" s="116">
        <v>0</v>
      </c>
      <c r="AQ110" s="116">
        <v>0</v>
      </c>
      <c r="AR110" s="116">
        <v>0</v>
      </c>
      <c r="AS110" s="116">
        <v>0</v>
      </c>
      <c r="AT110" s="116">
        <v>0</v>
      </c>
      <c r="AU110" s="116">
        <v>0</v>
      </c>
      <c r="AV110" s="116">
        <v>0</v>
      </c>
      <c r="AW110" s="116">
        <v>0</v>
      </c>
      <c r="AX110" s="116">
        <v>0</v>
      </c>
      <c r="AY110" s="287">
        <v>0</v>
      </c>
      <c r="AZ110" s="116">
        <v>0</v>
      </c>
      <c r="BA110" s="116">
        <v>0</v>
      </c>
      <c r="BB110" s="116">
        <v>0</v>
      </c>
      <c r="BC110" s="116">
        <v>0</v>
      </c>
      <c r="BD110" s="116">
        <v>0</v>
      </c>
      <c r="BE110" s="116">
        <v>0</v>
      </c>
      <c r="BF110" s="116">
        <v>0</v>
      </c>
      <c r="BG110" s="116">
        <v>0</v>
      </c>
      <c r="BH110" s="116">
        <v>0</v>
      </c>
      <c r="BI110" s="116">
        <v>0</v>
      </c>
      <c r="BJ110" s="116">
        <v>0</v>
      </c>
      <c r="BK110" s="287">
        <v>0</v>
      </c>
      <c r="BL110" s="116">
        <v>0</v>
      </c>
      <c r="BM110" s="116">
        <v>0</v>
      </c>
      <c r="BN110" s="116">
        <v>0</v>
      </c>
      <c r="BO110" s="116">
        <v>0</v>
      </c>
      <c r="BP110" s="116">
        <v>0</v>
      </c>
      <c r="BQ110" s="116">
        <v>0</v>
      </c>
      <c r="BR110" s="116">
        <v>0</v>
      </c>
      <c r="BS110" s="116">
        <v>0</v>
      </c>
      <c r="BT110" s="116">
        <v>0</v>
      </c>
      <c r="BU110" s="116">
        <v>0</v>
      </c>
      <c r="BV110" s="116">
        <v>0</v>
      </c>
      <c r="BW110" s="287">
        <v>0</v>
      </c>
      <c r="BX110" s="116">
        <v>0</v>
      </c>
      <c r="BY110" s="116">
        <v>0</v>
      </c>
      <c r="BZ110" s="116">
        <v>0</v>
      </c>
      <c r="CA110" s="116">
        <v>0</v>
      </c>
      <c r="CB110" s="116">
        <v>0</v>
      </c>
      <c r="CC110" s="116">
        <v>0</v>
      </c>
      <c r="CD110" s="116">
        <v>0</v>
      </c>
      <c r="CE110" s="116">
        <v>0</v>
      </c>
      <c r="CF110" s="116">
        <v>0</v>
      </c>
      <c r="CG110" s="116">
        <v>0</v>
      </c>
      <c r="CH110" s="116">
        <v>0</v>
      </c>
      <c r="CI110" s="287">
        <v>0</v>
      </c>
      <c r="CJ110" s="116">
        <v>0</v>
      </c>
      <c r="CK110" s="116">
        <v>0</v>
      </c>
      <c r="CL110" s="116">
        <v>0</v>
      </c>
      <c r="CM110" s="116">
        <v>0</v>
      </c>
      <c r="CN110" s="116">
        <v>0</v>
      </c>
      <c r="CO110" s="116">
        <v>0</v>
      </c>
      <c r="CP110" s="116">
        <v>0</v>
      </c>
      <c r="CQ110" s="116">
        <v>0</v>
      </c>
      <c r="CR110" s="116">
        <v>0</v>
      </c>
      <c r="CS110" s="116">
        <v>0</v>
      </c>
      <c r="CT110" s="116">
        <v>0</v>
      </c>
      <c r="CU110" s="287">
        <v>0</v>
      </c>
      <c r="CV110" s="116">
        <v>0</v>
      </c>
      <c r="CW110" s="116">
        <v>0</v>
      </c>
      <c r="CX110" s="116">
        <v>0</v>
      </c>
      <c r="CY110" s="116">
        <v>0</v>
      </c>
      <c r="CZ110" s="116">
        <v>0</v>
      </c>
      <c r="DA110" s="116">
        <v>0</v>
      </c>
      <c r="DB110" s="116">
        <v>0</v>
      </c>
      <c r="DC110" s="116">
        <v>0</v>
      </c>
      <c r="DD110" s="116">
        <v>0</v>
      </c>
      <c r="DE110" s="116">
        <v>0</v>
      </c>
      <c r="DF110" s="116">
        <v>0</v>
      </c>
      <c r="DG110" s="116">
        <v>0</v>
      </c>
    </row>
    <row r="111" spans="1:111" x14ac:dyDescent="0.3">
      <c r="A111" s="5"/>
      <c r="B111" s="6" t="s">
        <v>206</v>
      </c>
      <c r="C111" s="6"/>
      <c r="D111" s="55"/>
      <c r="E111" s="55"/>
      <c r="F111" s="55"/>
      <c r="G111" s="55"/>
      <c r="H111" s="55"/>
      <c r="I111" s="55"/>
      <c r="J111" s="55"/>
      <c r="K111" s="55"/>
      <c r="L111" s="55"/>
      <c r="M111" s="55"/>
      <c r="N111" s="55"/>
      <c r="O111" s="55"/>
      <c r="P111" s="55">
        <f t="shared" ref="P111:AA111" si="358">+SUM(P103:P110)</f>
        <v>0</v>
      </c>
      <c r="Q111" s="55">
        <f t="shared" si="358"/>
        <v>0</v>
      </c>
      <c r="R111" s="55">
        <f t="shared" si="358"/>
        <v>0</v>
      </c>
      <c r="S111" s="55">
        <f t="shared" si="358"/>
        <v>0</v>
      </c>
      <c r="T111" s="55">
        <f t="shared" si="358"/>
        <v>0</v>
      </c>
      <c r="U111" s="55">
        <f t="shared" si="358"/>
        <v>0</v>
      </c>
      <c r="V111" s="55">
        <f t="shared" si="358"/>
        <v>0</v>
      </c>
      <c r="W111" s="55">
        <f t="shared" si="358"/>
        <v>0</v>
      </c>
      <c r="X111" s="55">
        <f t="shared" si="358"/>
        <v>0</v>
      </c>
      <c r="Y111" s="55">
        <f t="shared" si="358"/>
        <v>0</v>
      </c>
      <c r="Z111" s="55">
        <f t="shared" si="358"/>
        <v>0</v>
      </c>
      <c r="AA111" s="55">
        <f t="shared" si="358"/>
        <v>0</v>
      </c>
      <c r="AB111" s="55">
        <f>+SUM(AB109:AB110)</f>
        <v>3000</v>
      </c>
      <c r="AC111" s="55">
        <f t="shared" ref="AC111:CN111" si="359">+SUM(AC109:AC110)</f>
        <v>0</v>
      </c>
      <c r="AD111" s="55">
        <f t="shared" si="359"/>
        <v>0</v>
      </c>
      <c r="AE111" s="55">
        <f t="shared" si="359"/>
        <v>0</v>
      </c>
      <c r="AF111" s="55">
        <f t="shared" si="359"/>
        <v>0</v>
      </c>
      <c r="AG111" s="55">
        <f t="shared" si="359"/>
        <v>0</v>
      </c>
      <c r="AH111" s="55">
        <f t="shared" si="359"/>
        <v>0</v>
      </c>
      <c r="AI111" s="55">
        <f t="shared" si="359"/>
        <v>0</v>
      </c>
      <c r="AJ111" s="55">
        <f t="shared" si="359"/>
        <v>0</v>
      </c>
      <c r="AK111" s="292">
        <f t="shared" si="359"/>
        <v>0</v>
      </c>
      <c r="AL111" s="55">
        <f t="shared" si="359"/>
        <v>0</v>
      </c>
      <c r="AM111" s="292">
        <f t="shared" si="359"/>
        <v>0</v>
      </c>
      <c r="AN111" s="55">
        <f t="shared" si="359"/>
        <v>0</v>
      </c>
      <c r="AO111" s="55">
        <f t="shared" si="359"/>
        <v>0</v>
      </c>
      <c r="AP111" s="55">
        <f t="shared" si="359"/>
        <v>0</v>
      </c>
      <c r="AQ111" s="55">
        <f t="shared" si="359"/>
        <v>0</v>
      </c>
      <c r="AR111" s="55">
        <f t="shared" si="359"/>
        <v>0</v>
      </c>
      <c r="AS111" s="55">
        <f t="shared" si="359"/>
        <v>0</v>
      </c>
      <c r="AT111" s="55">
        <f t="shared" si="359"/>
        <v>0</v>
      </c>
      <c r="AU111" s="55">
        <f t="shared" si="359"/>
        <v>0</v>
      </c>
      <c r="AV111" s="55">
        <f t="shared" si="359"/>
        <v>0</v>
      </c>
      <c r="AW111" s="55">
        <f t="shared" si="359"/>
        <v>0</v>
      </c>
      <c r="AX111" s="55">
        <f t="shared" si="359"/>
        <v>0</v>
      </c>
      <c r="AY111" s="292">
        <f t="shared" si="359"/>
        <v>0</v>
      </c>
      <c r="AZ111" s="55">
        <f t="shared" si="359"/>
        <v>0</v>
      </c>
      <c r="BA111" s="55">
        <f t="shared" si="359"/>
        <v>0</v>
      </c>
      <c r="BB111" s="55">
        <f t="shared" si="359"/>
        <v>0</v>
      </c>
      <c r="BC111" s="55">
        <f t="shared" si="359"/>
        <v>0</v>
      </c>
      <c r="BD111" s="55">
        <f t="shared" si="359"/>
        <v>0</v>
      </c>
      <c r="BE111" s="55">
        <f t="shared" si="359"/>
        <v>0</v>
      </c>
      <c r="BF111" s="55">
        <f t="shared" si="359"/>
        <v>0</v>
      </c>
      <c r="BG111" s="55">
        <f t="shared" si="359"/>
        <v>0</v>
      </c>
      <c r="BH111" s="55">
        <f t="shared" si="359"/>
        <v>0</v>
      </c>
      <c r="BI111" s="55">
        <f t="shared" si="359"/>
        <v>0</v>
      </c>
      <c r="BJ111" s="55">
        <f t="shared" si="359"/>
        <v>0</v>
      </c>
      <c r="BK111" s="292">
        <f t="shared" si="359"/>
        <v>0</v>
      </c>
      <c r="BL111" s="55">
        <f t="shared" si="359"/>
        <v>0</v>
      </c>
      <c r="BM111" s="55">
        <f t="shared" si="359"/>
        <v>0</v>
      </c>
      <c r="BN111" s="55">
        <f t="shared" si="359"/>
        <v>0</v>
      </c>
      <c r="BO111" s="55">
        <f t="shared" si="359"/>
        <v>0</v>
      </c>
      <c r="BP111" s="55">
        <f t="shared" si="359"/>
        <v>0</v>
      </c>
      <c r="BQ111" s="55">
        <f t="shared" si="359"/>
        <v>0</v>
      </c>
      <c r="BR111" s="55">
        <f t="shared" si="359"/>
        <v>0</v>
      </c>
      <c r="BS111" s="55">
        <f t="shared" si="359"/>
        <v>0</v>
      </c>
      <c r="BT111" s="55">
        <f t="shared" si="359"/>
        <v>0</v>
      </c>
      <c r="BU111" s="55">
        <f t="shared" si="359"/>
        <v>0</v>
      </c>
      <c r="BV111" s="55">
        <f t="shared" si="359"/>
        <v>0</v>
      </c>
      <c r="BW111" s="292">
        <f t="shared" si="359"/>
        <v>0</v>
      </c>
      <c r="BX111" s="55">
        <f t="shared" si="359"/>
        <v>0</v>
      </c>
      <c r="BY111" s="55">
        <f t="shared" si="359"/>
        <v>0</v>
      </c>
      <c r="BZ111" s="55">
        <f t="shared" si="359"/>
        <v>0</v>
      </c>
      <c r="CA111" s="55">
        <f t="shared" si="359"/>
        <v>0</v>
      </c>
      <c r="CB111" s="55">
        <f t="shared" si="359"/>
        <v>0</v>
      </c>
      <c r="CC111" s="55">
        <f t="shared" si="359"/>
        <v>0</v>
      </c>
      <c r="CD111" s="55">
        <f t="shared" si="359"/>
        <v>0</v>
      </c>
      <c r="CE111" s="55">
        <f t="shared" si="359"/>
        <v>0</v>
      </c>
      <c r="CF111" s="55">
        <f t="shared" si="359"/>
        <v>0</v>
      </c>
      <c r="CG111" s="55">
        <f t="shared" si="359"/>
        <v>0</v>
      </c>
      <c r="CH111" s="55">
        <f t="shared" si="359"/>
        <v>0</v>
      </c>
      <c r="CI111" s="292">
        <f t="shared" si="359"/>
        <v>0</v>
      </c>
      <c r="CJ111" s="55">
        <f t="shared" si="359"/>
        <v>0</v>
      </c>
      <c r="CK111" s="55">
        <f t="shared" si="359"/>
        <v>0</v>
      </c>
      <c r="CL111" s="55">
        <f t="shared" si="359"/>
        <v>0</v>
      </c>
      <c r="CM111" s="55">
        <f t="shared" si="359"/>
        <v>0</v>
      </c>
      <c r="CN111" s="55">
        <f t="shared" si="359"/>
        <v>0</v>
      </c>
      <c r="CO111" s="55">
        <f t="shared" ref="CO111:DG111" si="360">+SUM(CO109:CO110)</f>
        <v>0</v>
      </c>
      <c r="CP111" s="55">
        <f t="shared" si="360"/>
        <v>0</v>
      </c>
      <c r="CQ111" s="55">
        <f t="shared" si="360"/>
        <v>0</v>
      </c>
      <c r="CR111" s="55">
        <f t="shared" si="360"/>
        <v>0</v>
      </c>
      <c r="CS111" s="55">
        <f t="shared" si="360"/>
        <v>0</v>
      </c>
      <c r="CT111" s="55">
        <f t="shared" si="360"/>
        <v>0</v>
      </c>
      <c r="CU111" s="292">
        <f t="shared" si="360"/>
        <v>0</v>
      </c>
      <c r="CV111" s="55">
        <f t="shared" si="360"/>
        <v>0</v>
      </c>
      <c r="CW111" s="55">
        <f t="shared" si="360"/>
        <v>0</v>
      </c>
      <c r="CX111" s="55">
        <f t="shared" si="360"/>
        <v>0</v>
      </c>
      <c r="CY111" s="55">
        <f t="shared" si="360"/>
        <v>0</v>
      </c>
      <c r="CZ111" s="55">
        <f t="shared" si="360"/>
        <v>0</v>
      </c>
      <c r="DA111" s="55">
        <f t="shared" si="360"/>
        <v>0</v>
      </c>
      <c r="DB111" s="55">
        <f t="shared" si="360"/>
        <v>0</v>
      </c>
      <c r="DC111" s="55">
        <f t="shared" si="360"/>
        <v>0</v>
      </c>
      <c r="DD111" s="55">
        <f t="shared" si="360"/>
        <v>0</v>
      </c>
      <c r="DE111" s="55">
        <f t="shared" si="360"/>
        <v>0</v>
      </c>
      <c r="DF111" s="55">
        <f t="shared" si="360"/>
        <v>0</v>
      </c>
      <c r="DG111" s="55">
        <f t="shared" si="360"/>
        <v>0</v>
      </c>
    </row>
    <row r="112" spans="1:111" s="5" customFormat="1" x14ac:dyDescent="0.3">
      <c r="A112"/>
      <c r="B112" s="1" t="s">
        <v>20</v>
      </c>
      <c r="C112" s="1"/>
      <c r="D112" s="57">
        <f t="shared" ref="D112:J112" si="361">(D96)+(D100)</f>
        <v>0</v>
      </c>
      <c r="E112" s="57">
        <f t="shared" si="361"/>
        <v>0</v>
      </c>
      <c r="F112" s="57">
        <f t="shared" si="361"/>
        <v>0</v>
      </c>
      <c r="G112" s="57">
        <f t="shared" si="361"/>
        <v>0</v>
      </c>
      <c r="H112" s="57">
        <f t="shared" si="361"/>
        <v>0</v>
      </c>
      <c r="I112" s="57">
        <f t="shared" si="361"/>
        <v>0</v>
      </c>
      <c r="J112" s="57">
        <f t="shared" si="361"/>
        <v>0</v>
      </c>
      <c r="K112" s="57">
        <f>K100+K96</f>
        <v>0</v>
      </c>
      <c r="L112" s="57">
        <f>L100+L96</f>
        <v>0</v>
      </c>
      <c r="M112" s="57">
        <f>M100+M96</f>
        <v>0</v>
      </c>
      <c r="N112" s="58">
        <f>N100+N96</f>
        <v>0</v>
      </c>
      <c r="O112" s="58">
        <f>O100+O96</f>
        <v>0</v>
      </c>
      <c r="P112" s="58">
        <f t="shared" ref="P112:AU112" si="362">P100+P96+P111</f>
        <v>0</v>
      </c>
      <c r="Q112" s="58">
        <f t="shared" si="362"/>
        <v>0</v>
      </c>
      <c r="R112" s="58">
        <f t="shared" si="362"/>
        <v>0</v>
      </c>
      <c r="S112" s="58">
        <f t="shared" si="362"/>
        <v>0</v>
      </c>
      <c r="T112" s="58">
        <f t="shared" si="362"/>
        <v>0</v>
      </c>
      <c r="U112" s="58">
        <f t="shared" si="362"/>
        <v>0</v>
      </c>
      <c r="V112" s="58">
        <f t="shared" si="362"/>
        <v>6.9999999999993179E-2</v>
      </c>
      <c r="W112" s="58">
        <f t="shared" si="362"/>
        <v>1450.46</v>
      </c>
      <c r="X112" s="58">
        <f t="shared" si="362"/>
        <v>291.02999999999997</v>
      </c>
      <c r="Y112" s="58">
        <f t="shared" si="362"/>
        <v>531.8900000000001</v>
      </c>
      <c r="Z112" s="58">
        <f t="shared" si="362"/>
        <v>420.33</v>
      </c>
      <c r="AA112" s="58">
        <f t="shared" si="362"/>
        <v>2798.97</v>
      </c>
      <c r="AB112" s="58">
        <f t="shared" si="362"/>
        <v>4022.38</v>
      </c>
      <c r="AC112" s="58">
        <f t="shared" si="362"/>
        <v>1153.1400000000001</v>
      </c>
      <c r="AD112" s="58">
        <f t="shared" si="362"/>
        <v>550.57000000000005</v>
      </c>
      <c r="AE112" s="58">
        <f t="shared" si="362"/>
        <v>774.85</v>
      </c>
      <c r="AF112" s="58">
        <f t="shared" si="362"/>
        <v>1214.18</v>
      </c>
      <c r="AG112" s="58">
        <f t="shared" ref="AG112:AL112" si="363">AG100+AG96+AG111</f>
        <v>2190.46</v>
      </c>
      <c r="AH112" s="58">
        <f t="shared" si="363"/>
        <v>998.03</v>
      </c>
      <c r="AI112" s="58">
        <f t="shared" si="363"/>
        <v>1751.17</v>
      </c>
      <c r="AJ112" s="58">
        <f t="shared" si="363"/>
        <v>257.78999999999996</v>
      </c>
      <c r="AK112" s="289">
        <f t="shared" si="363"/>
        <v>780.73</v>
      </c>
      <c r="AL112" s="58">
        <f t="shared" si="363"/>
        <v>1371.969829581451</v>
      </c>
      <c r="AM112" s="289">
        <f t="shared" si="362"/>
        <v>3357.257291678809</v>
      </c>
      <c r="AN112" s="58">
        <f t="shared" si="362"/>
        <v>3253.3563187993045</v>
      </c>
      <c r="AO112" s="58">
        <f t="shared" si="362"/>
        <v>2833.3710865338567</v>
      </c>
      <c r="AP112" s="58">
        <f t="shared" si="362"/>
        <v>4253.3990017215874</v>
      </c>
      <c r="AQ112" s="58">
        <f t="shared" si="362"/>
        <v>3446.3586346066313</v>
      </c>
      <c r="AR112" s="58">
        <f t="shared" si="362"/>
        <v>3562.6965866819992</v>
      </c>
      <c r="AS112" s="58">
        <f t="shared" si="362"/>
        <v>6368.4444654904037</v>
      </c>
      <c r="AT112" s="58">
        <f t="shared" si="362"/>
        <v>8704.8433834396146</v>
      </c>
      <c r="AU112" s="58">
        <f t="shared" si="362"/>
        <v>13060.848069493099</v>
      </c>
      <c r="AV112" s="58">
        <f t="shared" ref="AV112:CA112" si="364">AV100+AV96+AV111</f>
        <v>17461.689998968381</v>
      </c>
      <c r="AW112" s="58">
        <f t="shared" si="364"/>
        <v>20738.655209299082</v>
      </c>
      <c r="AX112" s="58">
        <f t="shared" si="364"/>
        <v>25346.141003242868</v>
      </c>
      <c r="AY112" s="289">
        <f t="shared" si="364"/>
        <v>33002.396670114722</v>
      </c>
      <c r="AZ112" s="58">
        <f t="shared" si="364"/>
        <v>35700.489363904984</v>
      </c>
      <c r="BA112" s="58">
        <f t="shared" si="364"/>
        <v>38523.153263635468</v>
      </c>
      <c r="BB112" s="58">
        <f t="shared" si="364"/>
        <v>44244.203496219794</v>
      </c>
      <c r="BC112" s="58">
        <f t="shared" si="364"/>
        <v>46521.906314792293</v>
      </c>
      <c r="BD112" s="58">
        <f t="shared" si="364"/>
        <v>49017.235089997666</v>
      </c>
      <c r="BE112" s="58">
        <f t="shared" si="364"/>
        <v>56029.512614822219</v>
      </c>
      <c r="BF112" s="58">
        <f t="shared" si="364"/>
        <v>62270.750654604715</v>
      </c>
      <c r="BG112" s="58">
        <f t="shared" si="364"/>
        <v>70376.126451669814</v>
      </c>
      <c r="BH112" s="58">
        <f t="shared" si="364"/>
        <v>78621.063993869902</v>
      </c>
      <c r="BI112" s="58">
        <f t="shared" si="364"/>
        <v>84766.998952951937</v>
      </c>
      <c r="BJ112" s="58">
        <f t="shared" si="364"/>
        <v>95361.487795005771</v>
      </c>
      <c r="BK112" s="289">
        <f t="shared" si="364"/>
        <v>107577.97343148684</v>
      </c>
      <c r="BL112" s="58">
        <f t="shared" si="364"/>
        <v>112977.48746570706</v>
      </c>
      <c r="BM112" s="58">
        <f t="shared" si="364"/>
        <v>119344.07542399151</v>
      </c>
      <c r="BN112" s="58">
        <f t="shared" si="364"/>
        <v>130093.11881564175</v>
      </c>
      <c r="BO112" s="58">
        <f t="shared" si="364"/>
        <v>135648.63356060107</v>
      </c>
      <c r="BP112" s="58">
        <f t="shared" si="364"/>
        <v>141308.19540343236</v>
      </c>
      <c r="BQ112" s="58">
        <f t="shared" si="364"/>
        <v>152322.8254167983</v>
      </c>
      <c r="BR112" s="58">
        <f t="shared" si="364"/>
        <v>161431.8921580989</v>
      </c>
      <c r="BS112" s="58">
        <f t="shared" si="364"/>
        <v>173625.00533636913</v>
      </c>
      <c r="BT112" s="58">
        <f t="shared" si="364"/>
        <v>185299.29577489253</v>
      </c>
      <c r="BU112" s="58">
        <f t="shared" si="364"/>
        <v>194349.77845530465</v>
      </c>
      <c r="BV112" s="58">
        <f t="shared" si="364"/>
        <v>209123.80283796857</v>
      </c>
      <c r="BW112" s="289">
        <f t="shared" si="364"/>
        <v>225390.38864902066</v>
      </c>
      <c r="BX112" s="58">
        <f t="shared" si="364"/>
        <v>234513.26062442607</v>
      </c>
      <c r="BY112" s="58">
        <f t="shared" si="364"/>
        <v>245975.63716632299</v>
      </c>
      <c r="BZ112" s="58">
        <f t="shared" si="364"/>
        <v>260201.48950421577</v>
      </c>
      <c r="CA112" s="58">
        <f t="shared" si="364"/>
        <v>267656.55449677224</v>
      </c>
      <c r="CB112" s="58">
        <f t="shared" ref="CB112:DG112" si="365">CB100+CB96+CB111</f>
        <v>278709.48183723638</v>
      </c>
      <c r="CC112" s="58">
        <f t="shared" si="365"/>
        <v>292833.40377301333</v>
      </c>
      <c r="CD112" s="58">
        <f t="shared" si="365"/>
        <v>304778.6720859686</v>
      </c>
      <c r="CE112" s="58">
        <f t="shared" si="365"/>
        <v>321118.20708197803</v>
      </c>
      <c r="CF112" s="58">
        <f t="shared" si="365"/>
        <v>335394.27240147651</v>
      </c>
      <c r="CG112" s="58">
        <f t="shared" si="365"/>
        <v>348554.83068072051</v>
      </c>
      <c r="CH112" s="58">
        <f t="shared" si="365"/>
        <v>367397.65548576193</v>
      </c>
      <c r="CI112" s="289">
        <f t="shared" si="365"/>
        <v>386223.11521594186</v>
      </c>
      <c r="CJ112" s="58">
        <f t="shared" si="365"/>
        <v>400561.35696347983</v>
      </c>
      <c r="CK112" s="58">
        <f t="shared" si="365"/>
        <v>414585.93380597164</v>
      </c>
      <c r="CL112" s="58">
        <f t="shared" si="365"/>
        <v>431651.72533282608</v>
      </c>
      <c r="CM112" s="58">
        <f t="shared" si="365"/>
        <v>443899.65518532542</v>
      </c>
      <c r="CN112" s="58">
        <f t="shared" si="365"/>
        <v>458257.91678785905</v>
      </c>
      <c r="CO112" s="58">
        <f t="shared" si="365"/>
        <v>474948.1861376788</v>
      </c>
      <c r="CP112" s="58">
        <f t="shared" si="365"/>
        <v>490503.12610078271</v>
      </c>
      <c r="CQ112" s="58">
        <f t="shared" si="365"/>
        <v>510680.55137154984</v>
      </c>
      <c r="CR112" s="58">
        <f t="shared" si="365"/>
        <v>527419.92282275122</v>
      </c>
      <c r="CS112" s="58">
        <f t="shared" si="365"/>
        <v>544574.71267961361</v>
      </c>
      <c r="CT112" s="58">
        <f t="shared" si="365"/>
        <v>567872.62536579638</v>
      </c>
      <c r="CU112" s="289">
        <f t="shared" si="365"/>
        <v>591232.85428084561</v>
      </c>
      <c r="CV112" s="58">
        <f t="shared" si="365"/>
        <v>609111.11954806652</v>
      </c>
      <c r="CW112" s="58">
        <f t="shared" si="365"/>
        <v>626589.06996067986</v>
      </c>
      <c r="CX112" s="58">
        <f t="shared" si="365"/>
        <v>646647.72928455705</v>
      </c>
      <c r="CY112" s="58">
        <f t="shared" si="365"/>
        <v>662959.31990688958</v>
      </c>
      <c r="CZ112" s="58">
        <f t="shared" si="365"/>
        <v>680728.08280957886</v>
      </c>
      <c r="DA112" s="58">
        <f t="shared" si="365"/>
        <v>700092.45941295649</v>
      </c>
      <c r="DB112" s="58">
        <f t="shared" si="365"/>
        <v>720050.51611149148</v>
      </c>
      <c r="DC112" s="58">
        <f t="shared" si="365"/>
        <v>743495.06179823412</v>
      </c>
      <c r="DD112" s="58">
        <f t="shared" si="365"/>
        <v>765089.69709897053</v>
      </c>
      <c r="DE112" s="58">
        <f t="shared" si="365"/>
        <v>786099.25230575178</v>
      </c>
      <c r="DF112" s="58">
        <f t="shared" si="365"/>
        <v>813146.3570459258</v>
      </c>
      <c r="DG112" s="58">
        <f t="shared" si="365"/>
        <v>843139.44257925311</v>
      </c>
    </row>
    <row r="113" spans="1:111" x14ac:dyDescent="0.3">
      <c r="A113" s="3"/>
      <c r="B113" s="4" t="s">
        <v>21</v>
      </c>
      <c r="C113" s="4"/>
      <c r="D113" s="56">
        <f t="shared" ref="D113:M113" si="366">D112</f>
        <v>0</v>
      </c>
      <c r="E113" s="56">
        <f t="shared" si="366"/>
        <v>0</v>
      </c>
      <c r="F113" s="56">
        <f t="shared" si="366"/>
        <v>0</v>
      </c>
      <c r="G113" s="56">
        <f t="shared" si="366"/>
        <v>0</v>
      </c>
      <c r="H113" s="56">
        <f t="shared" si="366"/>
        <v>0</v>
      </c>
      <c r="I113" s="56">
        <f t="shared" si="366"/>
        <v>0</v>
      </c>
      <c r="J113" s="56">
        <f t="shared" si="366"/>
        <v>0</v>
      </c>
      <c r="K113" s="56">
        <f t="shared" si="366"/>
        <v>0</v>
      </c>
      <c r="L113" s="56">
        <f t="shared" si="366"/>
        <v>0</v>
      </c>
      <c r="M113" s="56">
        <f t="shared" si="366"/>
        <v>0</v>
      </c>
      <c r="N113" s="56">
        <f>N112</f>
        <v>0</v>
      </c>
      <c r="O113" s="56">
        <f t="shared" ref="O113:BZ113" si="367">O112</f>
        <v>0</v>
      </c>
      <c r="P113" s="56">
        <f t="shared" ref="P113:W113" si="368">P112</f>
        <v>0</v>
      </c>
      <c r="Q113" s="56">
        <f t="shared" si="368"/>
        <v>0</v>
      </c>
      <c r="R113" s="56">
        <f t="shared" si="368"/>
        <v>0</v>
      </c>
      <c r="S113" s="56">
        <f t="shared" si="368"/>
        <v>0</v>
      </c>
      <c r="T113" s="56">
        <f t="shared" si="368"/>
        <v>0</v>
      </c>
      <c r="U113" s="56">
        <f t="shared" si="368"/>
        <v>0</v>
      </c>
      <c r="V113" s="56">
        <f t="shared" si="368"/>
        <v>6.9999999999993179E-2</v>
      </c>
      <c r="W113" s="56">
        <f t="shared" si="368"/>
        <v>1450.46</v>
      </c>
      <c r="X113" s="56">
        <f t="shared" ref="X113:AE113" si="369">X112</f>
        <v>291.02999999999997</v>
      </c>
      <c r="Y113" s="56">
        <f t="shared" si="369"/>
        <v>531.8900000000001</v>
      </c>
      <c r="Z113" s="56">
        <f t="shared" si="369"/>
        <v>420.33</v>
      </c>
      <c r="AA113" s="56">
        <f t="shared" si="369"/>
        <v>2798.97</v>
      </c>
      <c r="AB113" s="56">
        <f t="shared" si="369"/>
        <v>4022.38</v>
      </c>
      <c r="AC113" s="56">
        <f t="shared" si="369"/>
        <v>1153.1400000000001</v>
      </c>
      <c r="AD113" s="56">
        <f t="shared" si="369"/>
        <v>550.57000000000005</v>
      </c>
      <c r="AE113" s="56">
        <f t="shared" si="369"/>
        <v>774.85</v>
      </c>
      <c r="AF113" s="56">
        <f t="shared" ref="AF113:AJ113" si="370">AF112</f>
        <v>1214.18</v>
      </c>
      <c r="AG113" s="56">
        <f t="shared" si="370"/>
        <v>2190.46</v>
      </c>
      <c r="AH113" s="56">
        <f t="shared" si="370"/>
        <v>998.03</v>
      </c>
      <c r="AI113" s="56">
        <f t="shared" si="370"/>
        <v>1751.17</v>
      </c>
      <c r="AJ113" s="56">
        <f t="shared" si="370"/>
        <v>257.78999999999996</v>
      </c>
      <c r="AK113" s="288">
        <f t="shared" ref="AK113" si="371">AK112</f>
        <v>780.73</v>
      </c>
      <c r="AL113" s="56">
        <f t="shared" ref="AL113" si="372">AL112</f>
        <v>1371.969829581451</v>
      </c>
      <c r="AM113" s="288">
        <f t="shared" si="367"/>
        <v>3357.257291678809</v>
      </c>
      <c r="AN113" s="56">
        <f t="shared" si="367"/>
        <v>3253.3563187993045</v>
      </c>
      <c r="AO113" s="56">
        <f t="shared" si="367"/>
        <v>2833.3710865338567</v>
      </c>
      <c r="AP113" s="56">
        <f t="shared" si="367"/>
        <v>4253.3990017215874</v>
      </c>
      <c r="AQ113" s="56">
        <f t="shared" si="367"/>
        <v>3446.3586346066313</v>
      </c>
      <c r="AR113" s="56">
        <f t="shared" si="367"/>
        <v>3562.6965866819992</v>
      </c>
      <c r="AS113" s="56">
        <f t="shared" si="367"/>
        <v>6368.4444654904037</v>
      </c>
      <c r="AT113" s="56">
        <f t="shared" si="367"/>
        <v>8704.8433834396146</v>
      </c>
      <c r="AU113" s="56">
        <f t="shared" si="367"/>
        <v>13060.848069493099</v>
      </c>
      <c r="AV113" s="56">
        <f t="shared" si="367"/>
        <v>17461.689998968381</v>
      </c>
      <c r="AW113" s="56">
        <f t="shared" si="367"/>
        <v>20738.655209299082</v>
      </c>
      <c r="AX113" s="56">
        <f t="shared" si="367"/>
        <v>25346.141003242868</v>
      </c>
      <c r="AY113" s="288">
        <f t="shared" si="367"/>
        <v>33002.396670114722</v>
      </c>
      <c r="AZ113" s="56">
        <f t="shared" si="367"/>
        <v>35700.489363904984</v>
      </c>
      <c r="BA113" s="56">
        <f t="shared" si="367"/>
        <v>38523.153263635468</v>
      </c>
      <c r="BB113" s="56">
        <f t="shared" si="367"/>
        <v>44244.203496219794</v>
      </c>
      <c r="BC113" s="56">
        <f t="shared" si="367"/>
        <v>46521.906314792293</v>
      </c>
      <c r="BD113" s="56">
        <f t="shared" si="367"/>
        <v>49017.235089997666</v>
      </c>
      <c r="BE113" s="56">
        <f t="shared" si="367"/>
        <v>56029.512614822219</v>
      </c>
      <c r="BF113" s="56">
        <f t="shared" si="367"/>
        <v>62270.750654604715</v>
      </c>
      <c r="BG113" s="56">
        <f t="shared" si="367"/>
        <v>70376.126451669814</v>
      </c>
      <c r="BH113" s="56">
        <f t="shared" si="367"/>
        <v>78621.063993869902</v>
      </c>
      <c r="BI113" s="56">
        <f t="shared" si="367"/>
        <v>84766.998952951937</v>
      </c>
      <c r="BJ113" s="56">
        <f t="shared" si="367"/>
        <v>95361.487795005771</v>
      </c>
      <c r="BK113" s="288">
        <f t="shared" si="367"/>
        <v>107577.97343148684</v>
      </c>
      <c r="BL113" s="56">
        <f t="shared" si="367"/>
        <v>112977.48746570706</v>
      </c>
      <c r="BM113" s="56">
        <f t="shared" si="367"/>
        <v>119344.07542399151</v>
      </c>
      <c r="BN113" s="56">
        <f t="shared" si="367"/>
        <v>130093.11881564175</v>
      </c>
      <c r="BO113" s="56">
        <f t="shared" si="367"/>
        <v>135648.63356060107</v>
      </c>
      <c r="BP113" s="56">
        <f t="shared" si="367"/>
        <v>141308.19540343236</v>
      </c>
      <c r="BQ113" s="56">
        <f t="shared" si="367"/>
        <v>152322.8254167983</v>
      </c>
      <c r="BR113" s="56">
        <f t="shared" si="367"/>
        <v>161431.8921580989</v>
      </c>
      <c r="BS113" s="56">
        <f t="shared" si="367"/>
        <v>173625.00533636913</v>
      </c>
      <c r="BT113" s="56">
        <f t="shared" si="367"/>
        <v>185299.29577489253</v>
      </c>
      <c r="BU113" s="56">
        <f t="shared" si="367"/>
        <v>194349.77845530465</v>
      </c>
      <c r="BV113" s="56">
        <f t="shared" si="367"/>
        <v>209123.80283796857</v>
      </c>
      <c r="BW113" s="288">
        <f t="shared" si="367"/>
        <v>225390.38864902066</v>
      </c>
      <c r="BX113" s="56">
        <f t="shared" si="367"/>
        <v>234513.26062442607</v>
      </c>
      <c r="BY113" s="56">
        <f t="shared" si="367"/>
        <v>245975.63716632299</v>
      </c>
      <c r="BZ113" s="56">
        <f t="shared" si="367"/>
        <v>260201.48950421577</v>
      </c>
      <c r="CA113" s="56">
        <f t="shared" ref="CA113:DG113" si="373">CA112</f>
        <v>267656.55449677224</v>
      </c>
      <c r="CB113" s="56">
        <f t="shared" si="373"/>
        <v>278709.48183723638</v>
      </c>
      <c r="CC113" s="56">
        <f t="shared" si="373"/>
        <v>292833.40377301333</v>
      </c>
      <c r="CD113" s="56">
        <f t="shared" si="373"/>
        <v>304778.6720859686</v>
      </c>
      <c r="CE113" s="56">
        <f t="shared" si="373"/>
        <v>321118.20708197803</v>
      </c>
      <c r="CF113" s="56">
        <f t="shared" si="373"/>
        <v>335394.27240147651</v>
      </c>
      <c r="CG113" s="56">
        <f t="shared" si="373"/>
        <v>348554.83068072051</v>
      </c>
      <c r="CH113" s="56">
        <f t="shared" si="373"/>
        <v>367397.65548576193</v>
      </c>
      <c r="CI113" s="288">
        <f t="shared" si="373"/>
        <v>386223.11521594186</v>
      </c>
      <c r="CJ113" s="56">
        <f t="shared" si="373"/>
        <v>400561.35696347983</v>
      </c>
      <c r="CK113" s="56">
        <f t="shared" si="373"/>
        <v>414585.93380597164</v>
      </c>
      <c r="CL113" s="56">
        <f t="shared" si="373"/>
        <v>431651.72533282608</v>
      </c>
      <c r="CM113" s="56">
        <f t="shared" si="373"/>
        <v>443899.65518532542</v>
      </c>
      <c r="CN113" s="56">
        <f t="shared" si="373"/>
        <v>458257.91678785905</v>
      </c>
      <c r="CO113" s="56">
        <f t="shared" si="373"/>
        <v>474948.1861376788</v>
      </c>
      <c r="CP113" s="56">
        <f t="shared" si="373"/>
        <v>490503.12610078271</v>
      </c>
      <c r="CQ113" s="56">
        <f t="shared" si="373"/>
        <v>510680.55137154984</v>
      </c>
      <c r="CR113" s="56">
        <f t="shared" si="373"/>
        <v>527419.92282275122</v>
      </c>
      <c r="CS113" s="56">
        <f t="shared" si="373"/>
        <v>544574.71267961361</v>
      </c>
      <c r="CT113" s="56">
        <f t="shared" si="373"/>
        <v>567872.62536579638</v>
      </c>
      <c r="CU113" s="288">
        <f t="shared" si="373"/>
        <v>591232.85428084561</v>
      </c>
      <c r="CV113" s="56">
        <f t="shared" si="373"/>
        <v>609111.11954806652</v>
      </c>
      <c r="CW113" s="56">
        <f t="shared" si="373"/>
        <v>626589.06996067986</v>
      </c>
      <c r="CX113" s="56">
        <f t="shared" si="373"/>
        <v>646647.72928455705</v>
      </c>
      <c r="CY113" s="56">
        <f t="shared" si="373"/>
        <v>662959.31990688958</v>
      </c>
      <c r="CZ113" s="56">
        <f t="shared" si="373"/>
        <v>680728.08280957886</v>
      </c>
      <c r="DA113" s="56">
        <f t="shared" si="373"/>
        <v>700092.45941295649</v>
      </c>
      <c r="DB113" s="56">
        <f t="shared" si="373"/>
        <v>720050.51611149148</v>
      </c>
      <c r="DC113" s="56">
        <f t="shared" si="373"/>
        <v>743495.06179823412</v>
      </c>
      <c r="DD113" s="56">
        <f t="shared" si="373"/>
        <v>765089.69709897053</v>
      </c>
      <c r="DE113" s="56">
        <f t="shared" si="373"/>
        <v>786099.25230575178</v>
      </c>
      <c r="DF113" s="56">
        <f t="shared" si="373"/>
        <v>813146.3570459258</v>
      </c>
      <c r="DG113" s="56">
        <f t="shared" si="373"/>
        <v>843139.44257925311</v>
      </c>
    </row>
    <row r="114" spans="1:111" x14ac:dyDescent="0.3">
      <c r="B114" s="1" t="s">
        <v>22</v>
      </c>
      <c r="C114" s="1"/>
      <c r="D114" s="2"/>
      <c r="E114" s="2"/>
      <c r="F114" s="2"/>
      <c r="G114" s="2"/>
      <c r="H114" s="2"/>
      <c r="I114" s="2"/>
      <c r="J114" s="2"/>
      <c r="K114" s="2"/>
      <c r="L114" s="2"/>
      <c r="M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627"/>
      <c r="AL114" s="2"/>
    </row>
    <row r="115" spans="1:111" x14ac:dyDescent="0.3">
      <c r="B115" s="1" t="s">
        <v>23</v>
      </c>
      <c r="C115" s="1"/>
      <c r="D115" s="2"/>
      <c r="E115" s="2"/>
      <c r="F115" s="2"/>
      <c r="G115" s="2"/>
      <c r="H115" s="2"/>
      <c r="I115" s="2"/>
      <c r="J115" s="2"/>
      <c r="K115" s="2"/>
      <c r="L115" s="2"/>
      <c r="M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627"/>
      <c r="AL115" s="2"/>
    </row>
    <row r="116" spans="1:111" s="30" customFormat="1" x14ac:dyDescent="0.3">
      <c r="A116"/>
      <c r="B116" s="1" t="s">
        <v>193</v>
      </c>
      <c r="C116" s="1"/>
      <c r="D116" s="2"/>
      <c r="E116" s="2"/>
      <c r="F116" s="2"/>
      <c r="G116" s="2"/>
      <c r="H116" s="2"/>
      <c r="I116" s="2"/>
      <c r="J116" s="116"/>
      <c r="K116" s="116"/>
      <c r="L116" s="116"/>
      <c r="M116" s="116"/>
      <c r="N116" s="116"/>
      <c r="O116" s="116"/>
      <c r="P116" s="116"/>
      <c r="Q116" s="116"/>
      <c r="R116" s="116"/>
      <c r="S116" s="116"/>
      <c r="T116" s="116"/>
      <c r="U116" s="116"/>
      <c r="V116" s="116"/>
      <c r="W116" s="116">
        <v>0</v>
      </c>
      <c r="X116" s="116">
        <v>0</v>
      </c>
      <c r="Y116" s="116">
        <v>0</v>
      </c>
      <c r="Z116" s="116">
        <v>0</v>
      </c>
      <c r="AA116" s="116">
        <v>0</v>
      </c>
      <c r="AB116" s="116"/>
      <c r="AC116" s="116">
        <v>0</v>
      </c>
      <c r="AD116" s="116">
        <v>0</v>
      </c>
      <c r="AE116" s="116">
        <v>385</v>
      </c>
      <c r="AF116" s="116">
        <v>597.5</v>
      </c>
      <c r="AG116" s="116">
        <v>597.5</v>
      </c>
      <c r="AH116" s="116">
        <v>972.98</v>
      </c>
      <c r="AI116" s="116">
        <v>710</v>
      </c>
      <c r="AJ116" s="116">
        <v>242.42</v>
      </c>
      <c r="AK116" s="287">
        <v>240.83</v>
      </c>
      <c r="AL116" s="607">
        <f>+AK116</f>
        <v>240.83</v>
      </c>
      <c r="AM116" s="297">
        <f t="shared" ref="AM116:CC116" si="374">AL116</f>
        <v>240.83</v>
      </c>
      <c r="AN116" s="9">
        <f t="shared" si="374"/>
        <v>240.83</v>
      </c>
      <c r="AO116" s="9">
        <f t="shared" si="374"/>
        <v>240.83</v>
      </c>
      <c r="AP116" s="9">
        <f t="shared" si="374"/>
        <v>240.83</v>
      </c>
      <c r="AQ116" s="9">
        <f t="shared" si="374"/>
        <v>240.83</v>
      </c>
      <c r="AR116" s="9">
        <f t="shared" si="374"/>
        <v>240.83</v>
      </c>
      <c r="AS116" s="9">
        <f t="shared" si="374"/>
        <v>240.83</v>
      </c>
      <c r="AT116" s="9">
        <f t="shared" si="374"/>
        <v>240.83</v>
      </c>
      <c r="AU116" s="9">
        <f t="shared" si="374"/>
        <v>240.83</v>
      </c>
      <c r="AV116" s="9">
        <f t="shared" si="374"/>
        <v>240.83</v>
      </c>
      <c r="AW116" s="9">
        <f t="shared" si="374"/>
        <v>240.83</v>
      </c>
      <c r="AX116" s="9">
        <f t="shared" si="374"/>
        <v>240.83</v>
      </c>
      <c r="AY116" s="297">
        <f t="shared" si="374"/>
        <v>240.83</v>
      </c>
      <c r="AZ116" s="9">
        <f t="shared" si="374"/>
        <v>240.83</v>
      </c>
      <c r="BA116" s="9">
        <f t="shared" si="374"/>
        <v>240.83</v>
      </c>
      <c r="BB116" s="9">
        <f t="shared" si="374"/>
        <v>240.83</v>
      </c>
      <c r="BC116" s="9">
        <f t="shared" si="374"/>
        <v>240.83</v>
      </c>
      <c r="BD116" s="9">
        <f t="shared" si="374"/>
        <v>240.83</v>
      </c>
      <c r="BE116" s="9">
        <f t="shared" si="374"/>
        <v>240.83</v>
      </c>
      <c r="BF116" s="9">
        <f t="shared" si="374"/>
        <v>240.83</v>
      </c>
      <c r="BG116" s="9">
        <f t="shared" si="374"/>
        <v>240.83</v>
      </c>
      <c r="BH116" s="9">
        <f t="shared" si="374"/>
        <v>240.83</v>
      </c>
      <c r="BI116" s="9">
        <f t="shared" si="374"/>
        <v>240.83</v>
      </c>
      <c r="BJ116" s="9">
        <f t="shared" si="374"/>
        <v>240.83</v>
      </c>
      <c r="BK116" s="297">
        <f t="shared" si="374"/>
        <v>240.83</v>
      </c>
      <c r="BL116" s="9">
        <f t="shared" si="374"/>
        <v>240.83</v>
      </c>
      <c r="BM116" s="9">
        <f t="shared" si="374"/>
        <v>240.83</v>
      </c>
      <c r="BN116" s="9">
        <f t="shared" si="374"/>
        <v>240.83</v>
      </c>
      <c r="BO116" s="9">
        <f t="shared" si="374"/>
        <v>240.83</v>
      </c>
      <c r="BP116" s="9">
        <f t="shared" si="374"/>
        <v>240.83</v>
      </c>
      <c r="BQ116" s="9">
        <f t="shared" si="374"/>
        <v>240.83</v>
      </c>
      <c r="BR116" s="9">
        <f t="shared" si="374"/>
        <v>240.83</v>
      </c>
      <c r="BS116" s="9">
        <f t="shared" si="374"/>
        <v>240.83</v>
      </c>
      <c r="BT116" s="9">
        <f t="shared" si="374"/>
        <v>240.83</v>
      </c>
      <c r="BU116" s="9">
        <f t="shared" si="374"/>
        <v>240.83</v>
      </c>
      <c r="BV116" s="9">
        <f t="shared" si="374"/>
        <v>240.83</v>
      </c>
      <c r="BW116" s="297">
        <f t="shared" si="374"/>
        <v>240.83</v>
      </c>
      <c r="BX116" s="9">
        <f t="shared" si="374"/>
        <v>240.83</v>
      </c>
      <c r="BY116" s="9">
        <f t="shared" si="374"/>
        <v>240.83</v>
      </c>
      <c r="BZ116" s="9">
        <f t="shared" si="374"/>
        <v>240.83</v>
      </c>
      <c r="CA116" s="9">
        <f t="shared" si="374"/>
        <v>240.83</v>
      </c>
      <c r="CB116" s="9">
        <f t="shared" si="374"/>
        <v>240.83</v>
      </c>
      <c r="CC116" s="9">
        <f t="shared" si="374"/>
        <v>240.83</v>
      </c>
      <c r="CD116" s="9">
        <f t="shared" ref="CD116:DG116" si="375">CC116</f>
        <v>240.83</v>
      </c>
      <c r="CE116" s="9">
        <f t="shared" si="375"/>
        <v>240.83</v>
      </c>
      <c r="CF116" s="9">
        <f t="shared" si="375"/>
        <v>240.83</v>
      </c>
      <c r="CG116" s="9">
        <f t="shared" si="375"/>
        <v>240.83</v>
      </c>
      <c r="CH116" s="9">
        <f t="shared" si="375"/>
        <v>240.83</v>
      </c>
      <c r="CI116" s="297">
        <f t="shared" si="375"/>
        <v>240.83</v>
      </c>
      <c r="CJ116" s="9">
        <f t="shared" si="375"/>
        <v>240.83</v>
      </c>
      <c r="CK116" s="9">
        <f t="shared" si="375"/>
        <v>240.83</v>
      </c>
      <c r="CL116" s="9">
        <f t="shared" si="375"/>
        <v>240.83</v>
      </c>
      <c r="CM116" s="9">
        <f t="shared" si="375"/>
        <v>240.83</v>
      </c>
      <c r="CN116" s="9">
        <f t="shared" si="375"/>
        <v>240.83</v>
      </c>
      <c r="CO116" s="9">
        <f t="shared" si="375"/>
        <v>240.83</v>
      </c>
      <c r="CP116" s="9">
        <f t="shared" si="375"/>
        <v>240.83</v>
      </c>
      <c r="CQ116" s="9">
        <f t="shared" si="375"/>
        <v>240.83</v>
      </c>
      <c r="CR116" s="9">
        <f t="shared" si="375"/>
        <v>240.83</v>
      </c>
      <c r="CS116" s="9">
        <f t="shared" si="375"/>
        <v>240.83</v>
      </c>
      <c r="CT116" s="9">
        <f t="shared" si="375"/>
        <v>240.83</v>
      </c>
      <c r="CU116" s="297">
        <f t="shared" si="375"/>
        <v>240.83</v>
      </c>
      <c r="CV116" s="9">
        <f t="shared" si="375"/>
        <v>240.83</v>
      </c>
      <c r="CW116" s="9">
        <f t="shared" si="375"/>
        <v>240.83</v>
      </c>
      <c r="CX116" s="9">
        <f t="shared" si="375"/>
        <v>240.83</v>
      </c>
      <c r="CY116" s="9">
        <f t="shared" si="375"/>
        <v>240.83</v>
      </c>
      <c r="CZ116" s="9">
        <f t="shared" si="375"/>
        <v>240.83</v>
      </c>
      <c r="DA116" s="9">
        <f t="shared" si="375"/>
        <v>240.83</v>
      </c>
      <c r="DB116" s="9">
        <f t="shared" si="375"/>
        <v>240.83</v>
      </c>
      <c r="DC116" s="9">
        <f t="shared" si="375"/>
        <v>240.83</v>
      </c>
      <c r="DD116" s="9">
        <f t="shared" si="375"/>
        <v>240.83</v>
      </c>
      <c r="DE116" s="9">
        <f t="shared" si="375"/>
        <v>240.83</v>
      </c>
      <c r="DF116" s="9">
        <f t="shared" si="375"/>
        <v>240.83</v>
      </c>
      <c r="DG116" s="9">
        <f t="shared" si="375"/>
        <v>240.83</v>
      </c>
    </row>
    <row r="117" spans="1:111" x14ac:dyDescent="0.3">
      <c r="B117" s="1" t="s">
        <v>24</v>
      </c>
      <c r="C117" s="1"/>
      <c r="D117" s="2"/>
      <c r="E117" s="2"/>
      <c r="F117" s="2"/>
      <c r="G117" s="2"/>
      <c r="H117" s="2"/>
      <c r="I117" s="2"/>
      <c r="J117" s="55">
        <f t="shared" ref="J117:W117" si="376">SUM(J116)</f>
        <v>0</v>
      </c>
      <c r="K117" s="55">
        <f t="shared" si="376"/>
        <v>0</v>
      </c>
      <c r="L117" s="55">
        <f t="shared" si="376"/>
        <v>0</v>
      </c>
      <c r="M117" s="55">
        <f t="shared" si="376"/>
        <v>0</v>
      </c>
      <c r="N117" s="55">
        <f t="shared" si="376"/>
        <v>0</v>
      </c>
      <c r="O117" s="55">
        <f t="shared" si="376"/>
        <v>0</v>
      </c>
      <c r="P117" s="55">
        <f t="shared" si="376"/>
        <v>0</v>
      </c>
      <c r="Q117" s="55">
        <f t="shared" si="376"/>
        <v>0</v>
      </c>
      <c r="R117" s="55">
        <f t="shared" si="376"/>
        <v>0</v>
      </c>
      <c r="S117" s="55">
        <f t="shared" si="376"/>
        <v>0</v>
      </c>
      <c r="T117" s="55">
        <f t="shared" si="376"/>
        <v>0</v>
      </c>
      <c r="U117" s="55">
        <f t="shared" si="376"/>
        <v>0</v>
      </c>
      <c r="V117" s="55">
        <f t="shared" si="376"/>
        <v>0</v>
      </c>
      <c r="W117" s="55">
        <f t="shared" si="376"/>
        <v>0</v>
      </c>
      <c r="X117" s="55">
        <f t="shared" ref="X117:AE117" si="377">SUM(X116)</f>
        <v>0</v>
      </c>
      <c r="Y117" s="55">
        <f t="shared" si="377"/>
        <v>0</v>
      </c>
      <c r="Z117" s="55">
        <f t="shared" si="377"/>
        <v>0</v>
      </c>
      <c r="AA117" s="55">
        <f t="shared" si="377"/>
        <v>0</v>
      </c>
      <c r="AB117" s="55">
        <f t="shared" si="377"/>
        <v>0</v>
      </c>
      <c r="AC117" s="55">
        <f t="shared" si="377"/>
        <v>0</v>
      </c>
      <c r="AD117" s="55">
        <f t="shared" si="377"/>
        <v>0</v>
      </c>
      <c r="AE117" s="55">
        <f t="shared" si="377"/>
        <v>385</v>
      </c>
      <c r="AF117" s="55">
        <f t="shared" ref="AF117:AJ117" si="378">SUM(AF116)</f>
        <v>597.5</v>
      </c>
      <c r="AG117" s="55">
        <f t="shared" si="378"/>
        <v>597.5</v>
      </c>
      <c r="AH117" s="55">
        <f t="shared" si="378"/>
        <v>972.98</v>
      </c>
      <c r="AI117" s="55">
        <f t="shared" si="378"/>
        <v>710</v>
      </c>
      <c r="AJ117" s="55">
        <f t="shared" si="378"/>
        <v>242.42</v>
      </c>
      <c r="AK117" s="292">
        <f t="shared" ref="AK117" si="379">SUM(AK116)</f>
        <v>240.83</v>
      </c>
      <c r="AL117" s="55">
        <f t="shared" ref="AL117" si="380">SUM(AL116)</f>
        <v>240.83</v>
      </c>
      <c r="AM117" s="292">
        <f t="shared" ref="AM117:CC117" si="381">SUM(AM116)</f>
        <v>240.83</v>
      </c>
      <c r="AN117" s="55">
        <f t="shared" si="381"/>
        <v>240.83</v>
      </c>
      <c r="AO117" s="55">
        <f t="shared" si="381"/>
        <v>240.83</v>
      </c>
      <c r="AP117" s="55">
        <f t="shared" si="381"/>
        <v>240.83</v>
      </c>
      <c r="AQ117" s="55">
        <f t="shared" si="381"/>
        <v>240.83</v>
      </c>
      <c r="AR117" s="55">
        <f t="shared" si="381"/>
        <v>240.83</v>
      </c>
      <c r="AS117" s="55">
        <f t="shared" si="381"/>
        <v>240.83</v>
      </c>
      <c r="AT117" s="55">
        <f t="shared" si="381"/>
        <v>240.83</v>
      </c>
      <c r="AU117" s="55">
        <f t="shared" si="381"/>
        <v>240.83</v>
      </c>
      <c r="AV117" s="55">
        <f t="shared" si="381"/>
        <v>240.83</v>
      </c>
      <c r="AW117" s="55">
        <f t="shared" si="381"/>
        <v>240.83</v>
      </c>
      <c r="AX117" s="55">
        <f t="shared" si="381"/>
        <v>240.83</v>
      </c>
      <c r="AY117" s="292">
        <f t="shared" si="381"/>
        <v>240.83</v>
      </c>
      <c r="AZ117" s="55">
        <f t="shared" si="381"/>
        <v>240.83</v>
      </c>
      <c r="BA117" s="55">
        <f t="shared" si="381"/>
        <v>240.83</v>
      </c>
      <c r="BB117" s="55">
        <f t="shared" si="381"/>
        <v>240.83</v>
      </c>
      <c r="BC117" s="55">
        <f t="shared" si="381"/>
        <v>240.83</v>
      </c>
      <c r="BD117" s="55">
        <f t="shared" si="381"/>
        <v>240.83</v>
      </c>
      <c r="BE117" s="55">
        <f t="shared" si="381"/>
        <v>240.83</v>
      </c>
      <c r="BF117" s="55">
        <f t="shared" si="381"/>
        <v>240.83</v>
      </c>
      <c r="BG117" s="55">
        <f t="shared" si="381"/>
        <v>240.83</v>
      </c>
      <c r="BH117" s="55">
        <f t="shared" si="381"/>
        <v>240.83</v>
      </c>
      <c r="BI117" s="55">
        <f t="shared" si="381"/>
        <v>240.83</v>
      </c>
      <c r="BJ117" s="55">
        <f t="shared" si="381"/>
        <v>240.83</v>
      </c>
      <c r="BK117" s="292">
        <f t="shared" si="381"/>
        <v>240.83</v>
      </c>
      <c r="BL117" s="55">
        <f t="shared" si="381"/>
        <v>240.83</v>
      </c>
      <c r="BM117" s="55">
        <f t="shared" si="381"/>
        <v>240.83</v>
      </c>
      <c r="BN117" s="55">
        <f t="shared" si="381"/>
        <v>240.83</v>
      </c>
      <c r="BO117" s="55">
        <f t="shared" si="381"/>
        <v>240.83</v>
      </c>
      <c r="BP117" s="55">
        <f t="shared" si="381"/>
        <v>240.83</v>
      </c>
      <c r="BQ117" s="55">
        <f t="shared" si="381"/>
        <v>240.83</v>
      </c>
      <c r="BR117" s="55">
        <f t="shared" si="381"/>
        <v>240.83</v>
      </c>
      <c r="BS117" s="55">
        <f t="shared" si="381"/>
        <v>240.83</v>
      </c>
      <c r="BT117" s="55">
        <f t="shared" si="381"/>
        <v>240.83</v>
      </c>
      <c r="BU117" s="55">
        <f t="shared" si="381"/>
        <v>240.83</v>
      </c>
      <c r="BV117" s="55">
        <f t="shared" si="381"/>
        <v>240.83</v>
      </c>
      <c r="BW117" s="292">
        <f t="shared" si="381"/>
        <v>240.83</v>
      </c>
      <c r="BX117" s="55">
        <f t="shared" si="381"/>
        <v>240.83</v>
      </c>
      <c r="BY117" s="55">
        <f t="shared" si="381"/>
        <v>240.83</v>
      </c>
      <c r="BZ117" s="55">
        <f t="shared" si="381"/>
        <v>240.83</v>
      </c>
      <c r="CA117" s="55">
        <f t="shared" si="381"/>
        <v>240.83</v>
      </c>
      <c r="CB117" s="55">
        <f t="shared" si="381"/>
        <v>240.83</v>
      </c>
      <c r="CC117" s="55">
        <f t="shared" si="381"/>
        <v>240.83</v>
      </c>
      <c r="CD117" s="55">
        <f t="shared" ref="CD117:DG117" si="382">SUM(CD116)</f>
        <v>240.83</v>
      </c>
      <c r="CE117" s="55">
        <f t="shared" si="382"/>
        <v>240.83</v>
      </c>
      <c r="CF117" s="55">
        <f t="shared" si="382"/>
        <v>240.83</v>
      </c>
      <c r="CG117" s="55">
        <f t="shared" si="382"/>
        <v>240.83</v>
      </c>
      <c r="CH117" s="55">
        <f t="shared" si="382"/>
        <v>240.83</v>
      </c>
      <c r="CI117" s="292">
        <f t="shared" si="382"/>
        <v>240.83</v>
      </c>
      <c r="CJ117" s="55">
        <f t="shared" si="382"/>
        <v>240.83</v>
      </c>
      <c r="CK117" s="55">
        <f t="shared" si="382"/>
        <v>240.83</v>
      </c>
      <c r="CL117" s="55">
        <f t="shared" si="382"/>
        <v>240.83</v>
      </c>
      <c r="CM117" s="55">
        <f t="shared" si="382"/>
        <v>240.83</v>
      </c>
      <c r="CN117" s="55">
        <f t="shared" si="382"/>
        <v>240.83</v>
      </c>
      <c r="CO117" s="55">
        <f t="shared" si="382"/>
        <v>240.83</v>
      </c>
      <c r="CP117" s="55">
        <f t="shared" si="382"/>
        <v>240.83</v>
      </c>
      <c r="CQ117" s="55">
        <f t="shared" si="382"/>
        <v>240.83</v>
      </c>
      <c r="CR117" s="55">
        <f t="shared" si="382"/>
        <v>240.83</v>
      </c>
      <c r="CS117" s="55">
        <f t="shared" si="382"/>
        <v>240.83</v>
      </c>
      <c r="CT117" s="55">
        <f t="shared" si="382"/>
        <v>240.83</v>
      </c>
      <c r="CU117" s="292">
        <f t="shared" si="382"/>
        <v>240.83</v>
      </c>
      <c r="CV117" s="55">
        <f t="shared" si="382"/>
        <v>240.83</v>
      </c>
      <c r="CW117" s="55">
        <f t="shared" si="382"/>
        <v>240.83</v>
      </c>
      <c r="CX117" s="55">
        <f t="shared" si="382"/>
        <v>240.83</v>
      </c>
      <c r="CY117" s="55">
        <f t="shared" si="382"/>
        <v>240.83</v>
      </c>
      <c r="CZ117" s="55">
        <f t="shared" si="382"/>
        <v>240.83</v>
      </c>
      <c r="DA117" s="55">
        <f t="shared" si="382"/>
        <v>240.83</v>
      </c>
      <c r="DB117" s="55">
        <f t="shared" si="382"/>
        <v>240.83</v>
      </c>
      <c r="DC117" s="55">
        <f t="shared" si="382"/>
        <v>240.83</v>
      </c>
      <c r="DD117" s="55">
        <f t="shared" si="382"/>
        <v>240.83</v>
      </c>
      <c r="DE117" s="55">
        <f t="shared" si="382"/>
        <v>240.83</v>
      </c>
      <c r="DF117" s="55">
        <f t="shared" si="382"/>
        <v>240.83</v>
      </c>
      <c r="DG117" s="55">
        <f t="shared" si="382"/>
        <v>240.83</v>
      </c>
    </row>
    <row r="118" spans="1:111" x14ac:dyDescent="0.3">
      <c r="B118" s="1" t="s">
        <v>25</v>
      </c>
      <c r="C118" s="1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166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627"/>
      <c r="AL118" s="2"/>
    </row>
    <row r="119" spans="1:111" x14ac:dyDescent="0.3">
      <c r="B119" s="1" t="s">
        <v>225</v>
      </c>
      <c r="C119" s="1"/>
      <c r="D119" s="116"/>
      <c r="E119" s="116"/>
      <c r="F119" s="116"/>
      <c r="G119" s="116"/>
      <c r="H119" s="116"/>
      <c r="I119" s="116"/>
      <c r="J119" s="114"/>
      <c r="K119" s="114"/>
      <c r="L119" s="114"/>
      <c r="M119" s="116"/>
      <c r="N119" s="116"/>
      <c r="O119" s="116"/>
      <c r="P119" s="116"/>
      <c r="Q119" s="116"/>
      <c r="R119" s="116"/>
      <c r="S119" s="116"/>
      <c r="T119" s="116"/>
      <c r="U119" s="116"/>
      <c r="V119" s="116">
        <v>0</v>
      </c>
      <c r="W119" s="116">
        <v>2168.84</v>
      </c>
      <c r="X119" s="116">
        <v>2168.84</v>
      </c>
      <c r="Y119" s="116">
        <v>2168.84</v>
      </c>
      <c r="Z119" s="116">
        <v>2173.98</v>
      </c>
      <c r="AA119" s="116">
        <v>2173.98</v>
      </c>
      <c r="AB119" s="116">
        <v>2173.98</v>
      </c>
      <c r="AC119" s="116">
        <v>2173.98</v>
      </c>
      <c r="AD119" s="116">
        <v>2173.98</v>
      </c>
      <c r="AE119" s="116">
        <v>2173.98</v>
      </c>
      <c r="AF119" s="116">
        <v>2173.98</v>
      </c>
      <c r="AG119" s="116">
        <v>2173.98</v>
      </c>
      <c r="AH119" s="116">
        <v>2173.98</v>
      </c>
      <c r="AI119" s="116">
        <v>2173.98</v>
      </c>
      <c r="AJ119" s="116">
        <v>2173.98</v>
      </c>
      <c r="AK119" s="287">
        <v>2173.98</v>
      </c>
      <c r="AL119" s="607">
        <f>AK119</f>
        <v>2173.98</v>
      </c>
      <c r="AM119" s="287">
        <f t="shared" ref="AM119:CA119" si="383">AL119</f>
        <v>2173.98</v>
      </c>
      <c r="AN119" s="116">
        <f t="shared" si="383"/>
        <v>2173.98</v>
      </c>
      <c r="AO119" s="116">
        <f t="shared" si="383"/>
        <v>2173.98</v>
      </c>
      <c r="AP119" s="116">
        <f t="shared" si="383"/>
        <v>2173.98</v>
      </c>
      <c r="AQ119" s="116">
        <f t="shared" si="383"/>
        <v>2173.98</v>
      </c>
      <c r="AR119" s="116">
        <f t="shared" si="383"/>
        <v>2173.98</v>
      </c>
      <c r="AS119" s="116">
        <f t="shared" si="383"/>
        <v>2173.98</v>
      </c>
      <c r="AT119" s="116">
        <f t="shared" si="383"/>
        <v>2173.98</v>
      </c>
      <c r="AU119" s="116">
        <f t="shared" si="383"/>
        <v>2173.98</v>
      </c>
      <c r="AV119" s="116">
        <f t="shared" si="383"/>
        <v>2173.98</v>
      </c>
      <c r="AW119" s="116">
        <f t="shared" si="383"/>
        <v>2173.98</v>
      </c>
      <c r="AX119" s="116">
        <f t="shared" si="383"/>
        <v>2173.98</v>
      </c>
      <c r="AY119" s="287">
        <f t="shared" si="383"/>
        <v>2173.98</v>
      </c>
      <c r="AZ119" s="116">
        <f t="shared" si="383"/>
        <v>2173.98</v>
      </c>
      <c r="BA119" s="116">
        <f t="shared" si="383"/>
        <v>2173.98</v>
      </c>
      <c r="BB119" s="116">
        <f t="shared" si="383"/>
        <v>2173.98</v>
      </c>
      <c r="BC119" s="116">
        <f t="shared" si="383"/>
        <v>2173.98</v>
      </c>
      <c r="BD119" s="116">
        <f t="shared" si="383"/>
        <v>2173.98</v>
      </c>
      <c r="BE119" s="116">
        <f t="shared" si="383"/>
        <v>2173.98</v>
      </c>
      <c r="BF119" s="116">
        <f t="shared" si="383"/>
        <v>2173.98</v>
      </c>
      <c r="BG119" s="116">
        <f t="shared" si="383"/>
        <v>2173.98</v>
      </c>
      <c r="BH119" s="116">
        <f t="shared" si="383"/>
        <v>2173.98</v>
      </c>
      <c r="BI119" s="116">
        <f t="shared" si="383"/>
        <v>2173.98</v>
      </c>
      <c r="BJ119" s="116">
        <f t="shared" si="383"/>
        <v>2173.98</v>
      </c>
      <c r="BK119" s="287">
        <f t="shared" si="383"/>
        <v>2173.98</v>
      </c>
      <c r="BL119" s="116">
        <f t="shared" si="383"/>
        <v>2173.98</v>
      </c>
      <c r="BM119" s="116">
        <f t="shared" si="383"/>
        <v>2173.98</v>
      </c>
      <c r="BN119" s="116">
        <f t="shared" si="383"/>
        <v>2173.98</v>
      </c>
      <c r="BO119" s="116">
        <f t="shared" si="383"/>
        <v>2173.98</v>
      </c>
      <c r="BP119" s="116">
        <f t="shared" si="383"/>
        <v>2173.98</v>
      </c>
      <c r="BQ119" s="116">
        <f t="shared" si="383"/>
        <v>2173.98</v>
      </c>
      <c r="BR119" s="116">
        <f t="shared" si="383"/>
        <v>2173.98</v>
      </c>
      <c r="BS119" s="116">
        <f t="shared" si="383"/>
        <v>2173.98</v>
      </c>
      <c r="BT119" s="116">
        <f t="shared" si="383"/>
        <v>2173.98</v>
      </c>
      <c r="BU119" s="116">
        <f t="shared" si="383"/>
        <v>2173.98</v>
      </c>
      <c r="BV119" s="116">
        <f t="shared" si="383"/>
        <v>2173.98</v>
      </c>
      <c r="BW119" s="287">
        <f t="shared" si="383"/>
        <v>2173.98</v>
      </c>
      <c r="BX119" s="116">
        <f t="shared" si="383"/>
        <v>2173.98</v>
      </c>
      <c r="BY119" s="116">
        <f t="shared" si="383"/>
        <v>2173.98</v>
      </c>
      <c r="BZ119" s="116">
        <f t="shared" si="383"/>
        <v>2173.98</v>
      </c>
      <c r="CA119" s="116">
        <f t="shared" si="383"/>
        <v>2173.98</v>
      </c>
      <c r="CB119" s="116">
        <f t="shared" ref="CB119:DG119" si="384">CA119</f>
        <v>2173.98</v>
      </c>
      <c r="CC119" s="116">
        <f t="shared" si="384"/>
        <v>2173.98</v>
      </c>
      <c r="CD119" s="116">
        <f t="shared" si="384"/>
        <v>2173.98</v>
      </c>
      <c r="CE119" s="116">
        <f t="shared" si="384"/>
        <v>2173.98</v>
      </c>
      <c r="CF119" s="116">
        <f t="shared" si="384"/>
        <v>2173.98</v>
      </c>
      <c r="CG119" s="116">
        <f t="shared" si="384"/>
        <v>2173.98</v>
      </c>
      <c r="CH119" s="116">
        <f t="shared" si="384"/>
        <v>2173.98</v>
      </c>
      <c r="CI119" s="287">
        <f t="shared" si="384"/>
        <v>2173.98</v>
      </c>
      <c r="CJ119" s="116">
        <f t="shared" si="384"/>
        <v>2173.98</v>
      </c>
      <c r="CK119" s="116">
        <f t="shared" si="384"/>
        <v>2173.98</v>
      </c>
      <c r="CL119" s="116">
        <f t="shared" si="384"/>
        <v>2173.98</v>
      </c>
      <c r="CM119" s="116">
        <f t="shared" si="384"/>
        <v>2173.98</v>
      </c>
      <c r="CN119" s="116">
        <f t="shared" si="384"/>
        <v>2173.98</v>
      </c>
      <c r="CO119" s="116">
        <f t="shared" si="384"/>
        <v>2173.98</v>
      </c>
      <c r="CP119" s="116">
        <f t="shared" si="384"/>
        <v>2173.98</v>
      </c>
      <c r="CQ119" s="116">
        <f t="shared" si="384"/>
        <v>2173.98</v>
      </c>
      <c r="CR119" s="116">
        <f t="shared" si="384"/>
        <v>2173.98</v>
      </c>
      <c r="CS119" s="116">
        <f t="shared" si="384"/>
        <v>2173.98</v>
      </c>
      <c r="CT119" s="116">
        <f t="shared" si="384"/>
        <v>2173.98</v>
      </c>
      <c r="CU119" s="287">
        <f t="shared" si="384"/>
        <v>2173.98</v>
      </c>
      <c r="CV119" s="116">
        <f t="shared" si="384"/>
        <v>2173.98</v>
      </c>
      <c r="CW119" s="116">
        <f t="shared" si="384"/>
        <v>2173.98</v>
      </c>
      <c r="CX119" s="116">
        <f t="shared" si="384"/>
        <v>2173.98</v>
      </c>
      <c r="CY119" s="116">
        <f t="shared" si="384"/>
        <v>2173.98</v>
      </c>
      <c r="CZ119" s="116">
        <f t="shared" si="384"/>
        <v>2173.98</v>
      </c>
      <c r="DA119" s="116">
        <f t="shared" si="384"/>
        <v>2173.98</v>
      </c>
      <c r="DB119" s="116">
        <f t="shared" si="384"/>
        <v>2173.98</v>
      </c>
      <c r="DC119" s="116">
        <f t="shared" si="384"/>
        <v>2173.98</v>
      </c>
      <c r="DD119" s="116">
        <f t="shared" si="384"/>
        <v>2173.98</v>
      </c>
      <c r="DE119" s="116">
        <f t="shared" si="384"/>
        <v>2173.98</v>
      </c>
      <c r="DF119" s="116">
        <f t="shared" si="384"/>
        <v>2173.98</v>
      </c>
      <c r="DG119" s="116">
        <f t="shared" si="384"/>
        <v>2173.98</v>
      </c>
    </row>
    <row r="120" spans="1:111" x14ac:dyDescent="0.3">
      <c r="B120" s="1" t="s">
        <v>226</v>
      </c>
      <c r="C120" s="1"/>
      <c r="D120" s="116"/>
      <c r="E120" s="116"/>
      <c r="F120" s="116"/>
      <c r="G120" s="116"/>
      <c r="H120" s="116"/>
      <c r="I120" s="116"/>
      <c r="J120" s="114"/>
      <c r="K120" s="114"/>
      <c r="L120" s="114"/>
      <c r="M120" s="116"/>
      <c r="N120" s="116"/>
      <c r="O120" s="116"/>
      <c r="P120" s="116"/>
      <c r="Q120" s="116"/>
      <c r="R120" s="116"/>
      <c r="S120" s="116"/>
      <c r="T120" s="116"/>
      <c r="U120" s="116"/>
      <c r="V120" s="116">
        <v>7.0000000000000007E-2</v>
      </c>
      <c r="W120" s="116">
        <v>-2660.78</v>
      </c>
      <c r="X120" s="116">
        <v>-12187.98</v>
      </c>
      <c r="Y120" s="116">
        <v>-19568.41</v>
      </c>
      <c r="Z120" s="116">
        <v>-27421.11</v>
      </c>
      <c r="AA120" s="116">
        <v>-34880.17</v>
      </c>
      <c r="AB120" s="116">
        <v>-38818.71</v>
      </c>
      <c r="AC120" s="116">
        <v>-47281.19</v>
      </c>
      <c r="AD120" s="116">
        <v>-56605.65</v>
      </c>
      <c r="AE120" s="116">
        <v>-66499.429999999993</v>
      </c>
      <c r="AF120" s="116">
        <v>-75921.77</v>
      </c>
      <c r="AG120" s="116">
        <v>-85465.42</v>
      </c>
      <c r="AH120" s="116">
        <v>-95723.69</v>
      </c>
      <c r="AI120" s="116">
        <v>-103609.82</v>
      </c>
      <c r="AJ120" s="116">
        <v>-110424.64</v>
      </c>
      <c r="AK120" s="287">
        <v>-117694.19</v>
      </c>
      <c r="AL120" s="607">
        <f>AK120+AL125</f>
        <v>-124194.19</v>
      </c>
      <c r="AM120" s="287">
        <f t="shared" ref="AM120:CT120" si="385">AL120+AM125</f>
        <v>-130694.19</v>
      </c>
      <c r="AN120" s="116">
        <f t="shared" si="385"/>
        <v>-137194.19</v>
      </c>
      <c r="AO120" s="116">
        <f t="shared" si="385"/>
        <v>-143694.19</v>
      </c>
      <c r="AP120" s="116">
        <f t="shared" si="385"/>
        <v>-150194.19</v>
      </c>
      <c r="AQ120" s="116">
        <f t="shared" si="385"/>
        <v>-156694.19</v>
      </c>
      <c r="AR120" s="116">
        <f t="shared" si="385"/>
        <v>-163194.19</v>
      </c>
      <c r="AS120" s="116">
        <f t="shared" si="385"/>
        <v>-169694.19</v>
      </c>
      <c r="AT120" s="116">
        <f t="shared" si="385"/>
        <v>-176194.19</v>
      </c>
      <c r="AU120" s="116">
        <f t="shared" si="385"/>
        <v>-182694.19</v>
      </c>
      <c r="AV120" s="116">
        <f t="shared" si="385"/>
        <v>-189194.19</v>
      </c>
      <c r="AW120" s="116">
        <f t="shared" si="385"/>
        <v>-195694.19</v>
      </c>
      <c r="AX120" s="116">
        <f t="shared" si="385"/>
        <v>-202194.19</v>
      </c>
      <c r="AY120" s="287">
        <f t="shared" si="385"/>
        <v>-208694.19</v>
      </c>
      <c r="AZ120" s="116">
        <f t="shared" si="385"/>
        <v>-215194.19</v>
      </c>
      <c r="BA120" s="116">
        <f t="shared" si="385"/>
        <v>-221694.19</v>
      </c>
      <c r="BB120" s="116">
        <f t="shared" si="385"/>
        <v>-228194.19</v>
      </c>
      <c r="BC120" s="116">
        <f t="shared" si="385"/>
        <v>-234694.19</v>
      </c>
      <c r="BD120" s="116">
        <f t="shared" si="385"/>
        <v>-241194.19</v>
      </c>
      <c r="BE120" s="116">
        <f t="shared" si="385"/>
        <v>-247694.19</v>
      </c>
      <c r="BF120" s="116">
        <f t="shared" si="385"/>
        <v>-254194.19</v>
      </c>
      <c r="BG120" s="116">
        <f t="shared" si="385"/>
        <v>-260694.19</v>
      </c>
      <c r="BH120" s="116">
        <f t="shared" si="385"/>
        <v>-267194.19</v>
      </c>
      <c r="BI120" s="116">
        <f t="shared" si="385"/>
        <v>-273694.19</v>
      </c>
      <c r="BJ120" s="116">
        <f t="shared" si="385"/>
        <v>-280194.19</v>
      </c>
      <c r="BK120" s="287">
        <f t="shared" si="385"/>
        <v>-286694.19</v>
      </c>
      <c r="BL120" s="116">
        <f t="shared" si="385"/>
        <v>-293194.19</v>
      </c>
      <c r="BM120" s="116">
        <f t="shared" si="385"/>
        <v>-299694.19</v>
      </c>
      <c r="BN120" s="116">
        <f t="shared" si="385"/>
        <v>-306194.19</v>
      </c>
      <c r="BO120" s="116">
        <f t="shared" si="385"/>
        <v>-312694.19</v>
      </c>
      <c r="BP120" s="116">
        <f t="shared" si="385"/>
        <v>-319194.19</v>
      </c>
      <c r="BQ120" s="116">
        <f t="shared" si="385"/>
        <v>-325694.19</v>
      </c>
      <c r="BR120" s="116">
        <f t="shared" si="385"/>
        <v>-332194.19</v>
      </c>
      <c r="BS120" s="116">
        <f t="shared" si="385"/>
        <v>-338694.19</v>
      </c>
      <c r="BT120" s="116">
        <f t="shared" si="385"/>
        <v>-345194.19</v>
      </c>
      <c r="BU120" s="116">
        <f t="shared" si="385"/>
        <v>-351694.19</v>
      </c>
      <c r="BV120" s="116">
        <f t="shared" si="385"/>
        <v>-358194.19</v>
      </c>
      <c r="BW120" s="287">
        <f t="shared" si="385"/>
        <v>-364694.19</v>
      </c>
      <c r="BX120" s="116">
        <f t="shared" si="385"/>
        <v>-371194.19</v>
      </c>
      <c r="BY120" s="116">
        <f t="shared" si="385"/>
        <v>-377694.19</v>
      </c>
      <c r="BZ120" s="116">
        <f t="shared" si="385"/>
        <v>-384194.19</v>
      </c>
      <c r="CA120" s="116">
        <f t="shared" si="385"/>
        <v>-390694.19</v>
      </c>
      <c r="CB120" s="116">
        <f t="shared" si="385"/>
        <v>-397194.19</v>
      </c>
      <c r="CC120" s="116">
        <f t="shared" si="385"/>
        <v>-403694.19</v>
      </c>
      <c r="CD120" s="116">
        <f t="shared" si="385"/>
        <v>-410194.19</v>
      </c>
      <c r="CE120" s="116">
        <f t="shared" si="385"/>
        <v>-416694.19</v>
      </c>
      <c r="CF120" s="116">
        <f t="shared" si="385"/>
        <v>-423194.19</v>
      </c>
      <c r="CG120" s="116">
        <f t="shared" si="385"/>
        <v>-429694.19</v>
      </c>
      <c r="CH120" s="116">
        <f t="shared" si="385"/>
        <v>-436194.19</v>
      </c>
      <c r="CI120" s="287">
        <f t="shared" si="385"/>
        <v>-442694.19</v>
      </c>
      <c r="CJ120" s="116">
        <f t="shared" si="385"/>
        <v>-449194.19</v>
      </c>
      <c r="CK120" s="116">
        <f t="shared" si="385"/>
        <v>-455694.19</v>
      </c>
      <c r="CL120" s="116">
        <f t="shared" si="385"/>
        <v>-462194.19</v>
      </c>
      <c r="CM120" s="116">
        <f t="shared" si="385"/>
        <v>-468694.19</v>
      </c>
      <c r="CN120" s="116">
        <f t="shared" si="385"/>
        <v>-475194.19</v>
      </c>
      <c r="CO120" s="116">
        <f t="shared" si="385"/>
        <v>-481694.19</v>
      </c>
      <c r="CP120" s="116">
        <f t="shared" si="385"/>
        <v>-488194.19</v>
      </c>
      <c r="CQ120" s="116">
        <f t="shared" si="385"/>
        <v>-494694.19</v>
      </c>
      <c r="CR120" s="116">
        <f t="shared" si="385"/>
        <v>-501194.19</v>
      </c>
      <c r="CS120" s="116">
        <f t="shared" si="385"/>
        <v>-507694.19</v>
      </c>
      <c r="CT120" s="116">
        <f t="shared" si="385"/>
        <v>-514194.19</v>
      </c>
      <c r="CU120" s="287">
        <f t="shared" ref="CU120:DG120" si="386">CT120+CU125</f>
        <v>-520694.19</v>
      </c>
      <c r="CV120" s="116">
        <f t="shared" si="386"/>
        <v>-527194.18999999994</v>
      </c>
      <c r="CW120" s="116">
        <f t="shared" si="386"/>
        <v>-533694.18999999994</v>
      </c>
      <c r="CX120" s="116">
        <f t="shared" si="386"/>
        <v>-540194.18999999994</v>
      </c>
      <c r="CY120" s="116">
        <f t="shared" si="386"/>
        <v>-546694.18999999994</v>
      </c>
      <c r="CZ120" s="116">
        <f t="shared" si="386"/>
        <v>-553194.18999999994</v>
      </c>
      <c r="DA120" s="116">
        <f t="shared" si="386"/>
        <v>-559694.18999999994</v>
      </c>
      <c r="DB120" s="116">
        <f t="shared" si="386"/>
        <v>-566194.18999999994</v>
      </c>
      <c r="DC120" s="116">
        <f t="shared" si="386"/>
        <v>-572694.18999999994</v>
      </c>
      <c r="DD120" s="116">
        <f t="shared" si="386"/>
        <v>-579194.18999999994</v>
      </c>
      <c r="DE120" s="116">
        <f t="shared" si="386"/>
        <v>-585694.18999999994</v>
      </c>
      <c r="DF120" s="116">
        <f t="shared" si="386"/>
        <v>-592194.18999999994</v>
      </c>
      <c r="DG120" s="116">
        <f t="shared" si="386"/>
        <v>-598694.18999999994</v>
      </c>
    </row>
    <row r="121" spans="1:111" s="3" customFormat="1" x14ac:dyDescent="0.3">
      <c r="A121"/>
      <c r="B121" s="1" t="s">
        <v>227</v>
      </c>
      <c r="C121" s="1"/>
      <c r="D121" s="116"/>
      <c r="E121" s="116"/>
      <c r="F121" s="116"/>
      <c r="G121" s="116"/>
      <c r="H121" s="116"/>
      <c r="I121" s="116"/>
      <c r="J121" s="114"/>
      <c r="K121" s="114"/>
      <c r="L121" s="114"/>
      <c r="M121" s="116"/>
      <c r="N121" s="116"/>
      <c r="O121" s="116"/>
      <c r="P121" s="116"/>
      <c r="Q121" s="116"/>
      <c r="R121" s="116"/>
      <c r="S121" s="116"/>
      <c r="T121" s="116"/>
      <c r="U121" s="116"/>
      <c r="V121" s="116">
        <v>0</v>
      </c>
      <c r="W121" s="116">
        <v>0</v>
      </c>
      <c r="X121" s="116">
        <v>0</v>
      </c>
      <c r="Y121" s="116">
        <v>0</v>
      </c>
      <c r="Z121" s="116">
        <v>0</v>
      </c>
      <c r="AA121" s="116">
        <v>0</v>
      </c>
      <c r="AB121" s="116">
        <v>35505.160000000003</v>
      </c>
      <c r="AC121" s="116">
        <v>35505.160000000003</v>
      </c>
      <c r="AD121" s="116">
        <v>35505.160000000003</v>
      </c>
      <c r="AE121" s="116">
        <v>35505.160000000003</v>
      </c>
      <c r="AF121" s="116">
        <v>35505.160000000003</v>
      </c>
      <c r="AG121" s="116">
        <v>35505.160000000003</v>
      </c>
      <c r="AH121" s="116">
        <v>35505.160000000003</v>
      </c>
      <c r="AI121" s="116">
        <v>35505.160000000003</v>
      </c>
      <c r="AJ121" s="116">
        <v>35505.160000000003</v>
      </c>
      <c r="AK121" s="287">
        <v>35505.160000000003</v>
      </c>
      <c r="AL121" s="607">
        <f>AK121</f>
        <v>35505.160000000003</v>
      </c>
      <c r="AM121" s="287">
        <f t="shared" ref="AM121:CA121" si="387">AL121</f>
        <v>35505.160000000003</v>
      </c>
      <c r="AN121" s="116">
        <f t="shared" si="387"/>
        <v>35505.160000000003</v>
      </c>
      <c r="AO121" s="116">
        <f t="shared" si="387"/>
        <v>35505.160000000003</v>
      </c>
      <c r="AP121" s="116">
        <f t="shared" si="387"/>
        <v>35505.160000000003</v>
      </c>
      <c r="AQ121" s="116">
        <f t="shared" si="387"/>
        <v>35505.160000000003</v>
      </c>
      <c r="AR121" s="116">
        <f t="shared" si="387"/>
        <v>35505.160000000003</v>
      </c>
      <c r="AS121" s="116">
        <f t="shared" si="387"/>
        <v>35505.160000000003</v>
      </c>
      <c r="AT121" s="116">
        <f t="shared" si="387"/>
        <v>35505.160000000003</v>
      </c>
      <c r="AU121" s="116">
        <f t="shared" si="387"/>
        <v>35505.160000000003</v>
      </c>
      <c r="AV121" s="116">
        <f t="shared" si="387"/>
        <v>35505.160000000003</v>
      </c>
      <c r="AW121" s="116">
        <f t="shared" si="387"/>
        <v>35505.160000000003</v>
      </c>
      <c r="AX121" s="116">
        <f t="shared" si="387"/>
        <v>35505.160000000003</v>
      </c>
      <c r="AY121" s="287">
        <f t="shared" si="387"/>
        <v>35505.160000000003</v>
      </c>
      <c r="AZ121" s="116">
        <f t="shared" si="387"/>
        <v>35505.160000000003</v>
      </c>
      <c r="BA121" s="116">
        <f t="shared" si="387"/>
        <v>35505.160000000003</v>
      </c>
      <c r="BB121" s="116">
        <f t="shared" si="387"/>
        <v>35505.160000000003</v>
      </c>
      <c r="BC121" s="116">
        <f t="shared" si="387"/>
        <v>35505.160000000003</v>
      </c>
      <c r="BD121" s="116">
        <f t="shared" si="387"/>
        <v>35505.160000000003</v>
      </c>
      <c r="BE121" s="116">
        <f t="shared" si="387"/>
        <v>35505.160000000003</v>
      </c>
      <c r="BF121" s="116">
        <f t="shared" si="387"/>
        <v>35505.160000000003</v>
      </c>
      <c r="BG121" s="116">
        <f t="shared" si="387"/>
        <v>35505.160000000003</v>
      </c>
      <c r="BH121" s="116">
        <f t="shared" si="387"/>
        <v>35505.160000000003</v>
      </c>
      <c r="BI121" s="116">
        <f t="shared" si="387"/>
        <v>35505.160000000003</v>
      </c>
      <c r="BJ121" s="116">
        <f t="shared" si="387"/>
        <v>35505.160000000003</v>
      </c>
      <c r="BK121" s="287">
        <f t="shared" si="387"/>
        <v>35505.160000000003</v>
      </c>
      <c r="BL121" s="116">
        <f t="shared" si="387"/>
        <v>35505.160000000003</v>
      </c>
      <c r="BM121" s="116">
        <f t="shared" si="387"/>
        <v>35505.160000000003</v>
      </c>
      <c r="BN121" s="116">
        <f t="shared" si="387"/>
        <v>35505.160000000003</v>
      </c>
      <c r="BO121" s="116">
        <f t="shared" si="387"/>
        <v>35505.160000000003</v>
      </c>
      <c r="BP121" s="116">
        <f t="shared" si="387"/>
        <v>35505.160000000003</v>
      </c>
      <c r="BQ121" s="116">
        <f t="shared" si="387"/>
        <v>35505.160000000003</v>
      </c>
      <c r="BR121" s="116">
        <f t="shared" si="387"/>
        <v>35505.160000000003</v>
      </c>
      <c r="BS121" s="116">
        <f t="shared" si="387"/>
        <v>35505.160000000003</v>
      </c>
      <c r="BT121" s="116">
        <f t="shared" si="387"/>
        <v>35505.160000000003</v>
      </c>
      <c r="BU121" s="116">
        <f t="shared" si="387"/>
        <v>35505.160000000003</v>
      </c>
      <c r="BV121" s="116">
        <f t="shared" si="387"/>
        <v>35505.160000000003</v>
      </c>
      <c r="BW121" s="287">
        <f t="shared" si="387"/>
        <v>35505.160000000003</v>
      </c>
      <c r="BX121" s="116">
        <f t="shared" si="387"/>
        <v>35505.160000000003</v>
      </c>
      <c r="BY121" s="116">
        <f t="shared" si="387"/>
        <v>35505.160000000003</v>
      </c>
      <c r="BZ121" s="116">
        <f t="shared" si="387"/>
        <v>35505.160000000003</v>
      </c>
      <c r="CA121" s="116">
        <f t="shared" si="387"/>
        <v>35505.160000000003</v>
      </c>
      <c r="CB121" s="116">
        <f t="shared" ref="CB121:DG121" si="388">CA121</f>
        <v>35505.160000000003</v>
      </c>
      <c r="CC121" s="116">
        <f t="shared" si="388"/>
        <v>35505.160000000003</v>
      </c>
      <c r="CD121" s="116">
        <f t="shared" si="388"/>
        <v>35505.160000000003</v>
      </c>
      <c r="CE121" s="116">
        <f t="shared" si="388"/>
        <v>35505.160000000003</v>
      </c>
      <c r="CF121" s="116">
        <f t="shared" si="388"/>
        <v>35505.160000000003</v>
      </c>
      <c r="CG121" s="116">
        <f t="shared" si="388"/>
        <v>35505.160000000003</v>
      </c>
      <c r="CH121" s="116">
        <f t="shared" si="388"/>
        <v>35505.160000000003</v>
      </c>
      <c r="CI121" s="287">
        <f t="shared" si="388"/>
        <v>35505.160000000003</v>
      </c>
      <c r="CJ121" s="116">
        <f t="shared" si="388"/>
        <v>35505.160000000003</v>
      </c>
      <c r="CK121" s="116">
        <f t="shared" si="388"/>
        <v>35505.160000000003</v>
      </c>
      <c r="CL121" s="116">
        <f t="shared" si="388"/>
        <v>35505.160000000003</v>
      </c>
      <c r="CM121" s="116">
        <f t="shared" si="388"/>
        <v>35505.160000000003</v>
      </c>
      <c r="CN121" s="116">
        <f t="shared" si="388"/>
        <v>35505.160000000003</v>
      </c>
      <c r="CO121" s="116">
        <f t="shared" si="388"/>
        <v>35505.160000000003</v>
      </c>
      <c r="CP121" s="116">
        <f t="shared" si="388"/>
        <v>35505.160000000003</v>
      </c>
      <c r="CQ121" s="116">
        <f t="shared" si="388"/>
        <v>35505.160000000003</v>
      </c>
      <c r="CR121" s="116">
        <f t="shared" si="388"/>
        <v>35505.160000000003</v>
      </c>
      <c r="CS121" s="116">
        <f t="shared" si="388"/>
        <v>35505.160000000003</v>
      </c>
      <c r="CT121" s="116">
        <f t="shared" si="388"/>
        <v>35505.160000000003</v>
      </c>
      <c r="CU121" s="287">
        <f t="shared" si="388"/>
        <v>35505.160000000003</v>
      </c>
      <c r="CV121" s="116">
        <f t="shared" si="388"/>
        <v>35505.160000000003</v>
      </c>
      <c r="CW121" s="116">
        <f t="shared" si="388"/>
        <v>35505.160000000003</v>
      </c>
      <c r="CX121" s="116">
        <f t="shared" si="388"/>
        <v>35505.160000000003</v>
      </c>
      <c r="CY121" s="116">
        <f t="shared" si="388"/>
        <v>35505.160000000003</v>
      </c>
      <c r="CZ121" s="116">
        <f t="shared" si="388"/>
        <v>35505.160000000003</v>
      </c>
      <c r="DA121" s="116">
        <f t="shared" si="388"/>
        <v>35505.160000000003</v>
      </c>
      <c r="DB121" s="116">
        <f t="shared" si="388"/>
        <v>35505.160000000003</v>
      </c>
      <c r="DC121" s="116">
        <f t="shared" si="388"/>
        <v>35505.160000000003</v>
      </c>
      <c r="DD121" s="116">
        <f t="shared" si="388"/>
        <v>35505.160000000003</v>
      </c>
      <c r="DE121" s="116">
        <f t="shared" si="388"/>
        <v>35505.160000000003</v>
      </c>
      <c r="DF121" s="116">
        <f t="shared" si="388"/>
        <v>35505.160000000003</v>
      </c>
      <c r="DG121" s="116">
        <f t="shared" si="388"/>
        <v>35505.160000000003</v>
      </c>
    </row>
    <row r="122" spans="1:111" x14ac:dyDescent="0.3">
      <c r="B122" s="1" t="s">
        <v>26</v>
      </c>
      <c r="C122" s="1"/>
      <c r="D122" s="116"/>
      <c r="E122" s="116"/>
      <c r="F122" s="116"/>
      <c r="G122" s="116"/>
      <c r="H122" s="116"/>
      <c r="I122" s="116"/>
      <c r="J122" s="114"/>
      <c r="K122" s="114"/>
      <c r="L122" s="114"/>
      <c r="M122" s="116"/>
      <c r="N122" s="116"/>
      <c r="O122" s="116"/>
      <c r="P122" s="116"/>
      <c r="Q122" s="116"/>
      <c r="R122" s="116"/>
      <c r="S122" s="116"/>
      <c r="T122" s="116"/>
      <c r="U122" s="116"/>
      <c r="V122" s="116">
        <f t="shared" ref="V122:AA122" si="389">+V87+U122</f>
        <v>0</v>
      </c>
      <c r="W122" s="116">
        <f t="shared" si="389"/>
        <v>1942.4</v>
      </c>
      <c r="X122" s="116">
        <f t="shared" si="389"/>
        <v>10310.169999999998</v>
      </c>
      <c r="Y122" s="116">
        <f t="shared" si="389"/>
        <v>17931.46</v>
      </c>
      <c r="Z122" s="116">
        <f t="shared" si="389"/>
        <v>25667.46</v>
      </c>
      <c r="AA122" s="116">
        <f t="shared" si="389"/>
        <v>35505.160000000003</v>
      </c>
      <c r="AB122" s="116">
        <f>+AB87</f>
        <v>5161.95</v>
      </c>
      <c r="AC122" s="116">
        <f t="shared" ref="AC122:BH122" si="390">+AC87+AB122</f>
        <v>10755.189999999999</v>
      </c>
      <c r="AD122" s="116">
        <f t="shared" si="390"/>
        <v>19477.079999999998</v>
      </c>
      <c r="AE122" s="116">
        <f t="shared" si="390"/>
        <v>29210.14</v>
      </c>
      <c r="AF122" s="116">
        <f t="shared" si="390"/>
        <v>38859.31</v>
      </c>
      <c r="AG122" s="116">
        <f t="shared" si="390"/>
        <v>49379.24</v>
      </c>
      <c r="AH122" s="116">
        <f t="shared" si="390"/>
        <v>58069.599999999999</v>
      </c>
      <c r="AI122" s="116">
        <f t="shared" si="390"/>
        <v>66971.850000000006</v>
      </c>
      <c r="AJ122" s="116">
        <f t="shared" si="390"/>
        <v>72760.87000000001</v>
      </c>
      <c r="AK122" s="287">
        <f t="shared" si="390"/>
        <v>80554.950000000012</v>
      </c>
      <c r="AL122" s="116">
        <f t="shared" si="390"/>
        <v>87646.189829581461</v>
      </c>
      <c r="AM122" s="287">
        <f t="shared" si="390"/>
        <v>96131.477291678821</v>
      </c>
      <c r="AN122" s="116">
        <f t="shared" si="390"/>
        <v>102527.57631879931</v>
      </c>
      <c r="AO122" s="116">
        <f t="shared" si="390"/>
        <v>108607.59108653387</v>
      </c>
      <c r="AP122" s="116">
        <f t="shared" si="390"/>
        <v>116527.6190017216</v>
      </c>
      <c r="AQ122" s="116">
        <f t="shared" si="390"/>
        <v>122220.57863460665</v>
      </c>
      <c r="AR122" s="116">
        <f t="shared" si="390"/>
        <v>128836.91658668201</v>
      </c>
      <c r="AS122" s="116">
        <f t="shared" si="390"/>
        <v>138142.66446549041</v>
      </c>
      <c r="AT122" s="116">
        <f t="shared" si="390"/>
        <v>146979.06338343961</v>
      </c>
      <c r="AU122" s="116">
        <f t="shared" si="390"/>
        <v>157835.06806949311</v>
      </c>
      <c r="AV122" s="116">
        <f t="shared" si="390"/>
        <v>168735.90999896839</v>
      </c>
      <c r="AW122" s="116">
        <f t="shared" si="390"/>
        <v>178512.87520929909</v>
      </c>
      <c r="AX122" s="116">
        <f t="shared" si="390"/>
        <v>189620.36100324287</v>
      </c>
      <c r="AY122" s="287">
        <f t="shared" si="390"/>
        <v>203776.61667011472</v>
      </c>
      <c r="AZ122" s="116">
        <f t="shared" si="390"/>
        <v>212974.70936390499</v>
      </c>
      <c r="BA122" s="116">
        <f t="shared" si="390"/>
        <v>222297.37326363547</v>
      </c>
      <c r="BB122" s="116">
        <f t="shared" si="390"/>
        <v>234518.4234962198</v>
      </c>
      <c r="BC122" s="116">
        <f t="shared" si="390"/>
        <v>243296.12631479229</v>
      </c>
      <c r="BD122" s="116">
        <f t="shared" si="390"/>
        <v>252291.45508999767</v>
      </c>
      <c r="BE122" s="116">
        <f t="shared" si="390"/>
        <v>265803.73261482222</v>
      </c>
      <c r="BF122" s="116">
        <f t="shared" si="390"/>
        <v>278544.97065460472</v>
      </c>
      <c r="BG122" s="116">
        <f t="shared" si="390"/>
        <v>293150.34645166981</v>
      </c>
      <c r="BH122" s="116">
        <f t="shared" si="390"/>
        <v>307895.2839938699</v>
      </c>
      <c r="BI122" s="116">
        <f t="shared" ref="BI122:CN122" si="391">+BI87+BH122</f>
        <v>320541.21895295195</v>
      </c>
      <c r="BJ122" s="116">
        <f t="shared" si="391"/>
        <v>337635.70779500576</v>
      </c>
      <c r="BK122" s="287">
        <f t="shared" si="391"/>
        <v>356352.19343148684</v>
      </c>
      <c r="BL122" s="116">
        <f t="shared" si="391"/>
        <v>368251.70746570703</v>
      </c>
      <c r="BM122" s="116">
        <f t="shared" si="391"/>
        <v>381118.29542399151</v>
      </c>
      <c r="BN122" s="116">
        <f t="shared" si="391"/>
        <v>398367.33881564176</v>
      </c>
      <c r="BO122" s="116">
        <f t="shared" si="391"/>
        <v>410422.85356060107</v>
      </c>
      <c r="BP122" s="116">
        <f t="shared" si="391"/>
        <v>422582.41540343239</v>
      </c>
      <c r="BQ122" s="116">
        <f t="shared" si="391"/>
        <v>440097.04541679833</v>
      </c>
      <c r="BR122" s="116">
        <f t="shared" si="391"/>
        <v>455706.11215809896</v>
      </c>
      <c r="BS122" s="116">
        <f t="shared" si="391"/>
        <v>474399.22533636919</v>
      </c>
      <c r="BT122" s="116">
        <f t="shared" si="391"/>
        <v>492573.51577489258</v>
      </c>
      <c r="BU122" s="116">
        <f t="shared" si="391"/>
        <v>508123.99845530471</v>
      </c>
      <c r="BV122" s="116">
        <f t="shared" si="391"/>
        <v>529398.02283796866</v>
      </c>
      <c r="BW122" s="287">
        <f t="shared" si="391"/>
        <v>552164.60864902078</v>
      </c>
      <c r="BX122" s="116">
        <f t="shared" si="391"/>
        <v>567787.48062442616</v>
      </c>
      <c r="BY122" s="116">
        <f t="shared" si="391"/>
        <v>585749.85716632311</v>
      </c>
      <c r="BZ122" s="116">
        <f t="shared" si="391"/>
        <v>606475.70950421586</v>
      </c>
      <c r="CA122" s="116">
        <f t="shared" si="391"/>
        <v>620430.77449677233</v>
      </c>
      <c r="CB122" s="116">
        <f t="shared" si="391"/>
        <v>637983.70183723653</v>
      </c>
      <c r="CC122" s="116">
        <f t="shared" si="391"/>
        <v>658607.62377301347</v>
      </c>
      <c r="CD122" s="116">
        <f t="shared" si="391"/>
        <v>677052.89208596875</v>
      </c>
      <c r="CE122" s="116">
        <f t="shared" si="391"/>
        <v>699892.42708197818</v>
      </c>
      <c r="CF122" s="116">
        <f t="shared" si="391"/>
        <v>720668.49240147672</v>
      </c>
      <c r="CG122" s="116">
        <f t="shared" si="391"/>
        <v>740329.05068072071</v>
      </c>
      <c r="CH122" s="116">
        <f t="shared" si="391"/>
        <v>765671.87548576214</v>
      </c>
      <c r="CI122" s="287">
        <f t="shared" si="391"/>
        <v>790997.335215942</v>
      </c>
      <c r="CJ122" s="116">
        <f t="shared" si="391"/>
        <v>811835.57696347998</v>
      </c>
      <c r="CK122" s="116">
        <f t="shared" si="391"/>
        <v>832360.15380597173</v>
      </c>
      <c r="CL122" s="116">
        <f t="shared" si="391"/>
        <v>855925.94533282623</v>
      </c>
      <c r="CM122" s="116">
        <f t="shared" si="391"/>
        <v>874673.87518532563</v>
      </c>
      <c r="CN122" s="116">
        <f t="shared" si="391"/>
        <v>895532.13678785926</v>
      </c>
      <c r="CO122" s="116">
        <f t="shared" ref="CO122:DG122" si="392">+CO87+CN122</f>
        <v>918722.40613767901</v>
      </c>
      <c r="CP122" s="116">
        <f t="shared" si="392"/>
        <v>940777.34610078298</v>
      </c>
      <c r="CQ122" s="116">
        <f t="shared" si="392"/>
        <v>967454.77137155004</v>
      </c>
      <c r="CR122" s="116">
        <f t="shared" si="392"/>
        <v>990694.14282275143</v>
      </c>
      <c r="CS122" s="116">
        <f t="shared" si="392"/>
        <v>1014348.9326796138</v>
      </c>
      <c r="CT122" s="116">
        <f t="shared" si="392"/>
        <v>1044146.8453657966</v>
      </c>
      <c r="CU122" s="287">
        <f t="shared" si="392"/>
        <v>1074007.0742808459</v>
      </c>
      <c r="CV122" s="116">
        <f t="shared" si="392"/>
        <v>1098385.3395480667</v>
      </c>
      <c r="CW122" s="116">
        <f t="shared" si="392"/>
        <v>1122363.2899606801</v>
      </c>
      <c r="CX122" s="116">
        <f t="shared" si="392"/>
        <v>1148921.9492845573</v>
      </c>
      <c r="CY122" s="116">
        <f t="shared" si="392"/>
        <v>1171733.5399068899</v>
      </c>
      <c r="CZ122" s="116">
        <f t="shared" si="392"/>
        <v>1196002.3028095793</v>
      </c>
      <c r="DA122" s="116">
        <f t="shared" si="392"/>
        <v>1221866.679412957</v>
      </c>
      <c r="DB122" s="116">
        <f t="shared" si="392"/>
        <v>1248324.7361114919</v>
      </c>
      <c r="DC122" s="116">
        <f t="shared" si="392"/>
        <v>1278269.2817982347</v>
      </c>
      <c r="DD122" s="116">
        <f t="shared" si="392"/>
        <v>1306363.9170989711</v>
      </c>
      <c r="DE122" s="116">
        <f t="shared" si="392"/>
        <v>1333873.4723057523</v>
      </c>
      <c r="DF122" s="116">
        <f t="shared" si="392"/>
        <v>1367420.5770459264</v>
      </c>
      <c r="DG122" s="116">
        <f t="shared" si="392"/>
        <v>1403913.6625792535</v>
      </c>
    </row>
    <row r="123" spans="1:111" x14ac:dyDescent="0.3">
      <c r="A123" s="5"/>
      <c r="B123" s="6" t="s">
        <v>27</v>
      </c>
      <c r="C123" s="6"/>
      <c r="D123" s="55">
        <f>SUM(D119:D122)</f>
        <v>0</v>
      </c>
      <c r="E123" s="55">
        <f t="shared" ref="E123:N123" si="393">SUM(E119:E122)</f>
        <v>0</v>
      </c>
      <c r="F123" s="55">
        <f t="shared" si="393"/>
        <v>0</v>
      </c>
      <c r="G123" s="55">
        <f t="shared" si="393"/>
        <v>0</v>
      </c>
      <c r="H123" s="55">
        <f t="shared" si="393"/>
        <v>0</v>
      </c>
      <c r="I123" s="55">
        <f t="shared" si="393"/>
        <v>0</v>
      </c>
      <c r="J123" s="55">
        <f t="shared" si="393"/>
        <v>0</v>
      </c>
      <c r="K123" s="55">
        <f t="shared" si="393"/>
        <v>0</v>
      </c>
      <c r="L123" s="55">
        <f t="shared" si="393"/>
        <v>0</v>
      </c>
      <c r="M123" s="55">
        <f t="shared" si="393"/>
        <v>0</v>
      </c>
      <c r="N123" s="55">
        <f t="shared" si="393"/>
        <v>0</v>
      </c>
      <c r="O123" s="55">
        <f t="shared" ref="O123:AT123" si="394">SUM(O119:O122)</f>
        <v>0</v>
      </c>
      <c r="P123" s="55">
        <f t="shared" si="394"/>
        <v>0</v>
      </c>
      <c r="Q123" s="55">
        <f t="shared" si="394"/>
        <v>0</v>
      </c>
      <c r="R123" s="55">
        <f t="shared" si="394"/>
        <v>0</v>
      </c>
      <c r="S123" s="55">
        <f t="shared" si="394"/>
        <v>0</v>
      </c>
      <c r="T123" s="55">
        <f t="shared" si="394"/>
        <v>0</v>
      </c>
      <c r="U123" s="55">
        <f t="shared" si="394"/>
        <v>0</v>
      </c>
      <c r="V123" s="55">
        <f t="shared" si="394"/>
        <v>7.0000000000000007E-2</v>
      </c>
      <c r="W123" s="55">
        <f t="shared" si="394"/>
        <v>1450.46</v>
      </c>
      <c r="X123" s="55">
        <f t="shared" ref="X123:AE123" si="395">SUM(X119:X122)</f>
        <v>291.02999999999884</v>
      </c>
      <c r="Y123" s="55">
        <f t="shared" si="395"/>
        <v>531.88999999999942</v>
      </c>
      <c r="Z123" s="55">
        <f t="shared" si="395"/>
        <v>420.32999999999811</v>
      </c>
      <c r="AA123" s="55">
        <f t="shared" si="395"/>
        <v>2798.9700000000048</v>
      </c>
      <c r="AB123" s="55">
        <f t="shared" si="395"/>
        <v>4022.3800000000074</v>
      </c>
      <c r="AC123" s="55">
        <f t="shared" si="395"/>
        <v>1153.1400000000031</v>
      </c>
      <c r="AD123" s="55">
        <f t="shared" si="395"/>
        <v>550.57000000000335</v>
      </c>
      <c r="AE123" s="55">
        <f t="shared" si="395"/>
        <v>389.8500000000131</v>
      </c>
      <c r="AF123" s="55">
        <f t="shared" ref="AF123:AJ123" si="396">SUM(AF119:AF122)</f>
        <v>616.67999999999302</v>
      </c>
      <c r="AG123" s="55">
        <f t="shared" si="396"/>
        <v>1592.9599999999991</v>
      </c>
      <c r="AH123" s="55">
        <f t="shared" si="396"/>
        <v>25.049999999995634</v>
      </c>
      <c r="AI123" s="55">
        <f t="shared" si="396"/>
        <v>1041.1699999999983</v>
      </c>
      <c r="AJ123" s="55">
        <f t="shared" si="396"/>
        <v>15.370000000009895</v>
      </c>
      <c r="AK123" s="292">
        <f t="shared" ref="AK123" si="397">SUM(AK119:AK122)</f>
        <v>539.90000000000873</v>
      </c>
      <c r="AL123" s="55">
        <f t="shared" ref="AL123" si="398">SUM(AL119:AL122)</f>
        <v>1131.1398295814579</v>
      </c>
      <c r="AM123" s="292">
        <f t="shared" si="394"/>
        <v>3116.4272916788177</v>
      </c>
      <c r="AN123" s="55">
        <f t="shared" si="394"/>
        <v>3012.526318799326</v>
      </c>
      <c r="AO123" s="55">
        <f t="shared" si="394"/>
        <v>2592.5410865338781</v>
      </c>
      <c r="AP123" s="55">
        <f t="shared" si="394"/>
        <v>4012.5690017216111</v>
      </c>
      <c r="AQ123" s="55">
        <f t="shared" si="394"/>
        <v>3205.5286346066569</v>
      </c>
      <c r="AR123" s="55">
        <f t="shared" si="394"/>
        <v>3321.8665866820229</v>
      </c>
      <c r="AS123" s="55">
        <f t="shared" si="394"/>
        <v>6127.6144654904201</v>
      </c>
      <c r="AT123" s="55">
        <f t="shared" si="394"/>
        <v>8464.0133834396256</v>
      </c>
      <c r="AU123" s="55">
        <f t="shared" ref="AU123:BZ123" si="399">SUM(AU119:AU122)</f>
        <v>12820.018069493119</v>
      </c>
      <c r="AV123" s="55">
        <f t="shared" si="399"/>
        <v>17220.859998968401</v>
      </c>
      <c r="AW123" s="55">
        <f t="shared" si="399"/>
        <v>20497.825209299102</v>
      </c>
      <c r="AX123" s="55">
        <f t="shared" si="399"/>
        <v>25105.311003242881</v>
      </c>
      <c r="AY123" s="292">
        <f t="shared" si="399"/>
        <v>32761.566670114727</v>
      </c>
      <c r="AZ123" s="55">
        <f t="shared" si="399"/>
        <v>35459.659363904997</v>
      </c>
      <c r="BA123" s="55">
        <f t="shared" si="399"/>
        <v>38282.323263635481</v>
      </c>
      <c r="BB123" s="55">
        <f t="shared" si="399"/>
        <v>44003.373496219807</v>
      </c>
      <c r="BC123" s="55">
        <f t="shared" si="399"/>
        <v>46281.076314792299</v>
      </c>
      <c r="BD123" s="55">
        <f t="shared" si="399"/>
        <v>48776.405089997686</v>
      </c>
      <c r="BE123" s="55">
        <f t="shared" si="399"/>
        <v>55788.682614822232</v>
      </c>
      <c r="BF123" s="55">
        <f t="shared" si="399"/>
        <v>62029.920654604735</v>
      </c>
      <c r="BG123" s="55">
        <f t="shared" si="399"/>
        <v>70135.296451669827</v>
      </c>
      <c r="BH123" s="55">
        <f t="shared" si="399"/>
        <v>78380.233993869886</v>
      </c>
      <c r="BI123" s="55">
        <f t="shared" si="399"/>
        <v>84526.168952951935</v>
      </c>
      <c r="BJ123" s="55">
        <f t="shared" si="399"/>
        <v>95120.65779500574</v>
      </c>
      <c r="BK123" s="292">
        <f t="shared" si="399"/>
        <v>107337.14343148682</v>
      </c>
      <c r="BL123" s="55">
        <f t="shared" si="399"/>
        <v>112736.65746570702</v>
      </c>
      <c r="BM123" s="55">
        <f t="shared" si="399"/>
        <v>119103.2454239915</v>
      </c>
      <c r="BN123" s="55">
        <f t="shared" si="399"/>
        <v>129852.28881564172</v>
      </c>
      <c r="BO123" s="55">
        <f t="shared" si="399"/>
        <v>135407.80356060102</v>
      </c>
      <c r="BP123" s="55">
        <f t="shared" si="399"/>
        <v>141067.36540343234</v>
      </c>
      <c r="BQ123" s="55">
        <f t="shared" si="399"/>
        <v>152081.99541679828</v>
      </c>
      <c r="BR123" s="55">
        <f t="shared" si="399"/>
        <v>161191.06215809891</v>
      </c>
      <c r="BS123" s="55">
        <f t="shared" si="399"/>
        <v>173384.17533636914</v>
      </c>
      <c r="BT123" s="55">
        <f t="shared" si="399"/>
        <v>185058.46577489254</v>
      </c>
      <c r="BU123" s="55">
        <f t="shared" si="399"/>
        <v>194108.94845530466</v>
      </c>
      <c r="BV123" s="55">
        <f t="shared" si="399"/>
        <v>208882.97283796861</v>
      </c>
      <c r="BW123" s="292">
        <f t="shared" si="399"/>
        <v>225149.55864902074</v>
      </c>
      <c r="BX123" s="55">
        <f t="shared" si="399"/>
        <v>234272.43062442611</v>
      </c>
      <c r="BY123" s="55">
        <f t="shared" si="399"/>
        <v>245734.80716632307</v>
      </c>
      <c r="BZ123" s="55">
        <f t="shared" si="399"/>
        <v>259960.65950421582</v>
      </c>
      <c r="CA123" s="55">
        <f t="shared" ref="CA123:DF123" si="400">SUM(CA119:CA122)</f>
        <v>267415.72449677228</v>
      </c>
      <c r="CB123" s="55">
        <f t="shared" si="400"/>
        <v>278468.65183723648</v>
      </c>
      <c r="CC123" s="55">
        <f t="shared" si="400"/>
        <v>292592.57377301343</v>
      </c>
      <c r="CD123" s="55">
        <f t="shared" si="400"/>
        <v>304537.8420859687</v>
      </c>
      <c r="CE123" s="55">
        <f t="shared" si="400"/>
        <v>320877.37708197813</v>
      </c>
      <c r="CF123" s="55">
        <f t="shared" si="400"/>
        <v>335153.44240147667</v>
      </c>
      <c r="CG123" s="55">
        <f t="shared" si="400"/>
        <v>348314.00068072067</v>
      </c>
      <c r="CH123" s="55">
        <f t="shared" si="400"/>
        <v>367156.82548576209</v>
      </c>
      <c r="CI123" s="292">
        <f t="shared" si="400"/>
        <v>385982.28521594196</v>
      </c>
      <c r="CJ123" s="55">
        <f t="shared" si="400"/>
        <v>400320.52696347993</v>
      </c>
      <c r="CK123" s="55">
        <f t="shared" si="400"/>
        <v>414345.10380597168</v>
      </c>
      <c r="CL123" s="55">
        <f t="shared" si="400"/>
        <v>431410.89533282619</v>
      </c>
      <c r="CM123" s="55">
        <f t="shared" si="400"/>
        <v>443658.82518532558</v>
      </c>
      <c r="CN123" s="55">
        <f t="shared" si="400"/>
        <v>458017.08678785921</v>
      </c>
      <c r="CO123" s="55">
        <f t="shared" si="400"/>
        <v>474707.35613767896</v>
      </c>
      <c r="CP123" s="55">
        <f t="shared" si="400"/>
        <v>490262.29610078293</v>
      </c>
      <c r="CQ123" s="55">
        <f t="shared" si="400"/>
        <v>510439.72137155</v>
      </c>
      <c r="CR123" s="55">
        <f t="shared" si="400"/>
        <v>527179.09282275138</v>
      </c>
      <c r="CS123" s="55">
        <f t="shared" si="400"/>
        <v>544333.88267961377</v>
      </c>
      <c r="CT123" s="55">
        <f t="shared" si="400"/>
        <v>567631.79536579654</v>
      </c>
      <c r="CU123" s="292">
        <f t="shared" si="400"/>
        <v>590992.02428084589</v>
      </c>
      <c r="CV123" s="55">
        <f t="shared" si="400"/>
        <v>608870.28954806679</v>
      </c>
      <c r="CW123" s="55">
        <f t="shared" si="400"/>
        <v>626348.23996068013</v>
      </c>
      <c r="CX123" s="55">
        <f t="shared" si="400"/>
        <v>646406.89928455732</v>
      </c>
      <c r="CY123" s="55">
        <f t="shared" si="400"/>
        <v>662718.48990688997</v>
      </c>
      <c r="CZ123" s="55">
        <f t="shared" si="400"/>
        <v>680487.25280957937</v>
      </c>
      <c r="DA123" s="55">
        <f t="shared" si="400"/>
        <v>699851.62941295712</v>
      </c>
      <c r="DB123" s="55">
        <f t="shared" si="400"/>
        <v>719809.68611149199</v>
      </c>
      <c r="DC123" s="55">
        <f t="shared" si="400"/>
        <v>743254.23179823474</v>
      </c>
      <c r="DD123" s="55">
        <f t="shared" si="400"/>
        <v>764848.86709897115</v>
      </c>
      <c r="DE123" s="55">
        <f t="shared" si="400"/>
        <v>785858.42230575241</v>
      </c>
      <c r="DF123" s="55">
        <f t="shared" si="400"/>
        <v>812905.52704592643</v>
      </c>
      <c r="DG123" s="55">
        <f>SUM(DG119:DG122)</f>
        <v>842898.61257925362</v>
      </c>
    </row>
    <row r="124" spans="1:111" x14ac:dyDescent="0.3">
      <c r="A124" s="3"/>
      <c r="B124" s="4" t="s">
        <v>28</v>
      </c>
      <c r="C124" s="4"/>
      <c r="D124" s="56">
        <f t="shared" ref="D124:I124" si="401">D123</f>
        <v>0</v>
      </c>
      <c r="E124" s="56">
        <f t="shared" si="401"/>
        <v>0</v>
      </c>
      <c r="F124" s="56">
        <f t="shared" si="401"/>
        <v>0</v>
      </c>
      <c r="G124" s="56">
        <f t="shared" si="401"/>
        <v>0</v>
      </c>
      <c r="H124" s="56">
        <f t="shared" si="401"/>
        <v>0</v>
      </c>
      <c r="I124" s="56">
        <f t="shared" si="401"/>
        <v>0</v>
      </c>
      <c r="J124" s="56">
        <f>J123+J117</f>
        <v>0</v>
      </c>
      <c r="K124" s="56">
        <f t="shared" ref="K124:BV124" si="402">K123+K117</f>
        <v>0</v>
      </c>
      <c r="L124" s="56">
        <f t="shared" si="402"/>
        <v>0</v>
      </c>
      <c r="M124" s="56">
        <f t="shared" si="402"/>
        <v>0</v>
      </c>
      <c r="N124" s="56">
        <f t="shared" si="402"/>
        <v>0</v>
      </c>
      <c r="O124" s="56">
        <f t="shared" si="402"/>
        <v>0</v>
      </c>
      <c r="P124" s="56">
        <f t="shared" ref="P124:W124" si="403">P123+P117</f>
        <v>0</v>
      </c>
      <c r="Q124" s="56">
        <f t="shared" si="403"/>
        <v>0</v>
      </c>
      <c r="R124" s="56">
        <f t="shared" si="403"/>
        <v>0</v>
      </c>
      <c r="S124" s="56">
        <f t="shared" si="403"/>
        <v>0</v>
      </c>
      <c r="T124" s="56">
        <f t="shared" si="403"/>
        <v>0</v>
      </c>
      <c r="U124" s="56">
        <f t="shared" si="403"/>
        <v>0</v>
      </c>
      <c r="V124" s="56">
        <f t="shared" si="403"/>
        <v>7.0000000000000007E-2</v>
      </c>
      <c r="W124" s="56">
        <f t="shared" si="403"/>
        <v>1450.46</v>
      </c>
      <c r="X124" s="56">
        <f t="shared" ref="X124:AE124" si="404">X123+X117</f>
        <v>291.02999999999884</v>
      </c>
      <c r="Y124" s="56">
        <f t="shared" si="404"/>
        <v>531.88999999999942</v>
      </c>
      <c r="Z124" s="56">
        <f t="shared" si="404"/>
        <v>420.32999999999811</v>
      </c>
      <c r="AA124" s="56">
        <f t="shared" si="404"/>
        <v>2798.9700000000048</v>
      </c>
      <c r="AB124" s="56">
        <f t="shared" si="404"/>
        <v>4022.3800000000074</v>
      </c>
      <c r="AC124" s="56">
        <f t="shared" si="404"/>
        <v>1153.1400000000031</v>
      </c>
      <c r="AD124" s="56">
        <f t="shared" si="404"/>
        <v>550.57000000000335</v>
      </c>
      <c r="AE124" s="56">
        <f t="shared" si="404"/>
        <v>774.8500000000131</v>
      </c>
      <c r="AF124" s="56">
        <f t="shared" ref="AF124:AJ124" si="405">AF123+AF117</f>
        <v>1214.179999999993</v>
      </c>
      <c r="AG124" s="56">
        <f t="shared" si="405"/>
        <v>2190.4599999999991</v>
      </c>
      <c r="AH124" s="56">
        <f t="shared" si="405"/>
        <v>998.02999999999565</v>
      </c>
      <c r="AI124" s="56">
        <f t="shared" si="405"/>
        <v>1751.1699999999983</v>
      </c>
      <c r="AJ124" s="56">
        <f t="shared" si="405"/>
        <v>257.79000000000985</v>
      </c>
      <c r="AK124" s="288">
        <f t="shared" ref="AK124" si="406">AK123+AK117</f>
        <v>780.73000000000877</v>
      </c>
      <c r="AL124" s="56">
        <f t="shared" ref="AL124" si="407">AL123+AL117</f>
        <v>1371.9698295814578</v>
      </c>
      <c r="AM124" s="288">
        <f t="shared" si="402"/>
        <v>3357.2572916788176</v>
      </c>
      <c r="AN124" s="56">
        <f t="shared" si="402"/>
        <v>3253.3563187993259</v>
      </c>
      <c r="AO124" s="56">
        <f t="shared" si="402"/>
        <v>2833.371086533878</v>
      </c>
      <c r="AP124" s="56">
        <f t="shared" si="402"/>
        <v>4253.3990017216111</v>
      </c>
      <c r="AQ124" s="56">
        <f t="shared" si="402"/>
        <v>3446.3586346066568</v>
      </c>
      <c r="AR124" s="56">
        <f t="shared" si="402"/>
        <v>3562.6965866820228</v>
      </c>
      <c r="AS124" s="56">
        <f t="shared" si="402"/>
        <v>6368.44446549042</v>
      </c>
      <c r="AT124" s="56">
        <f t="shared" si="402"/>
        <v>8704.8433834396255</v>
      </c>
      <c r="AU124" s="56">
        <f t="shared" si="402"/>
        <v>13060.848069493119</v>
      </c>
      <c r="AV124" s="56">
        <f t="shared" si="402"/>
        <v>17461.689998968403</v>
      </c>
      <c r="AW124" s="56">
        <f t="shared" si="402"/>
        <v>20738.655209299104</v>
      </c>
      <c r="AX124" s="56">
        <f t="shared" si="402"/>
        <v>25346.141003242883</v>
      </c>
      <c r="AY124" s="288">
        <f t="shared" si="402"/>
        <v>33002.396670114729</v>
      </c>
      <c r="AZ124" s="56">
        <f t="shared" si="402"/>
        <v>35700.489363904999</v>
      </c>
      <c r="BA124" s="56">
        <f t="shared" si="402"/>
        <v>38523.153263635482</v>
      </c>
      <c r="BB124" s="56">
        <f t="shared" si="402"/>
        <v>44244.203496219809</v>
      </c>
      <c r="BC124" s="56">
        <f t="shared" si="402"/>
        <v>46521.906314792301</v>
      </c>
      <c r="BD124" s="56">
        <f t="shared" si="402"/>
        <v>49017.235089997688</v>
      </c>
      <c r="BE124" s="56">
        <f t="shared" si="402"/>
        <v>56029.512614822233</v>
      </c>
      <c r="BF124" s="56">
        <f t="shared" si="402"/>
        <v>62270.750654604737</v>
      </c>
      <c r="BG124" s="56">
        <f t="shared" si="402"/>
        <v>70376.126451669828</v>
      </c>
      <c r="BH124" s="56">
        <f t="shared" si="402"/>
        <v>78621.063993869888</v>
      </c>
      <c r="BI124" s="56">
        <f t="shared" si="402"/>
        <v>84766.998952951937</v>
      </c>
      <c r="BJ124" s="56">
        <f t="shared" si="402"/>
        <v>95361.487795005742</v>
      </c>
      <c r="BK124" s="288">
        <f t="shared" si="402"/>
        <v>107577.97343148683</v>
      </c>
      <c r="BL124" s="56">
        <f t="shared" si="402"/>
        <v>112977.48746570702</v>
      </c>
      <c r="BM124" s="56">
        <f t="shared" si="402"/>
        <v>119344.0754239915</v>
      </c>
      <c r="BN124" s="56">
        <f t="shared" si="402"/>
        <v>130093.11881564172</v>
      </c>
      <c r="BO124" s="56">
        <f t="shared" si="402"/>
        <v>135648.63356060101</v>
      </c>
      <c r="BP124" s="56">
        <f t="shared" si="402"/>
        <v>141308.19540343233</v>
      </c>
      <c r="BQ124" s="56">
        <f t="shared" si="402"/>
        <v>152322.82541679827</v>
      </c>
      <c r="BR124" s="56">
        <f t="shared" si="402"/>
        <v>161431.8921580989</v>
      </c>
      <c r="BS124" s="56">
        <f t="shared" si="402"/>
        <v>173625.00533636913</v>
      </c>
      <c r="BT124" s="56">
        <f t="shared" si="402"/>
        <v>185299.29577489253</v>
      </c>
      <c r="BU124" s="56">
        <f t="shared" si="402"/>
        <v>194349.77845530465</v>
      </c>
      <c r="BV124" s="56">
        <f t="shared" si="402"/>
        <v>209123.8028379686</v>
      </c>
      <c r="BW124" s="288">
        <f t="shared" ref="BW124:DG124" si="408">BW123+BW117</f>
        <v>225390.38864902072</v>
      </c>
      <c r="BX124" s="56">
        <f t="shared" si="408"/>
        <v>234513.2606244261</v>
      </c>
      <c r="BY124" s="56">
        <f t="shared" si="408"/>
        <v>245975.63716632305</v>
      </c>
      <c r="BZ124" s="56">
        <f t="shared" si="408"/>
        <v>260201.4895042158</v>
      </c>
      <c r="CA124" s="56">
        <f t="shared" si="408"/>
        <v>267656.5544967723</v>
      </c>
      <c r="CB124" s="56">
        <f t="shared" si="408"/>
        <v>278709.4818372365</v>
      </c>
      <c r="CC124" s="56">
        <f t="shared" si="408"/>
        <v>292833.40377301344</v>
      </c>
      <c r="CD124" s="56">
        <f t="shared" si="408"/>
        <v>304778.67208596872</v>
      </c>
      <c r="CE124" s="56">
        <f t="shared" si="408"/>
        <v>321118.20708197815</v>
      </c>
      <c r="CF124" s="56">
        <f t="shared" si="408"/>
        <v>335394.27240147669</v>
      </c>
      <c r="CG124" s="56">
        <f t="shared" si="408"/>
        <v>348554.83068072068</v>
      </c>
      <c r="CH124" s="56">
        <f t="shared" si="408"/>
        <v>367397.65548576211</v>
      </c>
      <c r="CI124" s="288">
        <f t="shared" si="408"/>
        <v>386223.11521594197</v>
      </c>
      <c r="CJ124" s="56">
        <f t="shared" si="408"/>
        <v>400561.35696347995</v>
      </c>
      <c r="CK124" s="56">
        <f t="shared" si="408"/>
        <v>414585.9338059717</v>
      </c>
      <c r="CL124" s="56">
        <f t="shared" si="408"/>
        <v>431651.7253328262</v>
      </c>
      <c r="CM124" s="56">
        <f t="shared" si="408"/>
        <v>443899.6551853256</v>
      </c>
      <c r="CN124" s="56">
        <f t="shared" si="408"/>
        <v>458257.91678785923</v>
      </c>
      <c r="CO124" s="56">
        <f t="shared" si="408"/>
        <v>474948.18613767897</v>
      </c>
      <c r="CP124" s="56">
        <f t="shared" si="408"/>
        <v>490503.12610078295</v>
      </c>
      <c r="CQ124" s="56">
        <f t="shared" si="408"/>
        <v>510680.55137155001</v>
      </c>
      <c r="CR124" s="56">
        <f t="shared" si="408"/>
        <v>527419.92282275134</v>
      </c>
      <c r="CS124" s="56">
        <f t="shared" si="408"/>
        <v>544574.71267961373</v>
      </c>
      <c r="CT124" s="56">
        <f t="shared" si="408"/>
        <v>567872.6253657965</v>
      </c>
      <c r="CU124" s="288">
        <f t="shared" si="408"/>
        <v>591232.85428084584</v>
      </c>
      <c r="CV124" s="56">
        <f t="shared" si="408"/>
        <v>609111.11954806675</v>
      </c>
      <c r="CW124" s="56">
        <f t="shared" si="408"/>
        <v>626589.06996068009</v>
      </c>
      <c r="CX124" s="56">
        <f t="shared" si="408"/>
        <v>646647.72928455728</v>
      </c>
      <c r="CY124" s="56">
        <f t="shared" si="408"/>
        <v>662959.31990688993</v>
      </c>
      <c r="CZ124" s="56">
        <f t="shared" si="408"/>
        <v>680728.08280957933</v>
      </c>
      <c r="DA124" s="56">
        <f t="shared" si="408"/>
        <v>700092.45941295708</v>
      </c>
      <c r="DB124" s="56">
        <f t="shared" si="408"/>
        <v>720050.51611149195</v>
      </c>
      <c r="DC124" s="56">
        <f t="shared" si="408"/>
        <v>743495.0617982347</v>
      </c>
      <c r="DD124" s="56">
        <f t="shared" si="408"/>
        <v>765089.69709897111</v>
      </c>
      <c r="DE124" s="56">
        <f t="shared" si="408"/>
        <v>786099.25230575236</v>
      </c>
      <c r="DF124" s="56">
        <f t="shared" si="408"/>
        <v>813146.35704592639</v>
      </c>
      <c r="DG124" s="56">
        <f t="shared" si="408"/>
        <v>843139.44257925358</v>
      </c>
    </row>
    <row r="125" spans="1:111" s="177" customFormat="1" x14ac:dyDescent="0.3">
      <c r="B125" s="321"/>
      <c r="C125" s="321" t="s">
        <v>274</v>
      </c>
      <c r="D125" s="322"/>
      <c r="E125" s="322"/>
      <c r="F125" s="322"/>
      <c r="G125" s="322"/>
      <c r="H125" s="322"/>
      <c r="I125" s="322"/>
      <c r="J125" s="322"/>
      <c r="K125" s="322"/>
      <c r="L125" s="322"/>
      <c r="M125" s="322"/>
      <c r="N125" s="322"/>
      <c r="O125" s="322"/>
      <c r="P125" s="322"/>
      <c r="Q125" s="322"/>
      <c r="R125" s="322"/>
      <c r="S125" s="322"/>
      <c r="T125" s="322"/>
      <c r="U125" s="322"/>
      <c r="V125" s="322"/>
      <c r="W125" s="322">
        <f>+W120-V120</f>
        <v>-2660.8500000000004</v>
      </c>
      <c r="X125" s="322">
        <f t="shared" ref="X125:AK125" si="409">+X120-W120</f>
        <v>-9527.1999999999989</v>
      </c>
      <c r="Y125" s="322">
        <f t="shared" si="409"/>
        <v>-7380.43</v>
      </c>
      <c r="Z125" s="322">
        <f t="shared" si="409"/>
        <v>-7852.7000000000007</v>
      </c>
      <c r="AA125" s="322">
        <f t="shared" si="409"/>
        <v>-7459.0599999999977</v>
      </c>
      <c r="AB125" s="322">
        <f t="shared" si="409"/>
        <v>-3938.5400000000009</v>
      </c>
      <c r="AC125" s="322">
        <f t="shared" si="409"/>
        <v>-8462.4800000000032</v>
      </c>
      <c r="AD125" s="322">
        <f t="shared" si="409"/>
        <v>-9324.4599999999991</v>
      </c>
      <c r="AE125" s="322">
        <f t="shared" si="409"/>
        <v>-9893.7799999999916</v>
      </c>
      <c r="AF125" s="322">
        <f t="shared" si="409"/>
        <v>-9422.3400000000111</v>
      </c>
      <c r="AG125" s="322">
        <f t="shared" si="409"/>
        <v>-9543.6499999999942</v>
      </c>
      <c r="AH125" s="322">
        <f t="shared" si="409"/>
        <v>-10258.270000000004</v>
      </c>
      <c r="AI125" s="322">
        <f t="shared" si="409"/>
        <v>-7886.1300000000047</v>
      </c>
      <c r="AJ125" s="322">
        <f t="shared" si="409"/>
        <v>-6814.8199999999924</v>
      </c>
      <c r="AK125" s="323">
        <f t="shared" si="409"/>
        <v>-7269.5500000000029</v>
      </c>
      <c r="AL125" s="322">
        <v>-6500</v>
      </c>
      <c r="AM125" s="323">
        <f t="shared" ref="AM125:CU125" si="410">+AL125</f>
        <v>-6500</v>
      </c>
      <c r="AN125" s="322">
        <f t="shared" si="410"/>
        <v>-6500</v>
      </c>
      <c r="AO125" s="322">
        <f t="shared" si="410"/>
        <v>-6500</v>
      </c>
      <c r="AP125" s="322">
        <f t="shared" si="410"/>
        <v>-6500</v>
      </c>
      <c r="AQ125" s="322">
        <f t="shared" si="410"/>
        <v>-6500</v>
      </c>
      <c r="AR125" s="322">
        <f t="shared" si="410"/>
        <v>-6500</v>
      </c>
      <c r="AS125" s="322">
        <f t="shared" si="410"/>
        <v>-6500</v>
      </c>
      <c r="AT125" s="322">
        <f t="shared" si="410"/>
        <v>-6500</v>
      </c>
      <c r="AU125" s="322">
        <f t="shared" si="410"/>
        <v>-6500</v>
      </c>
      <c r="AV125" s="322">
        <f t="shared" si="410"/>
        <v>-6500</v>
      </c>
      <c r="AW125" s="322">
        <f t="shared" si="410"/>
        <v>-6500</v>
      </c>
      <c r="AX125" s="322">
        <f t="shared" si="410"/>
        <v>-6500</v>
      </c>
      <c r="AY125" s="323">
        <f t="shared" si="410"/>
        <v>-6500</v>
      </c>
      <c r="AZ125" s="322">
        <f t="shared" si="410"/>
        <v>-6500</v>
      </c>
      <c r="BA125" s="322">
        <f t="shared" si="410"/>
        <v>-6500</v>
      </c>
      <c r="BB125" s="322">
        <f t="shared" si="410"/>
        <v>-6500</v>
      </c>
      <c r="BC125" s="322">
        <f t="shared" si="410"/>
        <v>-6500</v>
      </c>
      <c r="BD125" s="322">
        <f t="shared" si="410"/>
        <v>-6500</v>
      </c>
      <c r="BE125" s="322">
        <f t="shared" si="410"/>
        <v>-6500</v>
      </c>
      <c r="BF125" s="322">
        <f t="shared" si="410"/>
        <v>-6500</v>
      </c>
      <c r="BG125" s="322">
        <f t="shared" si="410"/>
        <v>-6500</v>
      </c>
      <c r="BH125" s="322">
        <f t="shared" si="410"/>
        <v>-6500</v>
      </c>
      <c r="BI125" s="322">
        <f t="shared" si="410"/>
        <v>-6500</v>
      </c>
      <c r="BJ125" s="322">
        <f t="shared" si="410"/>
        <v>-6500</v>
      </c>
      <c r="BK125" s="323">
        <f t="shared" si="410"/>
        <v>-6500</v>
      </c>
      <c r="BL125" s="322">
        <f t="shared" si="410"/>
        <v>-6500</v>
      </c>
      <c r="BM125" s="322">
        <f t="shared" si="410"/>
        <v>-6500</v>
      </c>
      <c r="BN125" s="322">
        <f t="shared" si="410"/>
        <v>-6500</v>
      </c>
      <c r="BO125" s="322">
        <f t="shared" si="410"/>
        <v>-6500</v>
      </c>
      <c r="BP125" s="322">
        <f t="shared" si="410"/>
        <v>-6500</v>
      </c>
      <c r="BQ125" s="322">
        <f t="shared" si="410"/>
        <v>-6500</v>
      </c>
      <c r="BR125" s="322">
        <f t="shared" si="410"/>
        <v>-6500</v>
      </c>
      <c r="BS125" s="322">
        <f t="shared" si="410"/>
        <v>-6500</v>
      </c>
      <c r="BT125" s="322">
        <f t="shared" si="410"/>
        <v>-6500</v>
      </c>
      <c r="BU125" s="322">
        <f t="shared" si="410"/>
        <v>-6500</v>
      </c>
      <c r="BV125" s="322">
        <f t="shared" si="410"/>
        <v>-6500</v>
      </c>
      <c r="BW125" s="323">
        <f t="shared" si="410"/>
        <v>-6500</v>
      </c>
      <c r="BX125" s="322">
        <f t="shared" si="410"/>
        <v>-6500</v>
      </c>
      <c r="BY125" s="322">
        <f t="shared" si="410"/>
        <v>-6500</v>
      </c>
      <c r="BZ125" s="322">
        <f t="shared" si="410"/>
        <v>-6500</v>
      </c>
      <c r="CA125" s="322">
        <f t="shared" si="410"/>
        <v>-6500</v>
      </c>
      <c r="CB125" s="322">
        <f t="shared" si="410"/>
        <v>-6500</v>
      </c>
      <c r="CC125" s="322">
        <f t="shared" si="410"/>
        <v>-6500</v>
      </c>
      <c r="CD125" s="322">
        <f t="shared" si="410"/>
        <v>-6500</v>
      </c>
      <c r="CE125" s="322">
        <f t="shared" si="410"/>
        <v>-6500</v>
      </c>
      <c r="CF125" s="322">
        <f t="shared" si="410"/>
        <v>-6500</v>
      </c>
      <c r="CG125" s="322">
        <f t="shared" si="410"/>
        <v>-6500</v>
      </c>
      <c r="CH125" s="322">
        <f t="shared" si="410"/>
        <v>-6500</v>
      </c>
      <c r="CI125" s="323">
        <f t="shared" si="410"/>
        <v>-6500</v>
      </c>
      <c r="CJ125" s="322">
        <f t="shared" si="410"/>
        <v>-6500</v>
      </c>
      <c r="CK125" s="322">
        <f t="shared" si="410"/>
        <v>-6500</v>
      </c>
      <c r="CL125" s="322">
        <f t="shared" si="410"/>
        <v>-6500</v>
      </c>
      <c r="CM125" s="322">
        <f t="shared" si="410"/>
        <v>-6500</v>
      </c>
      <c r="CN125" s="322">
        <f t="shared" si="410"/>
        <v>-6500</v>
      </c>
      <c r="CO125" s="322">
        <f t="shared" si="410"/>
        <v>-6500</v>
      </c>
      <c r="CP125" s="322">
        <f t="shared" si="410"/>
        <v>-6500</v>
      </c>
      <c r="CQ125" s="322">
        <f t="shared" si="410"/>
        <v>-6500</v>
      </c>
      <c r="CR125" s="322">
        <f t="shared" si="410"/>
        <v>-6500</v>
      </c>
      <c r="CS125" s="322">
        <f t="shared" si="410"/>
        <v>-6500</v>
      </c>
      <c r="CT125" s="322">
        <f t="shared" si="410"/>
        <v>-6500</v>
      </c>
      <c r="CU125" s="323">
        <f t="shared" si="410"/>
        <v>-6500</v>
      </c>
      <c r="CV125" s="322">
        <f t="shared" ref="CV125:DG125" si="411">+CU125</f>
        <v>-6500</v>
      </c>
      <c r="CW125" s="322">
        <f t="shared" si="411"/>
        <v>-6500</v>
      </c>
      <c r="CX125" s="322">
        <f t="shared" si="411"/>
        <v>-6500</v>
      </c>
      <c r="CY125" s="322">
        <f t="shared" si="411"/>
        <v>-6500</v>
      </c>
      <c r="CZ125" s="322">
        <f t="shared" si="411"/>
        <v>-6500</v>
      </c>
      <c r="DA125" s="322">
        <f t="shared" si="411"/>
        <v>-6500</v>
      </c>
      <c r="DB125" s="322">
        <f t="shared" si="411"/>
        <v>-6500</v>
      </c>
      <c r="DC125" s="322">
        <f t="shared" si="411"/>
        <v>-6500</v>
      </c>
      <c r="DD125" s="322">
        <f t="shared" si="411"/>
        <v>-6500</v>
      </c>
      <c r="DE125" s="322">
        <f t="shared" si="411"/>
        <v>-6500</v>
      </c>
      <c r="DF125" s="322">
        <f t="shared" si="411"/>
        <v>-6500</v>
      </c>
      <c r="DG125" s="322">
        <f t="shared" si="411"/>
        <v>-6500</v>
      </c>
    </row>
    <row r="126" spans="1:111" s="3" customFormat="1" x14ac:dyDescent="0.3">
      <c r="A126"/>
      <c r="B126" s="1"/>
      <c r="C126" s="59" t="s">
        <v>37</v>
      </c>
      <c r="D126" s="58">
        <f>D124-D113</f>
        <v>0</v>
      </c>
      <c r="E126" s="58">
        <f t="shared" ref="E126:M126" si="412">E124-E113</f>
        <v>0</v>
      </c>
      <c r="F126" s="58">
        <f t="shared" si="412"/>
        <v>0</v>
      </c>
      <c r="G126" s="58">
        <f t="shared" si="412"/>
        <v>0</v>
      </c>
      <c r="H126" s="58">
        <f t="shared" si="412"/>
        <v>0</v>
      </c>
      <c r="I126" s="58">
        <f t="shared" si="412"/>
        <v>0</v>
      </c>
      <c r="J126" s="58">
        <f t="shared" si="412"/>
        <v>0</v>
      </c>
      <c r="K126" s="58">
        <f t="shared" si="412"/>
        <v>0</v>
      </c>
      <c r="L126" s="58">
        <f t="shared" si="412"/>
        <v>0</v>
      </c>
      <c r="M126" s="58">
        <f t="shared" si="412"/>
        <v>0</v>
      </c>
      <c r="N126" s="58">
        <f t="shared" ref="N126:AS126" si="413">N124-N113</f>
        <v>0</v>
      </c>
      <c r="O126" s="58">
        <f t="shared" si="413"/>
        <v>0</v>
      </c>
      <c r="P126" s="58">
        <f t="shared" si="413"/>
        <v>0</v>
      </c>
      <c r="Q126" s="58">
        <f t="shared" si="413"/>
        <v>0</v>
      </c>
      <c r="R126" s="58">
        <f t="shared" si="413"/>
        <v>0</v>
      </c>
      <c r="S126" s="58">
        <f t="shared" si="413"/>
        <v>0</v>
      </c>
      <c r="T126" s="58">
        <f t="shared" si="413"/>
        <v>0</v>
      </c>
      <c r="U126" s="58">
        <f t="shared" si="413"/>
        <v>0</v>
      </c>
      <c r="V126" s="58">
        <f t="shared" si="413"/>
        <v>6.8278716014447127E-15</v>
      </c>
      <c r="W126" s="58">
        <f t="shared" si="413"/>
        <v>0</v>
      </c>
      <c r="X126" s="58">
        <f t="shared" ref="X126:AE126" si="414">X124-X113</f>
        <v>-1.1368683772161603E-12</v>
      </c>
      <c r="Y126" s="58">
        <f t="shared" si="414"/>
        <v>0</v>
      </c>
      <c r="Z126" s="58">
        <f t="shared" si="414"/>
        <v>-1.8758328224066645E-12</v>
      </c>
      <c r="AA126" s="58">
        <f t="shared" si="414"/>
        <v>5.0022208597511053E-12</v>
      </c>
      <c r="AB126" s="58">
        <f t="shared" si="414"/>
        <v>7.2759576141834259E-12</v>
      </c>
      <c r="AC126" s="58">
        <f t="shared" si="414"/>
        <v>2.9558577807620168E-12</v>
      </c>
      <c r="AD126" s="58">
        <f t="shared" si="414"/>
        <v>3.2969182939268649E-12</v>
      </c>
      <c r="AE126" s="58">
        <f t="shared" si="414"/>
        <v>1.3073986337985843E-11</v>
      </c>
      <c r="AF126" s="58">
        <f t="shared" ref="AF126:AJ126" si="415">AF124-AF113</f>
        <v>-7.0485839387401938E-12</v>
      </c>
      <c r="AG126" s="58">
        <f t="shared" si="415"/>
        <v>0</v>
      </c>
      <c r="AH126" s="58">
        <f t="shared" si="415"/>
        <v>-4.3200998334214091E-12</v>
      </c>
      <c r="AI126" s="58">
        <f t="shared" si="415"/>
        <v>-1.8189894035458565E-12</v>
      </c>
      <c r="AJ126" s="58">
        <f t="shared" si="415"/>
        <v>9.8907548817805946E-12</v>
      </c>
      <c r="AK126" s="289">
        <f t="shared" ref="AK126" si="416">AK124-AK113</f>
        <v>8.7538865045644343E-12</v>
      </c>
      <c r="AL126" s="58">
        <f t="shared" ref="AL126" si="417">AL124-AL113</f>
        <v>6.8212102632969618E-12</v>
      </c>
      <c r="AM126" s="289">
        <f t="shared" si="413"/>
        <v>8.6401996668428183E-12</v>
      </c>
      <c r="AN126" s="58">
        <f t="shared" si="413"/>
        <v>2.1373125491663814E-11</v>
      </c>
      <c r="AO126" s="58">
        <f t="shared" si="413"/>
        <v>2.1373125491663814E-11</v>
      </c>
      <c r="AP126" s="58">
        <f t="shared" si="413"/>
        <v>2.3646862246096134E-11</v>
      </c>
      <c r="AQ126" s="58">
        <f t="shared" si="413"/>
        <v>2.5465851649641991E-11</v>
      </c>
      <c r="AR126" s="58">
        <f t="shared" si="413"/>
        <v>2.3646862246096134E-11</v>
      </c>
      <c r="AS126" s="58">
        <f t="shared" si="413"/>
        <v>1.6370904631912708E-11</v>
      </c>
      <c r="AT126" s="58">
        <f t="shared" ref="AT126:BY126" si="418">AT124-AT113</f>
        <v>0</v>
      </c>
      <c r="AU126" s="58">
        <f t="shared" si="418"/>
        <v>2.0008883439004421E-11</v>
      </c>
      <c r="AV126" s="58">
        <f t="shared" si="418"/>
        <v>0</v>
      </c>
      <c r="AW126" s="58">
        <f t="shared" si="418"/>
        <v>0</v>
      </c>
      <c r="AX126" s="58">
        <f t="shared" si="418"/>
        <v>0</v>
      </c>
      <c r="AY126" s="289">
        <f t="shared" si="418"/>
        <v>0</v>
      </c>
      <c r="AZ126" s="58">
        <f t="shared" si="418"/>
        <v>0</v>
      </c>
      <c r="BA126" s="58">
        <f t="shared" si="418"/>
        <v>0</v>
      </c>
      <c r="BB126" s="58">
        <f t="shared" si="418"/>
        <v>0</v>
      </c>
      <c r="BC126" s="58">
        <f t="shared" si="418"/>
        <v>0</v>
      </c>
      <c r="BD126" s="58">
        <f t="shared" si="418"/>
        <v>0</v>
      </c>
      <c r="BE126" s="58">
        <f t="shared" si="418"/>
        <v>0</v>
      </c>
      <c r="BF126" s="58">
        <f t="shared" si="418"/>
        <v>0</v>
      </c>
      <c r="BG126" s="58">
        <f t="shared" si="418"/>
        <v>0</v>
      </c>
      <c r="BH126" s="58">
        <f t="shared" si="418"/>
        <v>0</v>
      </c>
      <c r="BI126" s="58">
        <f t="shared" si="418"/>
        <v>0</v>
      </c>
      <c r="BJ126" s="58">
        <f t="shared" si="418"/>
        <v>0</v>
      </c>
      <c r="BK126" s="289">
        <f t="shared" si="418"/>
        <v>0</v>
      </c>
      <c r="BL126" s="58">
        <f t="shared" si="418"/>
        <v>0</v>
      </c>
      <c r="BM126" s="58">
        <f t="shared" si="418"/>
        <v>0</v>
      </c>
      <c r="BN126" s="58">
        <f t="shared" si="418"/>
        <v>0</v>
      </c>
      <c r="BO126" s="58">
        <f t="shared" si="418"/>
        <v>0</v>
      </c>
      <c r="BP126" s="58">
        <f t="shared" si="418"/>
        <v>0</v>
      </c>
      <c r="BQ126" s="58">
        <f t="shared" si="418"/>
        <v>0</v>
      </c>
      <c r="BR126" s="58">
        <f t="shared" si="418"/>
        <v>0</v>
      </c>
      <c r="BS126" s="58">
        <f t="shared" si="418"/>
        <v>0</v>
      </c>
      <c r="BT126" s="58">
        <f t="shared" si="418"/>
        <v>0</v>
      </c>
      <c r="BU126" s="58">
        <f t="shared" si="418"/>
        <v>0</v>
      </c>
      <c r="BV126" s="58">
        <f t="shared" si="418"/>
        <v>0</v>
      </c>
      <c r="BW126" s="289">
        <f t="shared" si="418"/>
        <v>0</v>
      </c>
      <c r="BX126" s="58">
        <f t="shared" si="418"/>
        <v>0</v>
      </c>
      <c r="BY126" s="58">
        <f t="shared" si="418"/>
        <v>0</v>
      </c>
      <c r="BZ126" s="58">
        <f t="shared" ref="BZ126:DE126" si="419">BZ124-BZ113</f>
        <v>0</v>
      </c>
      <c r="CA126" s="58">
        <f t="shared" si="419"/>
        <v>0</v>
      </c>
      <c r="CB126" s="58">
        <f t="shared" si="419"/>
        <v>0</v>
      </c>
      <c r="CC126" s="58">
        <f t="shared" si="419"/>
        <v>0</v>
      </c>
      <c r="CD126" s="58">
        <f t="shared" si="419"/>
        <v>0</v>
      </c>
      <c r="CE126" s="58">
        <f t="shared" si="419"/>
        <v>0</v>
      </c>
      <c r="CF126" s="58">
        <f t="shared" si="419"/>
        <v>0</v>
      </c>
      <c r="CG126" s="58">
        <f t="shared" si="419"/>
        <v>0</v>
      </c>
      <c r="CH126" s="58">
        <f t="shared" si="419"/>
        <v>0</v>
      </c>
      <c r="CI126" s="289">
        <f t="shared" si="419"/>
        <v>0</v>
      </c>
      <c r="CJ126" s="58">
        <f t="shared" si="419"/>
        <v>0</v>
      </c>
      <c r="CK126" s="58">
        <f t="shared" si="419"/>
        <v>0</v>
      </c>
      <c r="CL126" s="58">
        <f t="shared" si="419"/>
        <v>0</v>
      </c>
      <c r="CM126" s="58">
        <f t="shared" si="419"/>
        <v>0</v>
      </c>
      <c r="CN126" s="58">
        <f t="shared" si="419"/>
        <v>0</v>
      </c>
      <c r="CO126" s="58">
        <f t="shared" si="419"/>
        <v>0</v>
      </c>
      <c r="CP126" s="58">
        <f t="shared" si="419"/>
        <v>0</v>
      </c>
      <c r="CQ126" s="58">
        <f t="shared" si="419"/>
        <v>0</v>
      </c>
      <c r="CR126" s="58">
        <f t="shared" si="419"/>
        <v>0</v>
      </c>
      <c r="CS126" s="58">
        <f t="shared" si="419"/>
        <v>0</v>
      </c>
      <c r="CT126" s="58">
        <f t="shared" si="419"/>
        <v>0</v>
      </c>
      <c r="CU126" s="289">
        <f t="shared" si="419"/>
        <v>0</v>
      </c>
      <c r="CV126" s="58">
        <f t="shared" si="419"/>
        <v>0</v>
      </c>
      <c r="CW126" s="58">
        <f t="shared" si="419"/>
        <v>0</v>
      </c>
      <c r="CX126" s="58">
        <f t="shared" si="419"/>
        <v>0</v>
      </c>
      <c r="CY126" s="58">
        <f t="shared" si="419"/>
        <v>0</v>
      </c>
      <c r="CZ126" s="58">
        <f t="shared" si="419"/>
        <v>0</v>
      </c>
      <c r="DA126" s="58">
        <f t="shared" si="419"/>
        <v>0</v>
      </c>
      <c r="DB126" s="58">
        <f t="shared" si="419"/>
        <v>0</v>
      </c>
      <c r="DC126" s="58">
        <f t="shared" si="419"/>
        <v>0</v>
      </c>
      <c r="DD126" s="58">
        <f t="shared" si="419"/>
        <v>0</v>
      </c>
      <c r="DE126" s="58">
        <f t="shared" si="419"/>
        <v>0</v>
      </c>
      <c r="DF126" s="58">
        <f>DF124-DF113</f>
        <v>0</v>
      </c>
      <c r="DG126" s="58">
        <f>DG124-DG113</f>
        <v>0</v>
      </c>
    </row>
    <row r="127" spans="1:111" x14ac:dyDescent="0.3">
      <c r="P127" s="166"/>
      <c r="Q127" s="166"/>
      <c r="R127" s="166"/>
      <c r="AK127" s="286"/>
    </row>
    <row r="128" spans="1:111" x14ac:dyDescent="0.3">
      <c r="A128" s="30"/>
      <c r="B128" s="30"/>
      <c r="C128" s="30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  <c r="AA128" s="30"/>
      <c r="AB128" s="30"/>
      <c r="AC128" s="30"/>
      <c r="AD128" s="30"/>
      <c r="AE128" s="30"/>
      <c r="AF128" s="30"/>
      <c r="AG128" s="30"/>
      <c r="AH128" s="30"/>
      <c r="AI128" s="30"/>
      <c r="AJ128" s="30"/>
      <c r="AK128" s="295"/>
      <c r="AL128" s="30"/>
      <c r="AM128" s="295"/>
      <c r="AN128" s="30"/>
      <c r="AO128" s="30"/>
      <c r="AP128" s="30"/>
      <c r="AQ128" s="30"/>
      <c r="AR128" s="30"/>
      <c r="AS128" s="30"/>
      <c r="AT128" s="30"/>
      <c r="AU128" s="30"/>
      <c r="AV128" s="30"/>
      <c r="AW128" s="30"/>
      <c r="AX128" s="30"/>
      <c r="AY128" s="295"/>
      <c r="AZ128" s="30"/>
      <c r="BA128" s="30"/>
      <c r="BB128" s="30"/>
      <c r="BC128" s="30"/>
      <c r="BD128" s="30"/>
      <c r="BE128" s="30"/>
      <c r="BF128" s="30"/>
      <c r="BG128" s="30"/>
      <c r="BH128" s="30"/>
      <c r="BI128" s="30"/>
      <c r="BJ128" s="30"/>
      <c r="BK128" s="295"/>
      <c r="BL128" s="30"/>
      <c r="BM128" s="30"/>
      <c r="BN128" s="30"/>
      <c r="BO128" s="30"/>
      <c r="BP128" s="30"/>
      <c r="BQ128" s="30"/>
      <c r="BR128" s="30"/>
      <c r="BS128" s="30"/>
      <c r="BT128" s="30"/>
      <c r="BU128" s="30"/>
      <c r="BV128" s="30"/>
      <c r="BW128" s="295"/>
      <c r="BX128" s="30"/>
      <c r="BY128" s="30"/>
      <c r="BZ128" s="30"/>
      <c r="CA128" s="30"/>
      <c r="CB128" s="30"/>
      <c r="CC128" s="30"/>
      <c r="CD128" s="30"/>
      <c r="CE128" s="30"/>
      <c r="CF128" s="30"/>
      <c r="CG128" s="30"/>
      <c r="CH128" s="30"/>
      <c r="CI128" s="295"/>
      <c r="CJ128" s="30"/>
      <c r="CK128" s="30"/>
      <c r="CL128" s="30"/>
      <c r="CM128" s="30"/>
      <c r="CN128" s="30"/>
      <c r="CO128" s="30"/>
      <c r="CP128" s="30"/>
      <c r="CQ128" s="30"/>
      <c r="CR128" s="30"/>
      <c r="CS128" s="30"/>
      <c r="CT128" s="30"/>
      <c r="CU128" s="295"/>
      <c r="CV128" s="30"/>
      <c r="CW128" s="30"/>
      <c r="CX128" s="30"/>
      <c r="CY128" s="30"/>
      <c r="CZ128" s="30"/>
      <c r="DA128" s="30"/>
      <c r="DB128" s="30"/>
      <c r="DC128" s="30"/>
      <c r="DD128" s="30"/>
      <c r="DE128" s="30"/>
      <c r="DF128" s="30"/>
      <c r="DG128" s="30"/>
    </row>
    <row r="129" spans="1:111" x14ac:dyDescent="0.3">
      <c r="AK129" s="286"/>
    </row>
    <row r="130" spans="1:111" x14ac:dyDescent="0.3">
      <c r="B130" s="1" t="s">
        <v>12</v>
      </c>
      <c r="D130" s="116">
        <f t="shared" ref="D130:AI130" si="420">D87</f>
        <v>0</v>
      </c>
      <c r="E130" s="116">
        <f t="shared" si="420"/>
        <v>0</v>
      </c>
      <c r="F130" s="116">
        <f t="shared" si="420"/>
        <v>0</v>
      </c>
      <c r="G130" s="116">
        <f t="shared" si="420"/>
        <v>0</v>
      </c>
      <c r="H130" s="116">
        <f t="shared" si="420"/>
        <v>0</v>
      </c>
      <c r="I130" s="116">
        <f t="shared" si="420"/>
        <v>0</v>
      </c>
      <c r="J130" s="116">
        <f t="shared" si="420"/>
        <v>0</v>
      </c>
      <c r="K130" s="116">
        <f t="shared" si="420"/>
        <v>0</v>
      </c>
      <c r="L130" s="116">
        <f t="shared" si="420"/>
        <v>0</v>
      </c>
      <c r="M130" s="116">
        <f t="shared" si="420"/>
        <v>0</v>
      </c>
      <c r="N130" s="116">
        <f t="shared" si="420"/>
        <v>0</v>
      </c>
      <c r="O130" s="116">
        <f t="shared" si="420"/>
        <v>0</v>
      </c>
      <c r="P130" s="116">
        <f t="shared" si="420"/>
        <v>0</v>
      </c>
      <c r="Q130" s="116">
        <f t="shared" si="420"/>
        <v>0</v>
      </c>
      <c r="R130" s="116">
        <f t="shared" si="420"/>
        <v>0</v>
      </c>
      <c r="S130" s="116">
        <f t="shared" si="420"/>
        <v>0</v>
      </c>
      <c r="T130" s="116">
        <f t="shared" si="420"/>
        <v>0</v>
      </c>
      <c r="U130" s="116">
        <f t="shared" si="420"/>
        <v>0</v>
      </c>
      <c r="V130" s="116">
        <f t="shared" si="420"/>
        <v>0</v>
      </c>
      <c r="W130" s="116">
        <f t="shared" si="420"/>
        <v>1942.4</v>
      </c>
      <c r="X130" s="116">
        <f t="shared" si="420"/>
        <v>8367.7699999999986</v>
      </c>
      <c r="Y130" s="116">
        <f t="shared" si="420"/>
        <v>7621.29</v>
      </c>
      <c r="Z130" s="116">
        <f t="shared" si="420"/>
        <v>7735.9999999999991</v>
      </c>
      <c r="AA130" s="116">
        <f t="shared" si="420"/>
        <v>9837.7000000000007</v>
      </c>
      <c r="AB130" s="116">
        <f t="shared" si="420"/>
        <v>5161.95</v>
      </c>
      <c r="AC130" s="116">
        <f t="shared" si="420"/>
        <v>5593.24</v>
      </c>
      <c r="AD130" s="116">
        <f t="shared" si="420"/>
        <v>8721.89</v>
      </c>
      <c r="AE130" s="116">
        <f t="shared" si="420"/>
        <v>9733.06</v>
      </c>
      <c r="AF130" s="116">
        <f t="shared" si="420"/>
        <v>9649.1699999999983</v>
      </c>
      <c r="AG130" s="116">
        <f t="shared" si="420"/>
        <v>10519.93</v>
      </c>
      <c r="AH130" s="116">
        <f t="shared" si="420"/>
        <v>8690.36</v>
      </c>
      <c r="AI130" s="116">
        <f t="shared" si="420"/>
        <v>8902.25</v>
      </c>
      <c r="AJ130" s="116">
        <f t="shared" ref="AJ130:BO130" si="421">AJ87</f>
        <v>5789.0199999999995</v>
      </c>
      <c r="AK130" s="287">
        <f t="shared" si="421"/>
        <v>7794.08</v>
      </c>
      <c r="AL130" s="116">
        <f t="shared" si="421"/>
        <v>7091.239829581451</v>
      </c>
      <c r="AM130" s="287">
        <f t="shared" si="421"/>
        <v>8485.287462097358</v>
      </c>
      <c r="AN130" s="116">
        <f t="shared" si="421"/>
        <v>6396.0990271204955</v>
      </c>
      <c r="AO130" s="116">
        <f t="shared" si="421"/>
        <v>6080.0147677345522</v>
      </c>
      <c r="AP130" s="116">
        <f t="shared" si="421"/>
        <v>7920.0279151877312</v>
      </c>
      <c r="AQ130" s="116">
        <f t="shared" si="421"/>
        <v>5692.9596328850439</v>
      </c>
      <c r="AR130" s="116">
        <f t="shared" si="421"/>
        <v>6616.3379520753679</v>
      </c>
      <c r="AS130" s="116">
        <f t="shared" si="421"/>
        <v>9305.7478788084045</v>
      </c>
      <c r="AT130" s="116">
        <f t="shared" si="421"/>
        <v>8836.398917949211</v>
      </c>
      <c r="AU130" s="116">
        <f t="shared" si="421"/>
        <v>10856.004686053484</v>
      </c>
      <c r="AV130" s="116">
        <f t="shared" si="421"/>
        <v>10900.841929475284</v>
      </c>
      <c r="AW130" s="116">
        <f t="shared" si="421"/>
        <v>9776.9652103307035</v>
      </c>
      <c r="AX130" s="116">
        <f t="shared" si="421"/>
        <v>11107.485793943784</v>
      </c>
      <c r="AY130" s="287">
        <f t="shared" si="421"/>
        <v>14156.255666871852</v>
      </c>
      <c r="AZ130" s="116">
        <f t="shared" si="421"/>
        <v>9198.0926937902623</v>
      </c>
      <c r="BA130" s="116">
        <f t="shared" si="421"/>
        <v>9322.6638997304835</v>
      </c>
      <c r="BB130" s="116">
        <f t="shared" si="421"/>
        <v>12221.050232584326</v>
      </c>
      <c r="BC130" s="116">
        <f t="shared" si="421"/>
        <v>8777.7028185724994</v>
      </c>
      <c r="BD130" s="116">
        <f t="shared" si="421"/>
        <v>8995.3287752053729</v>
      </c>
      <c r="BE130" s="116">
        <f t="shared" si="421"/>
        <v>13512.277524824554</v>
      </c>
      <c r="BF130" s="116">
        <f t="shared" si="421"/>
        <v>12741.238039782496</v>
      </c>
      <c r="BG130" s="116">
        <f t="shared" si="421"/>
        <v>14605.3757970651</v>
      </c>
      <c r="BH130" s="116">
        <f t="shared" si="421"/>
        <v>14744.937542200094</v>
      </c>
      <c r="BI130" s="116">
        <f t="shared" si="421"/>
        <v>12645.93495908204</v>
      </c>
      <c r="BJ130" s="116">
        <f t="shared" si="421"/>
        <v>17094.488842053834</v>
      </c>
      <c r="BK130" s="287">
        <f t="shared" si="421"/>
        <v>18716.485636481069</v>
      </c>
      <c r="BL130" s="116">
        <f t="shared" si="421"/>
        <v>11899.514034220214</v>
      </c>
      <c r="BM130" s="116">
        <f t="shared" si="421"/>
        <v>12866.58795828445</v>
      </c>
      <c r="BN130" s="116">
        <f t="shared" si="421"/>
        <v>17249.043391650241</v>
      </c>
      <c r="BO130" s="116">
        <f t="shared" si="421"/>
        <v>12055.51474495931</v>
      </c>
      <c r="BP130" s="116">
        <f t="shared" ref="BP130:CU130" si="422">BP87</f>
        <v>12159.561842831296</v>
      </c>
      <c r="BQ130" s="116">
        <f t="shared" si="422"/>
        <v>17514.630013365942</v>
      </c>
      <c r="BR130" s="116">
        <f t="shared" si="422"/>
        <v>15609.066741300605</v>
      </c>
      <c r="BS130" s="116">
        <f t="shared" si="422"/>
        <v>18693.11317827024</v>
      </c>
      <c r="BT130" s="116">
        <f t="shared" si="422"/>
        <v>18174.290438523403</v>
      </c>
      <c r="BU130" s="116">
        <f t="shared" si="422"/>
        <v>15550.482680412122</v>
      </c>
      <c r="BV130" s="116">
        <f t="shared" si="422"/>
        <v>21274.024382663913</v>
      </c>
      <c r="BW130" s="287">
        <f t="shared" si="422"/>
        <v>22766.585811052104</v>
      </c>
      <c r="BX130" s="116">
        <f t="shared" si="422"/>
        <v>15622.871975405389</v>
      </c>
      <c r="BY130" s="116">
        <f t="shared" si="422"/>
        <v>17962.376541896934</v>
      </c>
      <c r="BZ130" s="116">
        <f t="shared" si="422"/>
        <v>20725.852337892775</v>
      </c>
      <c r="CA130" s="116">
        <f t="shared" si="422"/>
        <v>13955.064992556483</v>
      </c>
      <c r="CB130" s="116">
        <f t="shared" si="422"/>
        <v>17552.927340464154</v>
      </c>
      <c r="CC130" s="116">
        <f t="shared" si="422"/>
        <v>20623.921935776973</v>
      </c>
      <c r="CD130" s="116">
        <f t="shared" si="422"/>
        <v>18445.26831295525</v>
      </c>
      <c r="CE130" s="116">
        <f t="shared" si="422"/>
        <v>22839.534996009446</v>
      </c>
      <c r="CF130" s="116">
        <f t="shared" si="422"/>
        <v>20776.065319498481</v>
      </c>
      <c r="CG130" s="116">
        <f t="shared" si="422"/>
        <v>19660.558279244</v>
      </c>
      <c r="CH130" s="116">
        <f t="shared" si="422"/>
        <v>25342.824805041455</v>
      </c>
      <c r="CI130" s="287">
        <f t="shared" si="422"/>
        <v>25325.459730179904</v>
      </c>
      <c r="CJ130" s="116">
        <f t="shared" si="422"/>
        <v>20838.241747537977</v>
      </c>
      <c r="CK130" s="116">
        <f t="shared" si="422"/>
        <v>20524.576842491777</v>
      </c>
      <c r="CL130" s="116">
        <f t="shared" si="422"/>
        <v>23565.791526854471</v>
      </c>
      <c r="CM130" s="116">
        <f t="shared" si="422"/>
        <v>18747.929852499343</v>
      </c>
      <c r="CN130" s="116">
        <f t="shared" si="422"/>
        <v>20858.26160253361</v>
      </c>
      <c r="CO130" s="116">
        <f t="shared" si="422"/>
        <v>23190.269349819719</v>
      </c>
      <c r="CP130" s="116">
        <f t="shared" si="422"/>
        <v>22054.939963103923</v>
      </c>
      <c r="CQ130" s="116">
        <f t="shared" si="422"/>
        <v>26677.425270767118</v>
      </c>
      <c r="CR130" s="116">
        <f t="shared" si="422"/>
        <v>23239.371451201343</v>
      </c>
      <c r="CS130" s="116">
        <f t="shared" si="422"/>
        <v>23654.789856862386</v>
      </c>
      <c r="CT130" s="116">
        <f t="shared" si="422"/>
        <v>29797.912686182717</v>
      </c>
      <c r="CU130" s="287">
        <f t="shared" si="422"/>
        <v>29860.228915049258</v>
      </c>
      <c r="CV130" s="116">
        <f t="shared" ref="CV130:DG130" si="423">CV87</f>
        <v>24378.265267220799</v>
      </c>
      <c r="CW130" s="116">
        <f t="shared" si="423"/>
        <v>23977.9504126133</v>
      </c>
      <c r="CX130" s="116">
        <f t="shared" si="423"/>
        <v>26558.659323877178</v>
      </c>
      <c r="CY130" s="116">
        <f t="shared" si="423"/>
        <v>22811.590622332555</v>
      </c>
      <c r="CZ130" s="116">
        <f t="shared" si="423"/>
        <v>24268.762902689305</v>
      </c>
      <c r="DA130" s="116">
        <f t="shared" si="423"/>
        <v>25864.376603377656</v>
      </c>
      <c r="DB130" s="116">
        <f t="shared" si="423"/>
        <v>26458.056698534936</v>
      </c>
      <c r="DC130" s="116">
        <f t="shared" si="423"/>
        <v>29944.54568674264</v>
      </c>
      <c r="DD130" s="116">
        <f t="shared" si="423"/>
        <v>28094.635300736456</v>
      </c>
      <c r="DE130" s="116">
        <f t="shared" si="423"/>
        <v>27509.555206781239</v>
      </c>
      <c r="DF130" s="116">
        <f t="shared" si="423"/>
        <v>33547.104740174029</v>
      </c>
      <c r="DG130" s="116">
        <f t="shared" si="423"/>
        <v>36493.08553332727</v>
      </c>
    </row>
    <row r="131" spans="1:111" x14ac:dyDescent="0.3">
      <c r="B131" s="11" t="s">
        <v>30</v>
      </c>
      <c r="D131" s="116">
        <f t="shared" ref="D131:AI131" si="424">-(D100-C100)</f>
        <v>0</v>
      </c>
      <c r="E131" s="116">
        <f t="shared" si="424"/>
        <v>0</v>
      </c>
      <c r="F131" s="116">
        <f t="shared" si="424"/>
        <v>0</v>
      </c>
      <c r="G131" s="116">
        <f t="shared" si="424"/>
        <v>0</v>
      </c>
      <c r="H131" s="116">
        <f t="shared" si="424"/>
        <v>0</v>
      </c>
      <c r="I131" s="116">
        <f t="shared" si="424"/>
        <v>0</v>
      </c>
      <c r="J131" s="116">
        <f>-(J100-I100)</f>
        <v>0</v>
      </c>
      <c r="K131" s="116">
        <f t="shared" si="424"/>
        <v>0</v>
      </c>
      <c r="L131" s="116">
        <f t="shared" si="424"/>
        <v>0</v>
      </c>
      <c r="M131" s="116">
        <f t="shared" si="424"/>
        <v>0</v>
      </c>
      <c r="N131" s="116">
        <f t="shared" si="424"/>
        <v>0</v>
      </c>
      <c r="O131" s="116">
        <f t="shared" si="424"/>
        <v>0</v>
      </c>
      <c r="P131" s="116">
        <f>-(P100-O100)</f>
        <v>0</v>
      </c>
      <c r="Q131" s="116">
        <f t="shared" si="424"/>
        <v>0</v>
      </c>
      <c r="R131" s="116">
        <f t="shared" si="424"/>
        <v>0</v>
      </c>
      <c r="S131" s="116">
        <f t="shared" si="424"/>
        <v>0</v>
      </c>
      <c r="T131" s="116">
        <f t="shared" si="424"/>
        <v>0</v>
      </c>
      <c r="U131" s="116">
        <f t="shared" si="424"/>
        <v>0</v>
      </c>
      <c r="V131" s="116">
        <f t="shared" si="424"/>
        <v>0</v>
      </c>
      <c r="W131" s="116">
        <f t="shared" si="424"/>
        <v>0</v>
      </c>
      <c r="X131" s="116">
        <f t="shared" si="424"/>
        <v>0</v>
      </c>
      <c r="Y131" s="116">
        <f t="shared" si="424"/>
        <v>0</v>
      </c>
      <c r="Z131" s="116">
        <f t="shared" si="424"/>
        <v>0</v>
      </c>
      <c r="AA131" s="116">
        <f t="shared" si="424"/>
        <v>0</v>
      </c>
      <c r="AB131" s="116">
        <f>-(AB100-AA100)</f>
        <v>0</v>
      </c>
      <c r="AC131" s="116">
        <f>-(AC100-AB100)</f>
        <v>0</v>
      </c>
      <c r="AD131" s="116">
        <f>-(AD100-AC100)</f>
        <v>0</v>
      </c>
      <c r="AE131" s="116">
        <f>-(AE100-AD100)</f>
        <v>0</v>
      </c>
      <c r="AF131" s="116">
        <f>-(AF100-AE100)</f>
        <v>0</v>
      </c>
      <c r="AG131" s="116">
        <f t="shared" si="424"/>
        <v>0</v>
      </c>
      <c r="AH131" s="116">
        <f t="shared" si="424"/>
        <v>0</v>
      </c>
      <c r="AI131" s="116">
        <f t="shared" si="424"/>
        <v>0</v>
      </c>
      <c r="AJ131" s="116">
        <f t="shared" ref="AJ131:BO131" si="425">-(AJ100-AI100)</f>
        <v>0</v>
      </c>
      <c r="AK131" s="287">
        <f t="shared" si="425"/>
        <v>0</v>
      </c>
      <c r="AL131" s="116">
        <f t="shared" si="425"/>
        <v>0</v>
      </c>
      <c r="AM131" s="287">
        <f t="shared" si="425"/>
        <v>0</v>
      </c>
      <c r="AN131" s="116">
        <f t="shared" si="425"/>
        <v>0</v>
      </c>
      <c r="AO131" s="116">
        <f t="shared" si="425"/>
        <v>0</v>
      </c>
      <c r="AP131" s="116">
        <f t="shared" si="425"/>
        <v>0</v>
      </c>
      <c r="AQ131" s="116">
        <f t="shared" si="425"/>
        <v>0</v>
      </c>
      <c r="AR131" s="116">
        <f t="shared" si="425"/>
        <v>0</v>
      </c>
      <c r="AS131" s="116">
        <f t="shared" si="425"/>
        <v>0</v>
      </c>
      <c r="AT131" s="116">
        <f t="shared" si="425"/>
        <v>0</v>
      </c>
      <c r="AU131" s="116">
        <f t="shared" si="425"/>
        <v>0</v>
      </c>
      <c r="AV131" s="116">
        <f t="shared" si="425"/>
        <v>0</v>
      </c>
      <c r="AW131" s="116">
        <f t="shared" si="425"/>
        <v>0</v>
      </c>
      <c r="AX131" s="116">
        <f t="shared" si="425"/>
        <v>0</v>
      </c>
      <c r="AY131" s="287">
        <f t="shared" si="425"/>
        <v>0</v>
      </c>
      <c r="AZ131" s="116">
        <f t="shared" si="425"/>
        <v>0</v>
      </c>
      <c r="BA131" s="116">
        <f t="shared" si="425"/>
        <v>0</v>
      </c>
      <c r="BB131" s="116">
        <f t="shared" si="425"/>
        <v>0</v>
      </c>
      <c r="BC131" s="116">
        <f t="shared" si="425"/>
        <v>0</v>
      </c>
      <c r="BD131" s="116">
        <f t="shared" si="425"/>
        <v>0</v>
      </c>
      <c r="BE131" s="116">
        <f t="shared" si="425"/>
        <v>0</v>
      </c>
      <c r="BF131" s="116">
        <f t="shared" si="425"/>
        <v>0</v>
      </c>
      <c r="BG131" s="116">
        <f t="shared" si="425"/>
        <v>0</v>
      </c>
      <c r="BH131" s="116">
        <f t="shared" si="425"/>
        <v>0</v>
      </c>
      <c r="BI131" s="116">
        <f t="shared" si="425"/>
        <v>0</v>
      </c>
      <c r="BJ131" s="116">
        <f t="shared" si="425"/>
        <v>0</v>
      </c>
      <c r="BK131" s="287">
        <f t="shared" si="425"/>
        <v>0</v>
      </c>
      <c r="BL131" s="116">
        <f t="shared" si="425"/>
        <v>0</v>
      </c>
      <c r="BM131" s="116">
        <f t="shared" si="425"/>
        <v>0</v>
      </c>
      <c r="BN131" s="116">
        <f t="shared" si="425"/>
        <v>0</v>
      </c>
      <c r="BO131" s="116">
        <f t="shared" si="425"/>
        <v>0</v>
      </c>
      <c r="BP131" s="116">
        <f t="shared" ref="BP131:CU131" si="426">-(BP100-BO100)</f>
        <v>0</v>
      </c>
      <c r="BQ131" s="116">
        <f t="shared" si="426"/>
        <v>0</v>
      </c>
      <c r="BR131" s="116">
        <f t="shared" si="426"/>
        <v>0</v>
      </c>
      <c r="BS131" s="116">
        <f t="shared" si="426"/>
        <v>0</v>
      </c>
      <c r="BT131" s="116">
        <f t="shared" si="426"/>
        <v>0</v>
      </c>
      <c r="BU131" s="116">
        <f t="shared" si="426"/>
        <v>0</v>
      </c>
      <c r="BV131" s="116">
        <f t="shared" si="426"/>
        <v>0</v>
      </c>
      <c r="BW131" s="287">
        <f t="shared" si="426"/>
        <v>0</v>
      </c>
      <c r="BX131" s="116">
        <f t="shared" si="426"/>
        <v>0</v>
      </c>
      <c r="BY131" s="116">
        <f t="shared" si="426"/>
        <v>0</v>
      </c>
      <c r="BZ131" s="116">
        <f t="shared" si="426"/>
        <v>0</v>
      </c>
      <c r="CA131" s="116">
        <f t="shared" si="426"/>
        <v>0</v>
      </c>
      <c r="CB131" s="116">
        <f t="shared" si="426"/>
        <v>0</v>
      </c>
      <c r="CC131" s="116">
        <f t="shared" si="426"/>
        <v>0</v>
      </c>
      <c r="CD131" s="116">
        <f t="shared" si="426"/>
        <v>0</v>
      </c>
      <c r="CE131" s="116">
        <f t="shared" si="426"/>
        <v>0</v>
      </c>
      <c r="CF131" s="116">
        <f t="shared" si="426"/>
        <v>0</v>
      </c>
      <c r="CG131" s="116">
        <f t="shared" si="426"/>
        <v>0</v>
      </c>
      <c r="CH131" s="116">
        <f t="shared" si="426"/>
        <v>0</v>
      </c>
      <c r="CI131" s="287">
        <f t="shared" si="426"/>
        <v>0</v>
      </c>
      <c r="CJ131" s="116">
        <f t="shared" si="426"/>
        <v>0</v>
      </c>
      <c r="CK131" s="116">
        <f t="shared" si="426"/>
        <v>0</v>
      </c>
      <c r="CL131" s="116">
        <f t="shared" si="426"/>
        <v>0</v>
      </c>
      <c r="CM131" s="116">
        <f t="shared" si="426"/>
        <v>0</v>
      </c>
      <c r="CN131" s="116">
        <f t="shared" si="426"/>
        <v>0</v>
      </c>
      <c r="CO131" s="116">
        <f t="shared" si="426"/>
        <v>0</v>
      </c>
      <c r="CP131" s="116">
        <f t="shared" si="426"/>
        <v>0</v>
      </c>
      <c r="CQ131" s="116">
        <f t="shared" si="426"/>
        <v>0</v>
      </c>
      <c r="CR131" s="116">
        <f t="shared" si="426"/>
        <v>0</v>
      </c>
      <c r="CS131" s="116">
        <f t="shared" si="426"/>
        <v>0</v>
      </c>
      <c r="CT131" s="116">
        <f t="shared" si="426"/>
        <v>0</v>
      </c>
      <c r="CU131" s="287">
        <f t="shared" si="426"/>
        <v>0</v>
      </c>
      <c r="CV131" s="116">
        <f t="shared" ref="CV131:DG131" si="427">-(CV100-CU100)</f>
        <v>0</v>
      </c>
      <c r="CW131" s="116">
        <f t="shared" si="427"/>
        <v>0</v>
      </c>
      <c r="CX131" s="116">
        <f t="shared" si="427"/>
        <v>0</v>
      </c>
      <c r="CY131" s="116">
        <f t="shared" si="427"/>
        <v>0</v>
      </c>
      <c r="CZ131" s="116">
        <f t="shared" si="427"/>
        <v>0</v>
      </c>
      <c r="DA131" s="116">
        <f t="shared" si="427"/>
        <v>0</v>
      </c>
      <c r="DB131" s="116">
        <f t="shared" si="427"/>
        <v>0</v>
      </c>
      <c r="DC131" s="116">
        <f t="shared" si="427"/>
        <v>0</v>
      </c>
      <c r="DD131" s="116">
        <f t="shared" si="427"/>
        <v>0</v>
      </c>
      <c r="DE131" s="116">
        <f t="shared" si="427"/>
        <v>0</v>
      </c>
      <c r="DF131" s="116">
        <f t="shared" si="427"/>
        <v>0</v>
      </c>
      <c r="DG131" s="116">
        <f t="shared" si="427"/>
        <v>0</v>
      </c>
    </row>
    <row r="132" spans="1:111" x14ac:dyDescent="0.3">
      <c r="B132" s="1" t="s">
        <v>31</v>
      </c>
      <c r="D132" s="116">
        <v>0</v>
      </c>
      <c r="E132" s="116">
        <v>0</v>
      </c>
      <c r="F132" s="116">
        <v>0</v>
      </c>
      <c r="G132" s="116">
        <v>0</v>
      </c>
      <c r="H132" s="116">
        <v>0</v>
      </c>
      <c r="I132" s="116">
        <v>0</v>
      </c>
      <c r="J132" s="116">
        <f t="shared" ref="J132:O132" si="428">J117-H117</f>
        <v>0</v>
      </c>
      <c r="K132" s="116">
        <f t="shared" si="428"/>
        <v>0</v>
      </c>
      <c r="L132" s="116">
        <f t="shared" si="428"/>
        <v>0</v>
      </c>
      <c r="M132" s="116">
        <f t="shared" si="428"/>
        <v>0</v>
      </c>
      <c r="N132" s="116">
        <f t="shared" si="428"/>
        <v>0</v>
      </c>
      <c r="O132" s="116">
        <f t="shared" si="428"/>
        <v>0</v>
      </c>
      <c r="P132" s="116">
        <f>P117-O117-(P111-O111)</f>
        <v>0</v>
      </c>
      <c r="Q132" s="116">
        <f>Q117-P117-(Q111-P111)</f>
        <v>0</v>
      </c>
      <c r="R132" s="116">
        <f t="shared" ref="R132:CC132" si="429">R117-Q117-(R111-Q111)</f>
        <v>0</v>
      </c>
      <c r="S132" s="116">
        <f t="shared" si="429"/>
        <v>0</v>
      </c>
      <c r="T132" s="116">
        <f t="shared" si="429"/>
        <v>0</v>
      </c>
      <c r="U132" s="116">
        <f t="shared" si="429"/>
        <v>0</v>
      </c>
      <c r="V132" s="116">
        <f t="shared" si="429"/>
        <v>0</v>
      </c>
      <c r="W132" s="116">
        <f t="shared" si="429"/>
        <v>0</v>
      </c>
      <c r="X132" s="116">
        <f t="shared" si="429"/>
        <v>0</v>
      </c>
      <c r="Y132" s="116">
        <f t="shared" si="429"/>
        <v>0</v>
      </c>
      <c r="Z132" s="116">
        <f t="shared" si="429"/>
        <v>0</v>
      </c>
      <c r="AA132" s="116">
        <f t="shared" si="429"/>
        <v>0</v>
      </c>
      <c r="AB132" s="116">
        <f>AB117-AA117-(AB111-AA111)</f>
        <v>-3000</v>
      </c>
      <c r="AC132" s="116">
        <f>AC117-AB117-(AC111-AB111)</f>
        <v>3000</v>
      </c>
      <c r="AD132" s="116">
        <f>AD117-AC117-(AD111-AC111)</f>
        <v>0</v>
      </c>
      <c r="AE132" s="116">
        <f>AE117-AD117-(AE111-AD111)</f>
        <v>385</v>
      </c>
      <c r="AF132" s="116">
        <f>AF117-AE117-(AF111-AE111)</f>
        <v>212.5</v>
      </c>
      <c r="AG132" s="116">
        <f t="shared" si="429"/>
        <v>0</v>
      </c>
      <c r="AH132" s="116">
        <f t="shared" si="429"/>
        <v>375.48</v>
      </c>
      <c r="AI132" s="116">
        <f t="shared" si="429"/>
        <v>-262.98</v>
      </c>
      <c r="AJ132" s="116">
        <f t="shared" si="429"/>
        <v>-467.58000000000004</v>
      </c>
      <c r="AK132" s="287">
        <f t="shared" si="429"/>
        <v>-1.589999999999975</v>
      </c>
      <c r="AL132" s="116">
        <f t="shared" si="429"/>
        <v>0</v>
      </c>
      <c r="AM132" s="287">
        <f t="shared" si="429"/>
        <v>0</v>
      </c>
      <c r="AN132" s="116">
        <f t="shared" si="429"/>
        <v>0</v>
      </c>
      <c r="AO132" s="116">
        <f t="shared" si="429"/>
        <v>0</v>
      </c>
      <c r="AP132" s="116">
        <f t="shared" si="429"/>
        <v>0</v>
      </c>
      <c r="AQ132" s="116">
        <f t="shared" si="429"/>
        <v>0</v>
      </c>
      <c r="AR132" s="116">
        <f t="shared" si="429"/>
        <v>0</v>
      </c>
      <c r="AS132" s="116">
        <f t="shared" si="429"/>
        <v>0</v>
      </c>
      <c r="AT132" s="116">
        <f t="shared" si="429"/>
        <v>0</v>
      </c>
      <c r="AU132" s="116">
        <f t="shared" si="429"/>
        <v>0</v>
      </c>
      <c r="AV132" s="116">
        <f t="shared" si="429"/>
        <v>0</v>
      </c>
      <c r="AW132" s="116">
        <f t="shared" si="429"/>
        <v>0</v>
      </c>
      <c r="AX132" s="116">
        <f t="shared" si="429"/>
        <v>0</v>
      </c>
      <c r="AY132" s="287">
        <f t="shared" si="429"/>
        <v>0</v>
      </c>
      <c r="AZ132" s="116">
        <f t="shared" si="429"/>
        <v>0</v>
      </c>
      <c r="BA132" s="116">
        <f t="shared" si="429"/>
        <v>0</v>
      </c>
      <c r="BB132" s="116">
        <f t="shared" si="429"/>
        <v>0</v>
      </c>
      <c r="BC132" s="116">
        <f t="shared" si="429"/>
        <v>0</v>
      </c>
      <c r="BD132" s="116">
        <f t="shared" si="429"/>
        <v>0</v>
      </c>
      <c r="BE132" s="116">
        <f t="shared" si="429"/>
        <v>0</v>
      </c>
      <c r="BF132" s="116">
        <f t="shared" si="429"/>
        <v>0</v>
      </c>
      <c r="BG132" s="116">
        <f t="shared" si="429"/>
        <v>0</v>
      </c>
      <c r="BH132" s="116">
        <f t="shared" si="429"/>
        <v>0</v>
      </c>
      <c r="BI132" s="116">
        <f t="shared" si="429"/>
        <v>0</v>
      </c>
      <c r="BJ132" s="116">
        <f t="shared" si="429"/>
        <v>0</v>
      </c>
      <c r="BK132" s="287">
        <f t="shared" si="429"/>
        <v>0</v>
      </c>
      <c r="BL132" s="116">
        <f t="shared" si="429"/>
        <v>0</v>
      </c>
      <c r="BM132" s="116">
        <f t="shared" si="429"/>
        <v>0</v>
      </c>
      <c r="BN132" s="116">
        <f t="shared" si="429"/>
        <v>0</v>
      </c>
      <c r="BO132" s="116">
        <f t="shared" si="429"/>
        <v>0</v>
      </c>
      <c r="BP132" s="116">
        <f t="shared" si="429"/>
        <v>0</v>
      </c>
      <c r="BQ132" s="116">
        <f t="shared" si="429"/>
        <v>0</v>
      </c>
      <c r="BR132" s="116">
        <f t="shared" si="429"/>
        <v>0</v>
      </c>
      <c r="BS132" s="116">
        <f t="shared" si="429"/>
        <v>0</v>
      </c>
      <c r="BT132" s="116">
        <f t="shared" si="429"/>
        <v>0</v>
      </c>
      <c r="BU132" s="116">
        <f t="shared" si="429"/>
        <v>0</v>
      </c>
      <c r="BV132" s="116">
        <f t="shared" si="429"/>
        <v>0</v>
      </c>
      <c r="BW132" s="287">
        <f t="shared" si="429"/>
        <v>0</v>
      </c>
      <c r="BX132" s="116">
        <f t="shared" si="429"/>
        <v>0</v>
      </c>
      <c r="BY132" s="116">
        <f t="shared" si="429"/>
        <v>0</v>
      </c>
      <c r="BZ132" s="116">
        <f t="shared" si="429"/>
        <v>0</v>
      </c>
      <c r="CA132" s="116">
        <f t="shared" si="429"/>
        <v>0</v>
      </c>
      <c r="CB132" s="116">
        <f t="shared" si="429"/>
        <v>0</v>
      </c>
      <c r="CC132" s="116">
        <f t="shared" si="429"/>
        <v>0</v>
      </c>
      <c r="CD132" s="116">
        <f t="shared" ref="CD132:DG132" si="430">CD117-CC117-(CD111-CC111)</f>
        <v>0</v>
      </c>
      <c r="CE132" s="116">
        <f t="shared" si="430"/>
        <v>0</v>
      </c>
      <c r="CF132" s="116">
        <f t="shared" si="430"/>
        <v>0</v>
      </c>
      <c r="CG132" s="116">
        <f t="shared" si="430"/>
        <v>0</v>
      </c>
      <c r="CH132" s="116">
        <f t="shared" si="430"/>
        <v>0</v>
      </c>
      <c r="CI132" s="287">
        <f t="shared" si="430"/>
        <v>0</v>
      </c>
      <c r="CJ132" s="116">
        <f t="shared" si="430"/>
        <v>0</v>
      </c>
      <c r="CK132" s="116">
        <f t="shared" si="430"/>
        <v>0</v>
      </c>
      <c r="CL132" s="116">
        <f t="shared" si="430"/>
        <v>0</v>
      </c>
      <c r="CM132" s="116">
        <f t="shared" si="430"/>
        <v>0</v>
      </c>
      <c r="CN132" s="116">
        <f t="shared" si="430"/>
        <v>0</v>
      </c>
      <c r="CO132" s="116">
        <f t="shared" si="430"/>
        <v>0</v>
      </c>
      <c r="CP132" s="116">
        <f t="shared" si="430"/>
        <v>0</v>
      </c>
      <c r="CQ132" s="116">
        <f t="shared" si="430"/>
        <v>0</v>
      </c>
      <c r="CR132" s="116">
        <f t="shared" si="430"/>
        <v>0</v>
      </c>
      <c r="CS132" s="116">
        <f t="shared" si="430"/>
        <v>0</v>
      </c>
      <c r="CT132" s="116">
        <f t="shared" si="430"/>
        <v>0</v>
      </c>
      <c r="CU132" s="287">
        <f t="shared" si="430"/>
        <v>0</v>
      </c>
      <c r="CV132" s="116">
        <f t="shared" si="430"/>
        <v>0</v>
      </c>
      <c r="CW132" s="116">
        <f t="shared" si="430"/>
        <v>0</v>
      </c>
      <c r="CX132" s="116">
        <f t="shared" si="430"/>
        <v>0</v>
      </c>
      <c r="CY132" s="116">
        <f t="shared" si="430"/>
        <v>0</v>
      </c>
      <c r="CZ132" s="116">
        <f t="shared" si="430"/>
        <v>0</v>
      </c>
      <c r="DA132" s="116">
        <f t="shared" si="430"/>
        <v>0</v>
      </c>
      <c r="DB132" s="116">
        <f t="shared" si="430"/>
        <v>0</v>
      </c>
      <c r="DC132" s="116">
        <f t="shared" si="430"/>
        <v>0</v>
      </c>
      <c r="DD132" s="116">
        <f t="shared" si="430"/>
        <v>0</v>
      </c>
      <c r="DE132" s="116">
        <f t="shared" si="430"/>
        <v>0</v>
      </c>
      <c r="DF132" s="116">
        <f t="shared" si="430"/>
        <v>0</v>
      </c>
      <c r="DG132" s="116">
        <f t="shared" si="430"/>
        <v>0</v>
      </c>
    </row>
    <row r="133" spans="1:111" s="3" customFormat="1" x14ac:dyDescent="0.3">
      <c r="A133"/>
      <c r="B133" s="4" t="s">
        <v>29</v>
      </c>
      <c r="D133" s="10">
        <f>SUM(D130:D132)</f>
        <v>0</v>
      </c>
      <c r="E133" s="10">
        <f t="shared" ref="E133:BP133" si="431">SUM(E130:E132)</f>
        <v>0</v>
      </c>
      <c r="F133" s="10">
        <f t="shared" si="431"/>
        <v>0</v>
      </c>
      <c r="G133" s="10">
        <f t="shared" si="431"/>
        <v>0</v>
      </c>
      <c r="H133" s="10">
        <f t="shared" si="431"/>
        <v>0</v>
      </c>
      <c r="I133" s="10">
        <f t="shared" si="431"/>
        <v>0</v>
      </c>
      <c r="J133" s="10">
        <f t="shared" si="431"/>
        <v>0</v>
      </c>
      <c r="K133" s="10">
        <f t="shared" si="431"/>
        <v>0</v>
      </c>
      <c r="L133" s="10">
        <f t="shared" si="431"/>
        <v>0</v>
      </c>
      <c r="M133" s="10">
        <f t="shared" si="431"/>
        <v>0</v>
      </c>
      <c r="N133" s="10">
        <f t="shared" si="431"/>
        <v>0</v>
      </c>
      <c r="O133" s="10">
        <f t="shared" si="431"/>
        <v>0</v>
      </c>
      <c r="P133" s="10">
        <f>SUM(P130:P132)</f>
        <v>0</v>
      </c>
      <c r="Q133" s="10">
        <f t="shared" si="431"/>
        <v>0</v>
      </c>
      <c r="R133" s="10">
        <f t="shared" si="431"/>
        <v>0</v>
      </c>
      <c r="S133" s="10">
        <f t="shared" si="431"/>
        <v>0</v>
      </c>
      <c r="T133" s="10">
        <f t="shared" si="431"/>
        <v>0</v>
      </c>
      <c r="U133" s="10">
        <f t="shared" si="431"/>
        <v>0</v>
      </c>
      <c r="V133" s="10">
        <f t="shared" si="431"/>
        <v>0</v>
      </c>
      <c r="W133" s="10">
        <f t="shared" si="431"/>
        <v>1942.4</v>
      </c>
      <c r="X133" s="10">
        <f t="shared" si="431"/>
        <v>8367.7699999999986</v>
      </c>
      <c r="Y133" s="10">
        <f t="shared" si="431"/>
        <v>7621.29</v>
      </c>
      <c r="Z133" s="10">
        <f t="shared" si="431"/>
        <v>7735.9999999999991</v>
      </c>
      <c r="AA133" s="10">
        <f t="shared" ref="AA133:AF133" si="432">SUM(AA130:AA132)</f>
        <v>9837.7000000000007</v>
      </c>
      <c r="AB133" s="10">
        <f t="shared" si="432"/>
        <v>2161.9499999999998</v>
      </c>
      <c r="AC133" s="10">
        <f t="shared" si="432"/>
        <v>8593.24</v>
      </c>
      <c r="AD133" s="10">
        <f t="shared" si="432"/>
        <v>8721.89</v>
      </c>
      <c r="AE133" s="10">
        <f t="shared" si="432"/>
        <v>10118.06</v>
      </c>
      <c r="AF133" s="10">
        <f t="shared" si="432"/>
        <v>9861.6699999999983</v>
      </c>
      <c r="AG133" s="10">
        <f t="shared" si="431"/>
        <v>10519.93</v>
      </c>
      <c r="AH133" s="10">
        <f t="shared" si="431"/>
        <v>9065.84</v>
      </c>
      <c r="AI133" s="10">
        <f t="shared" si="431"/>
        <v>8639.27</v>
      </c>
      <c r="AJ133" s="10">
        <f t="shared" si="431"/>
        <v>5321.44</v>
      </c>
      <c r="AK133" s="296">
        <f t="shared" si="431"/>
        <v>7792.49</v>
      </c>
      <c r="AL133" s="10">
        <f t="shared" si="431"/>
        <v>7091.239829581451</v>
      </c>
      <c r="AM133" s="296">
        <f t="shared" si="431"/>
        <v>8485.287462097358</v>
      </c>
      <c r="AN133" s="10">
        <f t="shared" si="431"/>
        <v>6396.0990271204955</v>
      </c>
      <c r="AO133" s="10">
        <f t="shared" si="431"/>
        <v>6080.0147677345522</v>
      </c>
      <c r="AP133" s="10">
        <f t="shared" si="431"/>
        <v>7920.0279151877312</v>
      </c>
      <c r="AQ133" s="10">
        <f t="shared" si="431"/>
        <v>5692.9596328850439</v>
      </c>
      <c r="AR133" s="10">
        <f t="shared" si="431"/>
        <v>6616.3379520753679</v>
      </c>
      <c r="AS133" s="10">
        <f t="shared" si="431"/>
        <v>9305.7478788084045</v>
      </c>
      <c r="AT133" s="10">
        <f t="shared" si="431"/>
        <v>8836.398917949211</v>
      </c>
      <c r="AU133" s="10">
        <f t="shared" si="431"/>
        <v>10856.004686053484</v>
      </c>
      <c r="AV133" s="10">
        <f t="shared" si="431"/>
        <v>10900.841929475284</v>
      </c>
      <c r="AW133" s="10">
        <f t="shared" si="431"/>
        <v>9776.9652103307035</v>
      </c>
      <c r="AX133" s="10">
        <f t="shared" si="431"/>
        <v>11107.485793943784</v>
      </c>
      <c r="AY133" s="296">
        <f t="shared" si="431"/>
        <v>14156.255666871852</v>
      </c>
      <c r="AZ133" s="10">
        <f t="shared" si="431"/>
        <v>9198.0926937902623</v>
      </c>
      <c r="BA133" s="10">
        <f t="shared" si="431"/>
        <v>9322.6638997304835</v>
      </c>
      <c r="BB133" s="10">
        <f t="shared" si="431"/>
        <v>12221.050232584326</v>
      </c>
      <c r="BC133" s="10">
        <f t="shared" si="431"/>
        <v>8777.7028185724994</v>
      </c>
      <c r="BD133" s="10">
        <f t="shared" si="431"/>
        <v>8995.3287752053729</v>
      </c>
      <c r="BE133" s="10">
        <f t="shared" si="431"/>
        <v>13512.277524824554</v>
      </c>
      <c r="BF133" s="10">
        <f t="shared" si="431"/>
        <v>12741.238039782496</v>
      </c>
      <c r="BG133" s="10">
        <f t="shared" si="431"/>
        <v>14605.3757970651</v>
      </c>
      <c r="BH133" s="10">
        <f t="shared" si="431"/>
        <v>14744.937542200094</v>
      </c>
      <c r="BI133" s="10">
        <f t="shared" si="431"/>
        <v>12645.93495908204</v>
      </c>
      <c r="BJ133" s="10">
        <f t="shared" si="431"/>
        <v>17094.488842053834</v>
      </c>
      <c r="BK133" s="296">
        <f t="shared" si="431"/>
        <v>18716.485636481069</v>
      </c>
      <c r="BL133" s="10">
        <f t="shared" si="431"/>
        <v>11899.514034220214</v>
      </c>
      <c r="BM133" s="10">
        <f t="shared" si="431"/>
        <v>12866.58795828445</v>
      </c>
      <c r="BN133" s="10">
        <f t="shared" si="431"/>
        <v>17249.043391650241</v>
      </c>
      <c r="BO133" s="10">
        <f t="shared" si="431"/>
        <v>12055.51474495931</v>
      </c>
      <c r="BP133" s="10">
        <f t="shared" si="431"/>
        <v>12159.561842831296</v>
      </c>
      <c r="BQ133" s="10">
        <f t="shared" ref="BQ133:DG133" si="433">SUM(BQ130:BQ132)</f>
        <v>17514.630013365942</v>
      </c>
      <c r="BR133" s="10">
        <f t="shared" si="433"/>
        <v>15609.066741300605</v>
      </c>
      <c r="BS133" s="10">
        <f t="shared" si="433"/>
        <v>18693.11317827024</v>
      </c>
      <c r="BT133" s="10">
        <f t="shared" si="433"/>
        <v>18174.290438523403</v>
      </c>
      <c r="BU133" s="10">
        <f t="shared" si="433"/>
        <v>15550.482680412122</v>
      </c>
      <c r="BV133" s="10">
        <f t="shared" si="433"/>
        <v>21274.024382663913</v>
      </c>
      <c r="BW133" s="296">
        <f t="shared" si="433"/>
        <v>22766.585811052104</v>
      </c>
      <c r="BX133" s="10">
        <f t="shared" si="433"/>
        <v>15622.871975405389</v>
      </c>
      <c r="BY133" s="10">
        <f t="shared" si="433"/>
        <v>17962.376541896934</v>
      </c>
      <c r="BZ133" s="10">
        <f t="shared" si="433"/>
        <v>20725.852337892775</v>
      </c>
      <c r="CA133" s="10">
        <f t="shared" si="433"/>
        <v>13955.064992556483</v>
      </c>
      <c r="CB133" s="10">
        <f t="shared" si="433"/>
        <v>17552.927340464154</v>
      </c>
      <c r="CC133" s="10">
        <f t="shared" si="433"/>
        <v>20623.921935776973</v>
      </c>
      <c r="CD133" s="10">
        <f t="shared" si="433"/>
        <v>18445.26831295525</v>
      </c>
      <c r="CE133" s="10">
        <f t="shared" si="433"/>
        <v>22839.534996009446</v>
      </c>
      <c r="CF133" s="10">
        <f t="shared" si="433"/>
        <v>20776.065319498481</v>
      </c>
      <c r="CG133" s="10">
        <f t="shared" si="433"/>
        <v>19660.558279244</v>
      </c>
      <c r="CH133" s="10">
        <f t="shared" si="433"/>
        <v>25342.824805041455</v>
      </c>
      <c r="CI133" s="296">
        <f t="shared" si="433"/>
        <v>25325.459730179904</v>
      </c>
      <c r="CJ133" s="10">
        <f t="shared" si="433"/>
        <v>20838.241747537977</v>
      </c>
      <c r="CK133" s="10">
        <f t="shared" si="433"/>
        <v>20524.576842491777</v>
      </c>
      <c r="CL133" s="10">
        <f t="shared" si="433"/>
        <v>23565.791526854471</v>
      </c>
      <c r="CM133" s="10">
        <f t="shared" si="433"/>
        <v>18747.929852499343</v>
      </c>
      <c r="CN133" s="10">
        <f t="shared" si="433"/>
        <v>20858.26160253361</v>
      </c>
      <c r="CO133" s="10">
        <f t="shared" si="433"/>
        <v>23190.269349819719</v>
      </c>
      <c r="CP133" s="10">
        <f t="shared" si="433"/>
        <v>22054.939963103923</v>
      </c>
      <c r="CQ133" s="10">
        <f t="shared" si="433"/>
        <v>26677.425270767118</v>
      </c>
      <c r="CR133" s="10">
        <f t="shared" si="433"/>
        <v>23239.371451201343</v>
      </c>
      <c r="CS133" s="10">
        <f t="shared" si="433"/>
        <v>23654.789856862386</v>
      </c>
      <c r="CT133" s="10">
        <f t="shared" si="433"/>
        <v>29797.912686182717</v>
      </c>
      <c r="CU133" s="296">
        <f t="shared" si="433"/>
        <v>29860.228915049258</v>
      </c>
      <c r="CV133" s="10">
        <f t="shared" si="433"/>
        <v>24378.265267220799</v>
      </c>
      <c r="CW133" s="10">
        <f t="shared" si="433"/>
        <v>23977.9504126133</v>
      </c>
      <c r="CX133" s="10">
        <f t="shared" si="433"/>
        <v>26558.659323877178</v>
      </c>
      <c r="CY133" s="10">
        <f t="shared" si="433"/>
        <v>22811.590622332555</v>
      </c>
      <c r="CZ133" s="10">
        <f t="shared" si="433"/>
        <v>24268.762902689305</v>
      </c>
      <c r="DA133" s="10">
        <f t="shared" si="433"/>
        <v>25864.376603377656</v>
      </c>
      <c r="DB133" s="10">
        <f t="shared" si="433"/>
        <v>26458.056698534936</v>
      </c>
      <c r="DC133" s="10">
        <f t="shared" si="433"/>
        <v>29944.54568674264</v>
      </c>
      <c r="DD133" s="10">
        <f t="shared" si="433"/>
        <v>28094.635300736456</v>
      </c>
      <c r="DE133" s="10">
        <f t="shared" si="433"/>
        <v>27509.555206781239</v>
      </c>
      <c r="DF133" s="10">
        <f t="shared" si="433"/>
        <v>33547.104740174029</v>
      </c>
      <c r="DG133" s="10">
        <f t="shared" si="433"/>
        <v>36493.08553332727</v>
      </c>
    </row>
    <row r="134" spans="1:111" x14ac:dyDescent="0.3">
      <c r="AK134" s="286"/>
    </row>
    <row r="135" spans="1:111" x14ac:dyDescent="0.3">
      <c r="AK135" s="286"/>
    </row>
    <row r="136" spans="1:111" x14ac:dyDescent="0.3">
      <c r="B136" s="1" t="s">
        <v>32</v>
      </c>
      <c r="E136" s="116">
        <f t="shared" ref="E136:AF136" si="434">E119-D119</f>
        <v>0</v>
      </c>
      <c r="F136" s="116">
        <f t="shared" si="434"/>
        <v>0</v>
      </c>
      <c r="G136" s="116">
        <f t="shared" si="434"/>
        <v>0</v>
      </c>
      <c r="H136" s="116">
        <f t="shared" si="434"/>
        <v>0</v>
      </c>
      <c r="I136" s="116">
        <f t="shared" si="434"/>
        <v>0</v>
      </c>
      <c r="J136" s="116">
        <f t="shared" si="434"/>
        <v>0</v>
      </c>
      <c r="K136" s="116">
        <f t="shared" si="434"/>
        <v>0</v>
      </c>
      <c r="L136" s="116">
        <f t="shared" si="434"/>
        <v>0</v>
      </c>
      <c r="M136" s="116">
        <f t="shared" si="434"/>
        <v>0</v>
      </c>
      <c r="N136" s="116">
        <f t="shared" si="434"/>
        <v>0</v>
      </c>
      <c r="O136" s="116">
        <f t="shared" si="434"/>
        <v>0</v>
      </c>
      <c r="P136" s="116">
        <f t="shared" si="434"/>
        <v>0</v>
      </c>
      <c r="Q136" s="116">
        <f t="shared" si="434"/>
        <v>0</v>
      </c>
      <c r="R136" s="116">
        <f t="shared" si="434"/>
        <v>0</v>
      </c>
      <c r="S136" s="116">
        <f t="shared" si="434"/>
        <v>0</v>
      </c>
      <c r="T136" s="116">
        <f t="shared" si="434"/>
        <v>0</v>
      </c>
      <c r="U136" s="116">
        <f t="shared" si="434"/>
        <v>0</v>
      </c>
      <c r="V136" s="116">
        <f t="shared" si="434"/>
        <v>0</v>
      </c>
      <c r="W136" s="116">
        <f t="shared" si="434"/>
        <v>2168.84</v>
      </c>
      <c r="X136" s="116">
        <f t="shared" si="434"/>
        <v>0</v>
      </c>
      <c r="Y136" s="116">
        <f t="shared" si="434"/>
        <v>0</v>
      </c>
      <c r="Z136" s="116">
        <f t="shared" si="434"/>
        <v>5.1399999999998727</v>
      </c>
      <c r="AA136" s="116">
        <f t="shared" si="434"/>
        <v>0</v>
      </c>
      <c r="AB136" s="116">
        <f>AB119-AA119</f>
        <v>0</v>
      </c>
      <c r="AC136" s="116">
        <f t="shared" si="434"/>
        <v>0</v>
      </c>
      <c r="AD136" s="116">
        <f t="shared" si="434"/>
        <v>0</v>
      </c>
      <c r="AE136" s="116">
        <f t="shared" si="434"/>
        <v>0</v>
      </c>
      <c r="AF136" s="116">
        <f t="shared" si="434"/>
        <v>0</v>
      </c>
      <c r="AG136" s="116">
        <f>AG119-AF119</f>
        <v>0</v>
      </c>
      <c r="AH136" s="116">
        <f>AH119-AG119</f>
        <v>0</v>
      </c>
      <c r="AI136" s="116">
        <f t="shared" ref="AI136:CT136" si="435">AI119-AH119</f>
        <v>0</v>
      </c>
      <c r="AJ136" s="116">
        <f t="shared" si="435"/>
        <v>0</v>
      </c>
      <c r="AK136" s="287">
        <f t="shared" si="435"/>
        <v>0</v>
      </c>
      <c r="AL136" s="116">
        <f t="shared" si="435"/>
        <v>0</v>
      </c>
      <c r="AM136" s="287">
        <f t="shared" si="435"/>
        <v>0</v>
      </c>
      <c r="AN136" s="116">
        <f t="shared" si="435"/>
        <v>0</v>
      </c>
      <c r="AO136" s="116">
        <f t="shared" si="435"/>
        <v>0</v>
      </c>
      <c r="AP136" s="116">
        <f t="shared" si="435"/>
        <v>0</v>
      </c>
      <c r="AQ136" s="116">
        <f t="shared" si="435"/>
        <v>0</v>
      </c>
      <c r="AR136" s="116">
        <f t="shared" si="435"/>
        <v>0</v>
      </c>
      <c r="AS136" s="116">
        <f t="shared" si="435"/>
        <v>0</v>
      </c>
      <c r="AT136" s="116">
        <f t="shared" si="435"/>
        <v>0</v>
      </c>
      <c r="AU136" s="116">
        <f t="shared" si="435"/>
        <v>0</v>
      </c>
      <c r="AV136" s="116">
        <f t="shared" si="435"/>
        <v>0</v>
      </c>
      <c r="AW136" s="116">
        <f t="shared" si="435"/>
        <v>0</v>
      </c>
      <c r="AX136" s="116">
        <f t="shared" si="435"/>
        <v>0</v>
      </c>
      <c r="AY136" s="287">
        <f t="shared" si="435"/>
        <v>0</v>
      </c>
      <c r="AZ136" s="116">
        <f t="shared" si="435"/>
        <v>0</v>
      </c>
      <c r="BA136" s="116">
        <f t="shared" si="435"/>
        <v>0</v>
      </c>
      <c r="BB136" s="116">
        <f t="shared" si="435"/>
        <v>0</v>
      </c>
      <c r="BC136" s="116">
        <f t="shared" si="435"/>
        <v>0</v>
      </c>
      <c r="BD136" s="116">
        <f t="shared" si="435"/>
        <v>0</v>
      </c>
      <c r="BE136" s="116">
        <f t="shared" si="435"/>
        <v>0</v>
      </c>
      <c r="BF136" s="116">
        <f t="shared" si="435"/>
        <v>0</v>
      </c>
      <c r="BG136" s="116">
        <f t="shared" si="435"/>
        <v>0</v>
      </c>
      <c r="BH136" s="116">
        <f t="shared" si="435"/>
        <v>0</v>
      </c>
      <c r="BI136" s="116">
        <f t="shared" si="435"/>
        <v>0</v>
      </c>
      <c r="BJ136" s="116">
        <f t="shared" si="435"/>
        <v>0</v>
      </c>
      <c r="BK136" s="287">
        <f t="shared" si="435"/>
        <v>0</v>
      </c>
      <c r="BL136" s="116">
        <f t="shared" si="435"/>
        <v>0</v>
      </c>
      <c r="BM136" s="116">
        <f t="shared" si="435"/>
        <v>0</v>
      </c>
      <c r="BN136" s="116">
        <f t="shared" si="435"/>
        <v>0</v>
      </c>
      <c r="BO136" s="116">
        <f t="shared" si="435"/>
        <v>0</v>
      </c>
      <c r="BP136" s="116">
        <f t="shared" si="435"/>
        <v>0</v>
      </c>
      <c r="BQ136" s="116">
        <f t="shared" si="435"/>
        <v>0</v>
      </c>
      <c r="BR136" s="116">
        <f t="shared" si="435"/>
        <v>0</v>
      </c>
      <c r="BS136" s="116">
        <f t="shared" si="435"/>
        <v>0</v>
      </c>
      <c r="BT136" s="116">
        <f t="shared" si="435"/>
        <v>0</v>
      </c>
      <c r="BU136" s="116">
        <f t="shared" si="435"/>
        <v>0</v>
      </c>
      <c r="BV136" s="116">
        <f t="shared" si="435"/>
        <v>0</v>
      </c>
      <c r="BW136" s="287">
        <f t="shared" si="435"/>
        <v>0</v>
      </c>
      <c r="BX136" s="116">
        <f t="shared" si="435"/>
        <v>0</v>
      </c>
      <c r="BY136" s="116">
        <f t="shared" si="435"/>
        <v>0</v>
      </c>
      <c r="BZ136" s="116">
        <f t="shared" si="435"/>
        <v>0</v>
      </c>
      <c r="CA136" s="116">
        <f t="shared" si="435"/>
        <v>0</v>
      </c>
      <c r="CB136" s="116">
        <f t="shared" si="435"/>
        <v>0</v>
      </c>
      <c r="CC136" s="116">
        <f t="shared" si="435"/>
        <v>0</v>
      </c>
      <c r="CD136" s="116">
        <f t="shared" si="435"/>
        <v>0</v>
      </c>
      <c r="CE136" s="116">
        <f t="shared" si="435"/>
        <v>0</v>
      </c>
      <c r="CF136" s="116">
        <f t="shared" si="435"/>
        <v>0</v>
      </c>
      <c r="CG136" s="116">
        <f t="shared" si="435"/>
        <v>0</v>
      </c>
      <c r="CH136" s="116">
        <f t="shared" si="435"/>
        <v>0</v>
      </c>
      <c r="CI136" s="287">
        <f t="shared" si="435"/>
        <v>0</v>
      </c>
      <c r="CJ136" s="116">
        <f t="shared" si="435"/>
        <v>0</v>
      </c>
      <c r="CK136" s="116">
        <f t="shared" si="435"/>
        <v>0</v>
      </c>
      <c r="CL136" s="116">
        <f t="shared" si="435"/>
        <v>0</v>
      </c>
      <c r="CM136" s="116">
        <f t="shared" si="435"/>
        <v>0</v>
      </c>
      <c r="CN136" s="116">
        <f t="shared" si="435"/>
        <v>0</v>
      </c>
      <c r="CO136" s="116">
        <f t="shared" si="435"/>
        <v>0</v>
      </c>
      <c r="CP136" s="116">
        <f t="shared" si="435"/>
        <v>0</v>
      </c>
      <c r="CQ136" s="116">
        <f t="shared" si="435"/>
        <v>0</v>
      </c>
      <c r="CR136" s="116">
        <f t="shared" si="435"/>
        <v>0</v>
      </c>
      <c r="CS136" s="116">
        <f t="shared" si="435"/>
        <v>0</v>
      </c>
      <c r="CT136" s="116">
        <f t="shared" si="435"/>
        <v>0</v>
      </c>
      <c r="CU136" s="287">
        <f t="shared" ref="CU136:DG136" si="436">CU119-CT119</f>
        <v>0</v>
      </c>
      <c r="CV136" s="116">
        <f t="shared" si="436"/>
        <v>0</v>
      </c>
      <c r="CW136" s="116">
        <f t="shared" si="436"/>
        <v>0</v>
      </c>
      <c r="CX136" s="116">
        <f t="shared" si="436"/>
        <v>0</v>
      </c>
      <c r="CY136" s="116">
        <f t="shared" si="436"/>
        <v>0</v>
      </c>
      <c r="CZ136" s="116">
        <f t="shared" si="436"/>
        <v>0</v>
      </c>
      <c r="DA136" s="116">
        <f t="shared" si="436"/>
        <v>0</v>
      </c>
      <c r="DB136" s="116">
        <f t="shared" si="436"/>
        <v>0</v>
      </c>
      <c r="DC136" s="116">
        <f t="shared" si="436"/>
        <v>0</v>
      </c>
      <c r="DD136" s="116">
        <f t="shared" si="436"/>
        <v>0</v>
      </c>
      <c r="DE136" s="116">
        <f t="shared" si="436"/>
        <v>0</v>
      </c>
      <c r="DF136" s="116">
        <f t="shared" si="436"/>
        <v>0</v>
      </c>
      <c r="DG136" s="116">
        <f t="shared" si="436"/>
        <v>0</v>
      </c>
    </row>
    <row r="137" spans="1:111" x14ac:dyDescent="0.3">
      <c r="B137" s="1" t="s">
        <v>329</v>
      </c>
      <c r="E137" s="116">
        <f t="shared" ref="E137:AF137" si="437">+E120-D120</f>
        <v>0</v>
      </c>
      <c r="F137" s="116">
        <f t="shared" si="437"/>
        <v>0</v>
      </c>
      <c r="G137" s="116">
        <f t="shared" si="437"/>
        <v>0</v>
      </c>
      <c r="H137" s="116">
        <f t="shared" si="437"/>
        <v>0</v>
      </c>
      <c r="I137" s="116">
        <f t="shared" si="437"/>
        <v>0</v>
      </c>
      <c r="J137" s="116">
        <f t="shared" si="437"/>
        <v>0</v>
      </c>
      <c r="K137" s="116">
        <f t="shared" si="437"/>
        <v>0</v>
      </c>
      <c r="L137" s="116">
        <f t="shared" si="437"/>
        <v>0</v>
      </c>
      <c r="M137" s="116">
        <f t="shared" si="437"/>
        <v>0</v>
      </c>
      <c r="N137" s="116">
        <f t="shared" si="437"/>
        <v>0</v>
      </c>
      <c r="O137" s="116">
        <f t="shared" si="437"/>
        <v>0</v>
      </c>
      <c r="P137" s="116">
        <f t="shared" si="437"/>
        <v>0</v>
      </c>
      <c r="Q137" s="116">
        <f t="shared" si="437"/>
        <v>0</v>
      </c>
      <c r="R137" s="116">
        <f t="shared" si="437"/>
        <v>0</v>
      </c>
      <c r="S137" s="116">
        <f t="shared" si="437"/>
        <v>0</v>
      </c>
      <c r="T137" s="116">
        <f t="shared" si="437"/>
        <v>0</v>
      </c>
      <c r="U137" s="116">
        <f t="shared" si="437"/>
        <v>0</v>
      </c>
      <c r="V137" s="116">
        <f t="shared" si="437"/>
        <v>7.0000000000000007E-2</v>
      </c>
      <c r="W137" s="116">
        <f t="shared" si="437"/>
        <v>-2660.8500000000004</v>
      </c>
      <c r="X137" s="116">
        <f t="shared" si="437"/>
        <v>-9527.1999999999989</v>
      </c>
      <c r="Y137" s="116">
        <f t="shared" si="437"/>
        <v>-7380.43</v>
      </c>
      <c r="Z137" s="116">
        <f t="shared" si="437"/>
        <v>-7852.7000000000007</v>
      </c>
      <c r="AA137" s="116">
        <f t="shared" si="437"/>
        <v>-7459.0599999999977</v>
      </c>
      <c r="AB137" s="116">
        <f t="shared" si="437"/>
        <v>-3938.5400000000009</v>
      </c>
      <c r="AC137" s="116">
        <f t="shared" si="437"/>
        <v>-8462.4800000000032</v>
      </c>
      <c r="AD137" s="116">
        <f t="shared" si="437"/>
        <v>-9324.4599999999991</v>
      </c>
      <c r="AE137" s="116">
        <f t="shared" si="437"/>
        <v>-9893.7799999999916</v>
      </c>
      <c r="AF137" s="116">
        <f t="shared" si="437"/>
        <v>-9422.3400000000111</v>
      </c>
      <c r="AG137" s="116">
        <f t="shared" ref="AG137:CO137" si="438">+AG120-AF120</f>
        <v>-9543.6499999999942</v>
      </c>
      <c r="AH137" s="116">
        <f t="shared" si="438"/>
        <v>-10258.270000000004</v>
      </c>
      <c r="AI137" s="116">
        <f t="shared" si="438"/>
        <v>-7886.1300000000047</v>
      </c>
      <c r="AJ137" s="116">
        <f t="shared" si="438"/>
        <v>-6814.8199999999924</v>
      </c>
      <c r="AK137" s="287">
        <f t="shared" si="438"/>
        <v>-7269.5500000000029</v>
      </c>
      <c r="AL137" s="116">
        <f t="shared" si="438"/>
        <v>-6500</v>
      </c>
      <c r="AM137" s="287">
        <f t="shared" si="438"/>
        <v>-6500</v>
      </c>
      <c r="AN137" s="116">
        <f t="shared" si="438"/>
        <v>-6500</v>
      </c>
      <c r="AO137" s="116">
        <f t="shared" si="438"/>
        <v>-6500</v>
      </c>
      <c r="AP137" s="116">
        <f t="shared" si="438"/>
        <v>-6500</v>
      </c>
      <c r="AQ137" s="116">
        <f t="shared" si="438"/>
        <v>-6500</v>
      </c>
      <c r="AR137" s="116">
        <f t="shared" si="438"/>
        <v>-6500</v>
      </c>
      <c r="AS137" s="116">
        <f t="shared" si="438"/>
        <v>-6500</v>
      </c>
      <c r="AT137" s="116">
        <f t="shared" si="438"/>
        <v>-6500</v>
      </c>
      <c r="AU137" s="116">
        <f t="shared" si="438"/>
        <v>-6500</v>
      </c>
      <c r="AV137" s="116">
        <f t="shared" si="438"/>
        <v>-6500</v>
      </c>
      <c r="AW137" s="116">
        <f t="shared" si="438"/>
        <v>-6500</v>
      </c>
      <c r="AX137" s="116">
        <f t="shared" si="438"/>
        <v>-6500</v>
      </c>
      <c r="AY137" s="287">
        <f t="shared" si="438"/>
        <v>-6500</v>
      </c>
      <c r="AZ137" s="116">
        <f t="shared" si="438"/>
        <v>-6500</v>
      </c>
      <c r="BA137" s="116">
        <f t="shared" si="438"/>
        <v>-6500</v>
      </c>
      <c r="BB137" s="116">
        <f t="shared" si="438"/>
        <v>-6500</v>
      </c>
      <c r="BC137" s="116">
        <f t="shared" si="438"/>
        <v>-6500</v>
      </c>
      <c r="BD137" s="116">
        <f t="shared" si="438"/>
        <v>-6500</v>
      </c>
      <c r="BE137" s="116">
        <f t="shared" si="438"/>
        <v>-6500</v>
      </c>
      <c r="BF137" s="116">
        <f t="shared" si="438"/>
        <v>-6500</v>
      </c>
      <c r="BG137" s="116">
        <f t="shared" si="438"/>
        <v>-6500</v>
      </c>
      <c r="BH137" s="116">
        <f t="shared" si="438"/>
        <v>-6500</v>
      </c>
      <c r="BI137" s="116">
        <f t="shared" si="438"/>
        <v>-6500</v>
      </c>
      <c r="BJ137" s="116">
        <f t="shared" si="438"/>
        <v>-6500</v>
      </c>
      <c r="BK137" s="287">
        <f t="shared" si="438"/>
        <v>-6500</v>
      </c>
      <c r="BL137" s="116">
        <f t="shared" si="438"/>
        <v>-6500</v>
      </c>
      <c r="BM137" s="116">
        <f t="shared" si="438"/>
        <v>-6500</v>
      </c>
      <c r="BN137" s="116">
        <f t="shared" si="438"/>
        <v>-6500</v>
      </c>
      <c r="BO137" s="116">
        <f t="shared" si="438"/>
        <v>-6500</v>
      </c>
      <c r="BP137" s="116">
        <f t="shared" si="438"/>
        <v>-6500</v>
      </c>
      <c r="BQ137" s="116">
        <f t="shared" si="438"/>
        <v>-6500</v>
      </c>
      <c r="BR137" s="116">
        <f t="shared" si="438"/>
        <v>-6500</v>
      </c>
      <c r="BS137" s="116">
        <f t="shared" si="438"/>
        <v>-6500</v>
      </c>
      <c r="BT137" s="116">
        <f t="shared" si="438"/>
        <v>-6500</v>
      </c>
      <c r="BU137" s="116">
        <f t="shared" si="438"/>
        <v>-6500</v>
      </c>
      <c r="BV137" s="116">
        <f t="shared" si="438"/>
        <v>-6500</v>
      </c>
      <c r="BW137" s="287">
        <f t="shared" si="438"/>
        <v>-6500</v>
      </c>
      <c r="BX137" s="116">
        <f t="shared" si="438"/>
        <v>-6500</v>
      </c>
      <c r="BY137" s="116">
        <f t="shared" si="438"/>
        <v>-6500</v>
      </c>
      <c r="BZ137" s="116">
        <f t="shared" si="438"/>
        <v>-6500</v>
      </c>
      <c r="CA137" s="116">
        <f t="shared" si="438"/>
        <v>-6500</v>
      </c>
      <c r="CB137" s="116">
        <f t="shared" si="438"/>
        <v>-6500</v>
      </c>
      <c r="CC137" s="116">
        <f t="shared" si="438"/>
        <v>-6500</v>
      </c>
      <c r="CD137" s="116">
        <f t="shared" si="438"/>
        <v>-6500</v>
      </c>
      <c r="CE137" s="116">
        <f t="shared" si="438"/>
        <v>-6500</v>
      </c>
      <c r="CF137" s="116">
        <f t="shared" si="438"/>
        <v>-6500</v>
      </c>
      <c r="CG137" s="116">
        <f t="shared" si="438"/>
        <v>-6500</v>
      </c>
      <c r="CH137" s="116">
        <f t="shared" si="438"/>
        <v>-6500</v>
      </c>
      <c r="CI137" s="287">
        <f t="shared" si="438"/>
        <v>-6500</v>
      </c>
      <c r="CJ137" s="116">
        <f t="shared" si="438"/>
        <v>-6500</v>
      </c>
      <c r="CK137" s="116">
        <f t="shared" si="438"/>
        <v>-6500</v>
      </c>
      <c r="CL137" s="116">
        <f t="shared" si="438"/>
        <v>-6500</v>
      </c>
      <c r="CM137" s="116">
        <f t="shared" si="438"/>
        <v>-6500</v>
      </c>
      <c r="CN137" s="116">
        <f t="shared" si="438"/>
        <v>-6500</v>
      </c>
      <c r="CO137" s="116">
        <f t="shared" si="438"/>
        <v>-6500</v>
      </c>
      <c r="CP137" s="116">
        <f t="shared" ref="CP137:DG137" si="439">+CP120-CO120</f>
        <v>-6500</v>
      </c>
      <c r="CQ137" s="116">
        <f t="shared" si="439"/>
        <v>-6500</v>
      </c>
      <c r="CR137" s="116">
        <f t="shared" si="439"/>
        <v>-6500</v>
      </c>
      <c r="CS137" s="116">
        <f t="shared" si="439"/>
        <v>-6500</v>
      </c>
      <c r="CT137" s="116">
        <f t="shared" si="439"/>
        <v>-6500</v>
      </c>
      <c r="CU137" s="287">
        <f t="shared" si="439"/>
        <v>-6500</v>
      </c>
      <c r="CV137" s="116">
        <f t="shared" si="439"/>
        <v>-6499.9999999999418</v>
      </c>
      <c r="CW137" s="116">
        <f t="shared" si="439"/>
        <v>-6500</v>
      </c>
      <c r="CX137" s="116">
        <f t="shared" si="439"/>
        <v>-6500</v>
      </c>
      <c r="CY137" s="116">
        <f t="shared" si="439"/>
        <v>-6500</v>
      </c>
      <c r="CZ137" s="116">
        <f t="shared" si="439"/>
        <v>-6500</v>
      </c>
      <c r="DA137" s="116">
        <f t="shared" si="439"/>
        <v>-6500</v>
      </c>
      <c r="DB137" s="116">
        <f t="shared" si="439"/>
        <v>-6500</v>
      </c>
      <c r="DC137" s="116">
        <f t="shared" si="439"/>
        <v>-6500</v>
      </c>
      <c r="DD137" s="116">
        <f t="shared" si="439"/>
        <v>-6500</v>
      </c>
      <c r="DE137" s="116">
        <f t="shared" si="439"/>
        <v>-6500</v>
      </c>
      <c r="DF137" s="116">
        <f t="shared" si="439"/>
        <v>-6500</v>
      </c>
      <c r="DG137" s="116">
        <f t="shared" si="439"/>
        <v>-6500</v>
      </c>
    </row>
    <row r="138" spans="1:111" x14ac:dyDescent="0.3">
      <c r="A138" s="3"/>
      <c r="B138" s="4" t="s">
        <v>33</v>
      </c>
      <c r="C138" s="3"/>
      <c r="D138" s="10">
        <v>0</v>
      </c>
      <c r="E138" s="10">
        <f>E136</f>
        <v>0</v>
      </c>
      <c r="F138" s="10">
        <f t="shared" ref="F138:U138" si="440">F136</f>
        <v>0</v>
      </c>
      <c r="G138" s="10">
        <f t="shared" si="440"/>
        <v>0</v>
      </c>
      <c r="H138" s="10">
        <f t="shared" si="440"/>
        <v>0</v>
      </c>
      <c r="I138" s="10">
        <f t="shared" si="440"/>
        <v>0</v>
      </c>
      <c r="J138" s="10">
        <f t="shared" si="440"/>
        <v>0</v>
      </c>
      <c r="K138" s="10">
        <f t="shared" si="440"/>
        <v>0</v>
      </c>
      <c r="L138" s="10">
        <f t="shared" si="440"/>
        <v>0</v>
      </c>
      <c r="M138" s="10">
        <f t="shared" si="440"/>
        <v>0</v>
      </c>
      <c r="N138" s="10">
        <f t="shared" si="440"/>
        <v>0</v>
      </c>
      <c r="O138" s="10">
        <f t="shared" si="440"/>
        <v>0</v>
      </c>
      <c r="P138" s="10">
        <f>P136</f>
        <v>0</v>
      </c>
      <c r="Q138" s="10">
        <f t="shared" si="440"/>
        <v>0</v>
      </c>
      <c r="R138" s="10">
        <f t="shared" si="440"/>
        <v>0</v>
      </c>
      <c r="S138" s="10">
        <f t="shared" si="440"/>
        <v>0</v>
      </c>
      <c r="T138" s="10">
        <f t="shared" si="440"/>
        <v>0</v>
      </c>
      <c r="U138" s="10">
        <f t="shared" si="440"/>
        <v>0</v>
      </c>
      <c r="V138" s="10">
        <f>SUM(V136:V137)</f>
        <v>7.0000000000000007E-2</v>
      </c>
      <c r="W138" s="10">
        <f t="shared" ref="W138:CH138" si="441">SUM(W136:W137)</f>
        <v>-492.01000000000022</v>
      </c>
      <c r="X138" s="10">
        <f t="shared" si="441"/>
        <v>-9527.1999999999989</v>
      </c>
      <c r="Y138" s="10">
        <f t="shared" si="441"/>
        <v>-7380.43</v>
      </c>
      <c r="Z138" s="10">
        <f t="shared" si="441"/>
        <v>-7847.5600000000013</v>
      </c>
      <c r="AA138" s="10">
        <f t="shared" si="441"/>
        <v>-7459.0599999999977</v>
      </c>
      <c r="AB138" s="10">
        <f t="shared" si="441"/>
        <v>-3938.5400000000009</v>
      </c>
      <c r="AC138" s="10">
        <f t="shared" si="441"/>
        <v>-8462.4800000000032</v>
      </c>
      <c r="AD138" s="10">
        <f t="shared" si="441"/>
        <v>-9324.4599999999991</v>
      </c>
      <c r="AE138" s="10">
        <f t="shared" si="441"/>
        <v>-9893.7799999999916</v>
      </c>
      <c r="AF138" s="10">
        <f t="shared" si="441"/>
        <v>-9422.3400000000111</v>
      </c>
      <c r="AG138" s="10">
        <f t="shared" si="441"/>
        <v>-9543.6499999999942</v>
      </c>
      <c r="AH138" s="10">
        <f t="shared" si="441"/>
        <v>-10258.270000000004</v>
      </c>
      <c r="AI138" s="10">
        <f t="shared" si="441"/>
        <v>-7886.1300000000047</v>
      </c>
      <c r="AJ138" s="10">
        <f t="shared" si="441"/>
        <v>-6814.8199999999924</v>
      </c>
      <c r="AK138" s="296">
        <f t="shared" si="441"/>
        <v>-7269.5500000000029</v>
      </c>
      <c r="AL138" s="10">
        <f t="shared" si="441"/>
        <v>-6500</v>
      </c>
      <c r="AM138" s="296">
        <f t="shared" si="441"/>
        <v>-6500</v>
      </c>
      <c r="AN138" s="10">
        <f t="shared" si="441"/>
        <v>-6500</v>
      </c>
      <c r="AO138" s="10">
        <f t="shared" si="441"/>
        <v>-6500</v>
      </c>
      <c r="AP138" s="10">
        <f t="shared" si="441"/>
        <v>-6500</v>
      </c>
      <c r="AQ138" s="10">
        <f t="shared" si="441"/>
        <v>-6500</v>
      </c>
      <c r="AR138" s="10">
        <f t="shared" si="441"/>
        <v>-6500</v>
      </c>
      <c r="AS138" s="10">
        <f t="shared" si="441"/>
        <v>-6500</v>
      </c>
      <c r="AT138" s="10">
        <f t="shared" si="441"/>
        <v>-6500</v>
      </c>
      <c r="AU138" s="10">
        <f t="shared" si="441"/>
        <v>-6500</v>
      </c>
      <c r="AV138" s="10">
        <f t="shared" si="441"/>
        <v>-6500</v>
      </c>
      <c r="AW138" s="10">
        <f t="shared" si="441"/>
        <v>-6500</v>
      </c>
      <c r="AX138" s="10">
        <f t="shared" si="441"/>
        <v>-6500</v>
      </c>
      <c r="AY138" s="296">
        <f t="shared" si="441"/>
        <v>-6500</v>
      </c>
      <c r="AZ138" s="10">
        <f t="shared" si="441"/>
        <v>-6500</v>
      </c>
      <c r="BA138" s="10">
        <f t="shared" si="441"/>
        <v>-6500</v>
      </c>
      <c r="BB138" s="10">
        <f t="shared" si="441"/>
        <v>-6500</v>
      </c>
      <c r="BC138" s="10">
        <f t="shared" si="441"/>
        <v>-6500</v>
      </c>
      <c r="BD138" s="10">
        <f t="shared" si="441"/>
        <v>-6500</v>
      </c>
      <c r="BE138" s="10">
        <f t="shared" si="441"/>
        <v>-6500</v>
      </c>
      <c r="BF138" s="10">
        <f t="shared" si="441"/>
        <v>-6500</v>
      </c>
      <c r="BG138" s="10">
        <f t="shared" si="441"/>
        <v>-6500</v>
      </c>
      <c r="BH138" s="10">
        <f t="shared" si="441"/>
        <v>-6500</v>
      </c>
      <c r="BI138" s="10">
        <f t="shared" si="441"/>
        <v>-6500</v>
      </c>
      <c r="BJ138" s="10">
        <f t="shared" si="441"/>
        <v>-6500</v>
      </c>
      <c r="BK138" s="296">
        <f t="shared" si="441"/>
        <v>-6500</v>
      </c>
      <c r="BL138" s="10">
        <f t="shared" si="441"/>
        <v>-6500</v>
      </c>
      <c r="BM138" s="10">
        <f t="shared" si="441"/>
        <v>-6500</v>
      </c>
      <c r="BN138" s="10">
        <f t="shared" si="441"/>
        <v>-6500</v>
      </c>
      <c r="BO138" s="10">
        <f t="shared" si="441"/>
        <v>-6500</v>
      </c>
      <c r="BP138" s="10">
        <f t="shared" si="441"/>
        <v>-6500</v>
      </c>
      <c r="BQ138" s="10">
        <f t="shared" si="441"/>
        <v>-6500</v>
      </c>
      <c r="BR138" s="10">
        <f t="shared" si="441"/>
        <v>-6500</v>
      </c>
      <c r="BS138" s="10">
        <f t="shared" si="441"/>
        <v>-6500</v>
      </c>
      <c r="BT138" s="10">
        <f t="shared" si="441"/>
        <v>-6500</v>
      </c>
      <c r="BU138" s="10">
        <f t="shared" si="441"/>
        <v>-6500</v>
      </c>
      <c r="BV138" s="10">
        <f t="shared" si="441"/>
        <v>-6500</v>
      </c>
      <c r="BW138" s="296">
        <f t="shared" si="441"/>
        <v>-6500</v>
      </c>
      <c r="BX138" s="10">
        <f t="shared" si="441"/>
        <v>-6500</v>
      </c>
      <c r="BY138" s="10">
        <f t="shared" si="441"/>
        <v>-6500</v>
      </c>
      <c r="BZ138" s="10">
        <f t="shared" si="441"/>
        <v>-6500</v>
      </c>
      <c r="CA138" s="10">
        <f t="shared" si="441"/>
        <v>-6500</v>
      </c>
      <c r="CB138" s="10">
        <f t="shared" si="441"/>
        <v>-6500</v>
      </c>
      <c r="CC138" s="10">
        <f t="shared" si="441"/>
        <v>-6500</v>
      </c>
      <c r="CD138" s="10">
        <f t="shared" si="441"/>
        <v>-6500</v>
      </c>
      <c r="CE138" s="10">
        <f t="shared" si="441"/>
        <v>-6500</v>
      </c>
      <c r="CF138" s="10">
        <f t="shared" si="441"/>
        <v>-6500</v>
      </c>
      <c r="CG138" s="10">
        <f t="shared" si="441"/>
        <v>-6500</v>
      </c>
      <c r="CH138" s="10">
        <f t="shared" si="441"/>
        <v>-6500</v>
      </c>
      <c r="CI138" s="296">
        <f t="shared" ref="CI138:DG138" si="442">SUM(CI136:CI137)</f>
        <v>-6500</v>
      </c>
      <c r="CJ138" s="10">
        <f t="shared" si="442"/>
        <v>-6500</v>
      </c>
      <c r="CK138" s="10">
        <f t="shared" si="442"/>
        <v>-6500</v>
      </c>
      <c r="CL138" s="10">
        <f t="shared" si="442"/>
        <v>-6500</v>
      </c>
      <c r="CM138" s="10">
        <f t="shared" si="442"/>
        <v>-6500</v>
      </c>
      <c r="CN138" s="10">
        <f t="shared" si="442"/>
        <v>-6500</v>
      </c>
      <c r="CO138" s="10">
        <f t="shared" si="442"/>
        <v>-6500</v>
      </c>
      <c r="CP138" s="10">
        <f t="shared" si="442"/>
        <v>-6500</v>
      </c>
      <c r="CQ138" s="10">
        <f t="shared" si="442"/>
        <v>-6500</v>
      </c>
      <c r="CR138" s="10">
        <f t="shared" si="442"/>
        <v>-6500</v>
      </c>
      <c r="CS138" s="10">
        <f t="shared" si="442"/>
        <v>-6500</v>
      </c>
      <c r="CT138" s="10">
        <f t="shared" si="442"/>
        <v>-6500</v>
      </c>
      <c r="CU138" s="296">
        <f t="shared" si="442"/>
        <v>-6500</v>
      </c>
      <c r="CV138" s="10">
        <f t="shared" si="442"/>
        <v>-6499.9999999999418</v>
      </c>
      <c r="CW138" s="10">
        <f t="shared" si="442"/>
        <v>-6500</v>
      </c>
      <c r="CX138" s="10">
        <f t="shared" si="442"/>
        <v>-6500</v>
      </c>
      <c r="CY138" s="10">
        <f t="shared" si="442"/>
        <v>-6500</v>
      </c>
      <c r="CZ138" s="10">
        <f t="shared" si="442"/>
        <v>-6500</v>
      </c>
      <c r="DA138" s="10">
        <f t="shared" si="442"/>
        <v>-6500</v>
      </c>
      <c r="DB138" s="10">
        <f t="shared" si="442"/>
        <v>-6500</v>
      </c>
      <c r="DC138" s="10">
        <f t="shared" si="442"/>
        <v>-6500</v>
      </c>
      <c r="DD138" s="10">
        <f t="shared" si="442"/>
        <v>-6500</v>
      </c>
      <c r="DE138" s="10">
        <f t="shared" si="442"/>
        <v>-6500</v>
      </c>
      <c r="DF138" s="10">
        <f t="shared" si="442"/>
        <v>-6500</v>
      </c>
      <c r="DG138" s="10">
        <f t="shared" si="442"/>
        <v>-6500</v>
      </c>
    </row>
    <row r="139" spans="1:111" x14ac:dyDescent="0.3">
      <c r="AK139" s="286"/>
    </row>
    <row r="140" spans="1:111" x14ac:dyDescent="0.3">
      <c r="B140" s="1" t="s">
        <v>34</v>
      </c>
      <c r="D140" s="9">
        <f>D138+D133</f>
        <v>0</v>
      </c>
      <c r="E140" s="9">
        <f t="shared" ref="E140:BP140" si="443">E138+E133</f>
        <v>0</v>
      </c>
      <c r="F140" s="9">
        <f t="shared" si="443"/>
        <v>0</v>
      </c>
      <c r="G140" s="9">
        <f t="shared" si="443"/>
        <v>0</v>
      </c>
      <c r="H140" s="9">
        <f t="shared" si="443"/>
        <v>0</v>
      </c>
      <c r="I140" s="9">
        <f t="shared" si="443"/>
        <v>0</v>
      </c>
      <c r="J140" s="9">
        <f t="shared" si="443"/>
        <v>0</v>
      </c>
      <c r="K140" s="9">
        <f>K138+K133</f>
        <v>0</v>
      </c>
      <c r="L140" s="9">
        <f t="shared" si="443"/>
        <v>0</v>
      </c>
      <c r="M140" s="9">
        <f t="shared" si="443"/>
        <v>0</v>
      </c>
      <c r="N140" s="9">
        <f t="shared" si="443"/>
        <v>0</v>
      </c>
      <c r="O140" s="9">
        <f t="shared" si="443"/>
        <v>0</v>
      </c>
      <c r="P140" s="9">
        <f t="shared" si="443"/>
        <v>0</v>
      </c>
      <c r="Q140" s="9">
        <f t="shared" si="443"/>
        <v>0</v>
      </c>
      <c r="R140" s="9">
        <f t="shared" si="443"/>
        <v>0</v>
      </c>
      <c r="S140" s="9">
        <f t="shared" si="443"/>
        <v>0</v>
      </c>
      <c r="T140" s="9">
        <f t="shared" si="443"/>
        <v>0</v>
      </c>
      <c r="U140" s="9">
        <f t="shared" si="443"/>
        <v>0</v>
      </c>
      <c r="V140" s="9">
        <f t="shared" si="443"/>
        <v>7.0000000000000007E-2</v>
      </c>
      <c r="W140" s="9">
        <f t="shared" si="443"/>
        <v>1450.3899999999999</v>
      </c>
      <c r="X140" s="9">
        <f t="shared" si="443"/>
        <v>-1159.4300000000003</v>
      </c>
      <c r="Y140" s="9">
        <f t="shared" si="443"/>
        <v>240.85999999999967</v>
      </c>
      <c r="Z140" s="9">
        <f t="shared" si="443"/>
        <v>-111.56000000000222</v>
      </c>
      <c r="AA140" s="9">
        <f t="shared" ref="AA140:AF140" si="444">AA138+AA133</f>
        <v>2378.6400000000031</v>
      </c>
      <c r="AB140" s="9">
        <f t="shared" si="444"/>
        <v>-1776.5900000000011</v>
      </c>
      <c r="AC140" s="9">
        <f t="shared" si="444"/>
        <v>130.75999999999658</v>
      </c>
      <c r="AD140" s="9">
        <f t="shared" si="444"/>
        <v>-602.56999999999971</v>
      </c>
      <c r="AE140" s="9">
        <f t="shared" si="444"/>
        <v>224.28000000000793</v>
      </c>
      <c r="AF140" s="9">
        <f t="shared" si="444"/>
        <v>439.32999999998719</v>
      </c>
      <c r="AG140" s="9">
        <f t="shared" si="443"/>
        <v>976.28000000000611</v>
      </c>
      <c r="AH140" s="9">
        <f t="shared" si="443"/>
        <v>-1192.4300000000039</v>
      </c>
      <c r="AI140" s="9">
        <f t="shared" si="443"/>
        <v>753.13999999999578</v>
      </c>
      <c r="AJ140" s="9">
        <f t="shared" si="443"/>
        <v>-1493.3799999999928</v>
      </c>
      <c r="AK140" s="297">
        <f t="shared" si="443"/>
        <v>522.93999999999687</v>
      </c>
      <c r="AL140" s="9">
        <f t="shared" si="443"/>
        <v>591.23982958145098</v>
      </c>
      <c r="AM140" s="297">
        <f t="shared" si="443"/>
        <v>1985.287462097358</v>
      </c>
      <c r="AN140" s="9">
        <f t="shared" si="443"/>
        <v>-103.90097287950448</v>
      </c>
      <c r="AO140" s="9">
        <f t="shared" si="443"/>
        <v>-419.98523226544785</v>
      </c>
      <c r="AP140" s="9">
        <f t="shared" si="443"/>
        <v>1420.0279151877312</v>
      </c>
      <c r="AQ140" s="9">
        <f t="shared" si="443"/>
        <v>-807.0403671149561</v>
      </c>
      <c r="AR140" s="9">
        <f t="shared" si="443"/>
        <v>116.33795207536787</v>
      </c>
      <c r="AS140" s="9">
        <f t="shared" si="443"/>
        <v>2805.7478788084045</v>
      </c>
      <c r="AT140" s="9">
        <f t="shared" si="443"/>
        <v>2336.398917949211</v>
      </c>
      <c r="AU140" s="9">
        <f t="shared" si="443"/>
        <v>4356.004686053484</v>
      </c>
      <c r="AV140" s="9">
        <f t="shared" si="443"/>
        <v>4400.8419294752839</v>
      </c>
      <c r="AW140" s="9">
        <f t="shared" si="443"/>
        <v>3276.9652103307035</v>
      </c>
      <c r="AX140" s="9">
        <f t="shared" si="443"/>
        <v>4607.4857939437843</v>
      </c>
      <c r="AY140" s="297">
        <f t="shared" si="443"/>
        <v>7656.2556668718516</v>
      </c>
      <c r="AZ140" s="9">
        <f t="shared" si="443"/>
        <v>2698.0926937902623</v>
      </c>
      <c r="BA140" s="9">
        <f t="shared" si="443"/>
        <v>2822.6638997304835</v>
      </c>
      <c r="BB140" s="9">
        <f t="shared" si="443"/>
        <v>5721.0502325843263</v>
      </c>
      <c r="BC140" s="9">
        <f t="shared" si="443"/>
        <v>2277.7028185724994</v>
      </c>
      <c r="BD140" s="9">
        <f t="shared" si="443"/>
        <v>2495.3287752053729</v>
      </c>
      <c r="BE140" s="9">
        <f t="shared" si="443"/>
        <v>7012.2775248245543</v>
      </c>
      <c r="BF140" s="9">
        <f t="shared" si="443"/>
        <v>6241.2380397824963</v>
      </c>
      <c r="BG140" s="9">
        <f t="shared" si="443"/>
        <v>8105.3757970651004</v>
      </c>
      <c r="BH140" s="9">
        <f t="shared" si="443"/>
        <v>8244.937542200094</v>
      </c>
      <c r="BI140" s="9">
        <f t="shared" si="443"/>
        <v>6145.9349590820402</v>
      </c>
      <c r="BJ140" s="9">
        <f t="shared" si="443"/>
        <v>10594.488842053834</v>
      </c>
      <c r="BK140" s="297">
        <f t="shared" si="443"/>
        <v>12216.485636481069</v>
      </c>
      <c r="BL140" s="9">
        <f t="shared" si="443"/>
        <v>5399.5140342202139</v>
      </c>
      <c r="BM140" s="9">
        <f t="shared" si="443"/>
        <v>6366.58795828445</v>
      </c>
      <c r="BN140" s="9">
        <f t="shared" si="443"/>
        <v>10749.043391650241</v>
      </c>
      <c r="BO140" s="9">
        <f t="shared" si="443"/>
        <v>5555.5147449593096</v>
      </c>
      <c r="BP140" s="9">
        <f t="shared" si="443"/>
        <v>5659.5618428312955</v>
      </c>
      <c r="BQ140" s="9">
        <f t="shared" ref="BQ140:DG140" si="445">BQ138+BQ133</f>
        <v>11014.630013365942</v>
      </c>
      <c r="BR140" s="9">
        <f t="shared" si="445"/>
        <v>9109.0667413006049</v>
      </c>
      <c r="BS140" s="9">
        <f t="shared" si="445"/>
        <v>12193.11317827024</v>
      </c>
      <c r="BT140" s="9">
        <f t="shared" si="445"/>
        <v>11674.290438523403</v>
      </c>
      <c r="BU140" s="9">
        <f t="shared" si="445"/>
        <v>9050.4826804121221</v>
      </c>
      <c r="BV140" s="9">
        <f t="shared" si="445"/>
        <v>14774.024382663913</v>
      </c>
      <c r="BW140" s="297">
        <f t="shared" si="445"/>
        <v>16266.585811052104</v>
      </c>
      <c r="BX140" s="9">
        <f t="shared" si="445"/>
        <v>9122.8719754053891</v>
      </c>
      <c r="BY140" s="9">
        <f t="shared" si="445"/>
        <v>11462.376541896934</v>
      </c>
      <c r="BZ140" s="9">
        <f t="shared" si="445"/>
        <v>14225.852337892775</v>
      </c>
      <c r="CA140" s="9">
        <f t="shared" si="445"/>
        <v>7455.064992556483</v>
      </c>
      <c r="CB140" s="9">
        <f t="shared" si="445"/>
        <v>11052.927340464154</v>
      </c>
      <c r="CC140" s="9">
        <f t="shared" si="445"/>
        <v>14123.921935776973</v>
      </c>
      <c r="CD140" s="9">
        <f t="shared" si="445"/>
        <v>11945.26831295525</v>
      </c>
      <c r="CE140" s="9">
        <f t="shared" si="445"/>
        <v>16339.534996009446</v>
      </c>
      <c r="CF140" s="9">
        <f t="shared" si="445"/>
        <v>14276.065319498481</v>
      </c>
      <c r="CG140" s="9">
        <f t="shared" si="445"/>
        <v>13160.558279244</v>
      </c>
      <c r="CH140" s="9">
        <f t="shared" si="445"/>
        <v>18842.824805041455</v>
      </c>
      <c r="CI140" s="297">
        <f t="shared" si="445"/>
        <v>18825.459730179904</v>
      </c>
      <c r="CJ140" s="9">
        <f t="shared" si="445"/>
        <v>14338.241747537977</v>
      </c>
      <c r="CK140" s="9">
        <f t="shared" si="445"/>
        <v>14024.576842491777</v>
      </c>
      <c r="CL140" s="9">
        <f t="shared" si="445"/>
        <v>17065.791526854471</v>
      </c>
      <c r="CM140" s="9">
        <f t="shared" si="445"/>
        <v>12247.929852499343</v>
      </c>
      <c r="CN140" s="9">
        <f t="shared" si="445"/>
        <v>14358.26160253361</v>
      </c>
      <c r="CO140" s="9">
        <f t="shared" si="445"/>
        <v>16690.269349819719</v>
      </c>
      <c r="CP140" s="9">
        <f t="shared" si="445"/>
        <v>15554.939963103923</v>
      </c>
      <c r="CQ140" s="9">
        <f t="shared" si="445"/>
        <v>20177.425270767118</v>
      </c>
      <c r="CR140" s="9">
        <f t="shared" si="445"/>
        <v>16739.371451201343</v>
      </c>
      <c r="CS140" s="9">
        <f t="shared" si="445"/>
        <v>17154.789856862386</v>
      </c>
      <c r="CT140" s="9">
        <f t="shared" si="445"/>
        <v>23297.912686182717</v>
      </c>
      <c r="CU140" s="297">
        <f t="shared" si="445"/>
        <v>23360.228915049258</v>
      </c>
      <c r="CV140" s="9">
        <f t="shared" si="445"/>
        <v>17878.265267220857</v>
      </c>
      <c r="CW140" s="9">
        <f t="shared" si="445"/>
        <v>17477.9504126133</v>
      </c>
      <c r="CX140" s="9">
        <f t="shared" si="445"/>
        <v>20058.659323877178</v>
      </c>
      <c r="CY140" s="9">
        <f t="shared" si="445"/>
        <v>16311.590622332555</v>
      </c>
      <c r="CZ140" s="9">
        <f t="shared" si="445"/>
        <v>17768.762902689305</v>
      </c>
      <c r="DA140" s="9">
        <f t="shared" si="445"/>
        <v>19364.376603377656</v>
      </c>
      <c r="DB140" s="9">
        <f t="shared" si="445"/>
        <v>19958.056698534936</v>
      </c>
      <c r="DC140" s="9">
        <f t="shared" si="445"/>
        <v>23444.54568674264</v>
      </c>
      <c r="DD140" s="9">
        <f t="shared" si="445"/>
        <v>21594.635300736456</v>
      </c>
      <c r="DE140" s="9">
        <f t="shared" si="445"/>
        <v>21009.555206781239</v>
      </c>
      <c r="DF140" s="9">
        <f t="shared" si="445"/>
        <v>27047.104740174029</v>
      </c>
      <c r="DG140" s="9">
        <f t="shared" si="445"/>
        <v>29993.08553332727</v>
      </c>
    </row>
    <row r="141" spans="1:111" x14ac:dyDescent="0.3">
      <c r="AK141" s="286"/>
    </row>
    <row r="142" spans="1:111" x14ac:dyDescent="0.3">
      <c r="B142" s="1" t="s">
        <v>35</v>
      </c>
      <c r="D142" s="9">
        <v>0</v>
      </c>
      <c r="E142" s="9">
        <f>D143</f>
        <v>0</v>
      </c>
      <c r="F142" s="9">
        <f t="shared" ref="F142:BQ142" si="446">E143</f>
        <v>0</v>
      </c>
      <c r="G142" s="9">
        <f t="shared" si="446"/>
        <v>0</v>
      </c>
      <c r="H142" s="9">
        <f t="shared" si="446"/>
        <v>0</v>
      </c>
      <c r="I142" s="9">
        <f t="shared" si="446"/>
        <v>0</v>
      </c>
      <c r="J142" s="9">
        <f>I143</f>
        <v>0</v>
      </c>
      <c r="K142" s="9">
        <f t="shared" si="446"/>
        <v>0</v>
      </c>
      <c r="L142" s="9">
        <f t="shared" si="446"/>
        <v>0</v>
      </c>
      <c r="M142" s="9">
        <f t="shared" si="446"/>
        <v>0</v>
      </c>
      <c r="N142" s="9">
        <f t="shared" si="446"/>
        <v>0</v>
      </c>
      <c r="O142" s="9">
        <f t="shared" si="446"/>
        <v>0</v>
      </c>
      <c r="P142" s="9">
        <f>O143</f>
        <v>0</v>
      </c>
      <c r="Q142" s="9">
        <f t="shared" si="446"/>
        <v>0</v>
      </c>
      <c r="R142" s="9">
        <f t="shared" si="446"/>
        <v>0</v>
      </c>
      <c r="S142" s="9">
        <f t="shared" si="446"/>
        <v>0</v>
      </c>
      <c r="T142" s="9">
        <f t="shared" si="446"/>
        <v>0</v>
      </c>
      <c r="U142" s="9">
        <f t="shared" si="446"/>
        <v>0</v>
      </c>
      <c r="V142" s="9">
        <f>U143</f>
        <v>0</v>
      </c>
      <c r="W142" s="9">
        <f t="shared" si="446"/>
        <v>7.0000000000000007E-2</v>
      </c>
      <c r="X142" s="9">
        <f t="shared" si="446"/>
        <v>1450.4599999999998</v>
      </c>
      <c r="Y142" s="9">
        <f t="shared" si="446"/>
        <v>291.02999999999952</v>
      </c>
      <c r="Z142" s="9">
        <f t="shared" si="446"/>
        <v>531.88999999999919</v>
      </c>
      <c r="AA142" s="9">
        <f t="shared" si="446"/>
        <v>420.32999999999697</v>
      </c>
      <c r="AB142" s="9">
        <f>AA143</f>
        <v>2798.9700000000003</v>
      </c>
      <c r="AC142" s="9">
        <f>AB143</f>
        <v>1022.3799999999992</v>
      </c>
      <c r="AD142" s="9">
        <f>AC143</f>
        <v>1153.1399999999958</v>
      </c>
      <c r="AE142" s="9">
        <f>AD143</f>
        <v>550.56999999999607</v>
      </c>
      <c r="AF142" s="9">
        <f>AE143</f>
        <v>774.850000000004</v>
      </c>
      <c r="AG142" s="9">
        <f t="shared" si="446"/>
        <v>1214.1799999999912</v>
      </c>
      <c r="AH142" s="9">
        <f t="shared" si="446"/>
        <v>2190.4599999999973</v>
      </c>
      <c r="AI142" s="9">
        <f t="shared" si="446"/>
        <v>998.02999999999338</v>
      </c>
      <c r="AJ142" s="9">
        <f t="shared" si="446"/>
        <v>1751.1699999999892</v>
      </c>
      <c r="AK142" s="297">
        <f t="shared" si="446"/>
        <v>257.78999999999633</v>
      </c>
      <c r="AL142" s="9">
        <f t="shared" si="446"/>
        <v>780.7299999999932</v>
      </c>
      <c r="AM142" s="297">
        <f t="shared" si="446"/>
        <v>1371.9698295814442</v>
      </c>
      <c r="AN142" s="9">
        <f t="shared" si="446"/>
        <v>3357.2572916788022</v>
      </c>
      <c r="AO142" s="9">
        <f t="shared" si="446"/>
        <v>3253.3563187992977</v>
      </c>
      <c r="AP142" s="9">
        <f t="shared" si="446"/>
        <v>2833.3710865338498</v>
      </c>
      <c r="AQ142" s="9">
        <f t="shared" si="446"/>
        <v>4253.399001721581</v>
      </c>
      <c r="AR142" s="9">
        <f t="shared" si="446"/>
        <v>3446.3586346066249</v>
      </c>
      <c r="AS142" s="9">
        <f t="shared" si="446"/>
        <v>3562.6965866819928</v>
      </c>
      <c r="AT142" s="9">
        <f t="shared" si="446"/>
        <v>6368.4444654903973</v>
      </c>
      <c r="AU142" s="9">
        <f t="shared" si="446"/>
        <v>8704.8433834396092</v>
      </c>
      <c r="AV142" s="9">
        <f t="shared" si="446"/>
        <v>13060.848069493093</v>
      </c>
      <c r="AW142" s="9">
        <f t="shared" si="446"/>
        <v>17461.689998968377</v>
      </c>
      <c r="AX142" s="9">
        <f t="shared" si="446"/>
        <v>20738.655209299082</v>
      </c>
      <c r="AY142" s="297">
        <f t="shared" si="446"/>
        <v>25346.141003242868</v>
      </c>
      <c r="AZ142" s="9">
        <f t="shared" si="446"/>
        <v>33002.396670114722</v>
      </c>
      <c r="BA142" s="9">
        <f t="shared" si="446"/>
        <v>35700.489363904984</v>
      </c>
      <c r="BB142" s="9">
        <f t="shared" si="446"/>
        <v>38523.153263635468</v>
      </c>
      <c r="BC142" s="9">
        <f t="shared" si="446"/>
        <v>44244.203496219794</v>
      </c>
      <c r="BD142" s="9">
        <f t="shared" si="446"/>
        <v>46521.906314792293</v>
      </c>
      <c r="BE142" s="9">
        <f t="shared" si="446"/>
        <v>49017.235089997666</v>
      </c>
      <c r="BF142" s="9">
        <f t="shared" si="446"/>
        <v>56029.512614822219</v>
      </c>
      <c r="BG142" s="9">
        <f t="shared" si="446"/>
        <v>62270.750654604715</v>
      </c>
      <c r="BH142" s="9">
        <f t="shared" si="446"/>
        <v>70376.126451669814</v>
      </c>
      <c r="BI142" s="9">
        <f t="shared" si="446"/>
        <v>78621.063993869902</v>
      </c>
      <c r="BJ142" s="9">
        <f t="shared" si="446"/>
        <v>84766.998952951937</v>
      </c>
      <c r="BK142" s="297">
        <f t="shared" si="446"/>
        <v>95361.487795005771</v>
      </c>
      <c r="BL142" s="9">
        <f t="shared" si="446"/>
        <v>107577.97343148684</v>
      </c>
      <c r="BM142" s="9">
        <f t="shared" si="446"/>
        <v>112977.48746570706</v>
      </c>
      <c r="BN142" s="9">
        <f t="shared" si="446"/>
        <v>119344.07542399151</v>
      </c>
      <c r="BO142" s="9">
        <f t="shared" si="446"/>
        <v>130093.11881564175</v>
      </c>
      <c r="BP142" s="9">
        <f t="shared" si="446"/>
        <v>135648.63356060107</v>
      </c>
      <c r="BQ142" s="9">
        <f t="shared" si="446"/>
        <v>141308.19540343236</v>
      </c>
      <c r="BR142" s="9">
        <f t="shared" ref="BR142:DG142" si="447">BQ143</f>
        <v>152322.8254167983</v>
      </c>
      <c r="BS142" s="9">
        <f t="shared" si="447"/>
        <v>161431.8921580989</v>
      </c>
      <c r="BT142" s="9">
        <f t="shared" si="447"/>
        <v>173625.00533636913</v>
      </c>
      <c r="BU142" s="9">
        <f t="shared" si="447"/>
        <v>185299.29577489253</v>
      </c>
      <c r="BV142" s="9">
        <f t="shared" si="447"/>
        <v>194349.77845530465</v>
      </c>
      <c r="BW142" s="297">
        <f t="shared" si="447"/>
        <v>209123.80283796857</v>
      </c>
      <c r="BX142" s="9">
        <f t="shared" si="447"/>
        <v>225390.38864902066</v>
      </c>
      <c r="BY142" s="9">
        <f t="shared" si="447"/>
        <v>234513.26062442607</v>
      </c>
      <c r="BZ142" s="9">
        <f t="shared" si="447"/>
        <v>245975.63716632299</v>
      </c>
      <c r="CA142" s="9">
        <f t="shared" si="447"/>
        <v>260201.48950421577</v>
      </c>
      <c r="CB142" s="9">
        <f t="shared" si="447"/>
        <v>267656.55449677224</v>
      </c>
      <c r="CC142" s="9">
        <f t="shared" si="447"/>
        <v>278709.48183723638</v>
      </c>
      <c r="CD142" s="9">
        <f t="shared" si="447"/>
        <v>292833.40377301333</v>
      </c>
      <c r="CE142" s="9">
        <f t="shared" si="447"/>
        <v>304778.6720859686</v>
      </c>
      <c r="CF142" s="9">
        <f t="shared" si="447"/>
        <v>321118.20708197803</v>
      </c>
      <c r="CG142" s="9">
        <f t="shared" si="447"/>
        <v>335394.27240147651</v>
      </c>
      <c r="CH142" s="9">
        <f t="shared" si="447"/>
        <v>348554.83068072051</v>
      </c>
      <c r="CI142" s="297">
        <f t="shared" si="447"/>
        <v>367397.65548576193</v>
      </c>
      <c r="CJ142" s="9">
        <f t="shared" si="447"/>
        <v>386223.11521594186</v>
      </c>
      <c r="CK142" s="9">
        <f t="shared" si="447"/>
        <v>400561.35696347983</v>
      </c>
      <c r="CL142" s="9">
        <f t="shared" si="447"/>
        <v>414585.93380597164</v>
      </c>
      <c r="CM142" s="9">
        <f t="shared" si="447"/>
        <v>431651.72533282608</v>
      </c>
      <c r="CN142" s="9">
        <f t="shared" si="447"/>
        <v>443899.65518532542</v>
      </c>
      <c r="CO142" s="9">
        <f t="shared" si="447"/>
        <v>458257.91678785905</v>
      </c>
      <c r="CP142" s="9">
        <f t="shared" si="447"/>
        <v>474948.1861376788</v>
      </c>
      <c r="CQ142" s="9">
        <f t="shared" si="447"/>
        <v>490503.12610078271</v>
      </c>
      <c r="CR142" s="9">
        <f t="shared" si="447"/>
        <v>510680.55137154984</v>
      </c>
      <c r="CS142" s="9">
        <f t="shared" si="447"/>
        <v>527419.92282275122</v>
      </c>
      <c r="CT142" s="9">
        <f t="shared" si="447"/>
        <v>544574.71267961361</v>
      </c>
      <c r="CU142" s="297">
        <f t="shared" si="447"/>
        <v>567872.62536579638</v>
      </c>
      <c r="CV142" s="9">
        <f t="shared" si="447"/>
        <v>591232.85428084561</v>
      </c>
      <c r="CW142" s="9">
        <f t="shared" si="447"/>
        <v>609111.11954806652</v>
      </c>
      <c r="CX142" s="9">
        <f t="shared" si="447"/>
        <v>626589.06996067986</v>
      </c>
      <c r="CY142" s="9">
        <f t="shared" si="447"/>
        <v>646647.72928455705</v>
      </c>
      <c r="CZ142" s="9">
        <f t="shared" si="447"/>
        <v>662959.31990688958</v>
      </c>
      <c r="DA142" s="9">
        <f t="shared" si="447"/>
        <v>680728.08280957886</v>
      </c>
      <c r="DB142" s="9">
        <f t="shared" si="447"/>
        <v>700092.45941295649</v>
      </c>
      <c r="DC142" s="9">
        <f t="shared" si="447"/>
        <v>720050.51611149148</v>
      </c>
      <c r="DD142" s="9">
        <f t="shared" si="447"/>
        <v>743495.06179823412</v>
      </c>
      <c r="DE142" s="9">
        <f t="shared" si="447"/>
        <v>765089.69709897053</v>
      </c>
      <c r="DF142" s="9">
        <f t="shared" si="447"/>
        <v>786099.25230575178</v>
      </c>
      <c r="DG142" s="9">
        <f t="shared" si="447"/>
        <v>813146.3570459258</v>
      </c>
    </row>
    <row r="143" spans="1:111" x14ac:dyDescent="0.3">
      <c r="B143" s="1" t="s">
        <v>36</v>
      </c>
      <c r="D143" s="9">
        <v>0</v>
      </c>
      <c r="E143" s="9">
        <f>E142+E140</f>
        <v>0</v>
      </c>
      <c r="F143" s="9">
        <f t="shared" ref="F143:BQ143" si="448">F142+F140</f>
        <v>0</v>
      </c>
      <c r="G143" s="9">
        <f t="shared" si="448"/>
        <v>0</v>
      </c>
      <c r="H143" s="9">
        <f t="shared" si="448"/>
        <v>0</v>
      </c>
      <c r="I143" s="9">
        <f t="shared" si="448"/>
        <v>0</v>
      </c>
      <c r="J143" s="9">
        <f t="shared" si="448"/>
        <v>0</v>
      </c>
      <c r="K143" s="9">
        <f t="shared" si="448"/>
        <v>0</v>
      </c>
      <c r="L143" s="9">
        <f t="shared" si="448"/>
        <v>0</v>
      </c>
      <c r="M143" s="9">
        <f t="shared" si="448"/>
        <v>0</v>
      </c>
      <c r="N143" s="9">
        <f t="shared" si="448"/>
        <v>0</v>
      </c>
      <c r="O143" s="9">
        <f t="shared" si="448"/>
        <v>0</v>
      </c>
      <c r="P143" s="9">
        <f>P142+P140</f>
        <v>0</v>
      </c>
      <c r="Q143" s="9">
        <f t="shared" si="448"/>
        <v>0</v>
      </c>
      <c r="R143" s="9">
        <f t="shared" si="448"/>
        <v>0</v>
      </c>
      <c r="S143" s="9">
        <f t="shared" si="448"/>
        <v>0</v>
      </c>
      <c r="T143" s="9">
        <f t="shared" si="448"/>
        <v>0</v>
      </c>
      <c r="U143" s="9">
        <f t="shared" si="448"/>
        <v>0</v>
      </c>
      <c r="V143" s="9">
        <f t="shared" si="448"/>
        <v>7.0000000000000007E-2</v>
      </c>
      <c r="W143" s="9">
        <f t="shared" si="448"/>
        <v>1450.4599999999998</v>
      </c>
      <c r="X143" s="9">
        <f t="shared" si="448"/>
        <v>291.02999999999952</v>
      </c>
      <c r="Y143" s="9">
        <f t="shared" si="448"/>
        <v>531.88999999999919</v>
      </c>
      <c r="Z143" s="9">
        <f t="shared" si="448"/>
        <v>420.32999999999697</v>
      </c>
      <c r="AA143" s="9">
        <f t="shared" ref="AA143:AF143" si="449">AA142+AA140</f>
        <v>2798.9700000000003</v>
      </c>
      <c r="AB143" s="9">
        <f t="shared" si="449"/>
        <v>1022.3799999999992</v>
      </c>
      <c r="AC143" s="9">
        <f t="shared" si="449"/>
        <v>1153.1399999999958</v>
      </c>
      <c r="AD143" s="9">
        <f t="shared" si="449"/>
        <v>550.56999999999607</v>
      </c>
      <c r="AE143" s="9">
        <f t="shared" si="449"/>
        <v>774.850000000004</v>
      </c>
      <c r="AF143" s="9">
        <f t="shared" si="449"/>
        <v>1214.1799999999912</v>
      </c>
      <c r="AG143" s="9">
        <f t="shared" si="448"/>
        <v>2190.4599999999973</v>
      </c>
      <c r="AH143" s="9">
        <f t="shared" si="448"/>
        <v>998.02999999999338</v>
      </c>
      <c r="AI143" s="9">
        <f t="shared" si="448"/>
        <v>1751.1699999999892</v>
      </c>
      <c r="AJ143" s="9">
        <f t="shared" si="448"/>
        <v>257.78999999999633</v>
      </c>
      <c r="AK143" s="297">
        <f t="shared" si="448"/>
        <v>780.7299999999932</v>
      </c>
      <c r="AL143" s="9">
        <f t="shared" si="448"/>
        <v>1371.9698295814442</v>
      </c>
      <c r="AM143" s="297">
        <f t="shared" si="448"/>
        <v>3357.2572916788022</v>
      </c>
      <c r="AN143" s="9">
        <f t="shared" si="448"/>
        <v>3253.3563187992977</v>
      </c>
      <c r="AO143" s="9">
        <f t="shared" si="448"/>
        <v>2833.3710865338498</v>
      </c>
      <c r="AP143" s="9">
        <f t="shared" si="448"/>
        <v>4253.399001721581</v>
      </c>
      <c r="AQ143" s="9">
        <f t="shared" si="448"/>
        <v>3446.3586346066249</v>
      </c>
      <c r="AR143" s="9">
        <f t="shared" si="448"/>
        <v>3562.6965866819928</v>
      </c>
      <c r="AS143" s="9">
        <f t="shared" si="448"/>
        <v>6368.4444654903973</v>
      </c>
      <c r="AT143" s="9">
        <f t="shared" si="448"/>
        <v>8704.8433834396092</v>
      </c>
      <c r="AU143" s="9">
        <f t="shared" si="448"/>
        <v>13060.848069493093</v>
      </c>
      <c r="AV143" s="9">
        <f t="shared" si="448"/>
        <v>17461.689998968377</v>
      </c>
      <c r="AW143" s="9">
        <f t="shared" si="448"/>
        <v>20738.655209299082</v>
      </c>
      <c r="AX143" s="9">
        <f t="shared" si="448"/>
        <v>25346.141003242868</v>
      </c>
      <c r="AY143" s="297">
        <f t="shared" si="448"/>
        <v>33002.396670114722</v>
      </c>
      <c r="AZ143" s="9">
        <f t="shared" si="448"/>
        <v>35700.489363904984</v>
      </c>
      <c r="BA143" s="9">
        <f t="shared" si="448"/>
        <v>38523.153263635468</v>
      </c>
      <c r="BB143" s="9">
        <f t="shared" si="448"/>
        <v>44244.203496219794</v>
      </c>
      <c r="BC143" s="9">
        <f t="shared" si="448"/>
        <v>46521.906314792293</v>
      </c>
      <c r="BD143" s="9">
        <f t="shared" si="448"/>
        <v>49017.235089997666</v>
      </c>
      <c r="BE143" s="9">
        <f t="shared" si="448"/>
        <v>56029.512614822219</v>
      </c>
      <c r="BF143" s="9">
        <f t="shared" si="448"/>
        <v>62270.750654604715</v>
      </c>
      <c r="BG143" s="9">
        <f t="shared" si="448"/>
        <v>70376.126451669814</v>
      </c>
      <c r="BH143" s="9">
        <f t="shared" si="448"/>
        <v>78621.063993869902</v>
      </c>
      <c r="BI143" s="9">
        <f t="shared" si="448"/>
        <v>84766.998952951937</v>
      </c>
      <c r="BJ143" s="9">
        <f t="shared" si="448"/>
        <v>95361.487795005771</v>
      </c>
      <c r="BK143" s="297">
        <f t="shared" si="448"/>
        <v>107577.97343148684</v>
      </c>
      <c r="BL143" s="9">
        <f t="shared" si="448"/>
        <v>112977.48746570706</v>
      </c>
      <c r="BM143" s="9">
        <f t="shared" si="448"/>
        <v>119344.07542399151</v>
      </c>
      <c r="BN143" s="9">
        <f t="shared" si="448"/>
        <v>130093.11881564175</v>
      </c>
      <c r="BO143" s="9">
        <f t="shared" si="448"/>
        <v>135648.63356060107</v>
      </c>
      <c r="BP143" s="9">
        <f t="shared" si="448"/>
        <v>141308.19540343236</v>
      </c>
      <c r="BQ143" s="9">
        <f t="shared" si="448"/>
        <v>152322.8254167983</v>
      </c>
      <c r="BR143" s="9">
        <f t="shared" ref="BR143:DG143" si="450">BR142+BR140</f>
        <v>161431.8921580989</v>
      </c>
      <c r="BS143" s="9">
        <f t="shared" si="450"/>
        <v>173625.00533636913</v>
      </c>
      <c r="BT143" s="9">
        <f t="shared" si="450"/>
        <v>185299.29577489253</v>
      </c>
      <c r="BU143" s="9">
        <f t="shared" si="450"/>
        <v>194349.77845530465</v>
      </c>
      <c r="BV143" s="9">
        <f t="shared" si="450"/>
        <v>209123.80283796857</v>
      </c>
      <c r="BW143" s="297">
        <f t="shared" si="450"/>
        <v>225390.38864902066</v>
      </c>
      <c r="BX143" s="9">
        <f t="shared" si="450"/>
        <v>234513.26062442607</v>
      </c>
      <c r="BY143" s="9">
        <f t="shared" si="450"/>
        <v>245975.63716632299</v>
      </c>
      <c r="BZ143" s="9">
        <f t="shared" si="450"/>
        <v>260201.48950421577</v>
      </c>
      <c r="CA143" s="9">
        <f t="shared" si="450"/>
        <v>267656.55449677224</v>
      </c>
      <c r="CB143" s="9">
        <f t="shared" si="450"/>
        <v>278709.48183723638</v>
      </c>
      <c r="CC143" s="9">
        <f t="shared" si="450"/>
        <v>292833.40377301333</v>
      </c>
      <c r="CD143" s="9">
        <f t="shared" si="450"/>
        <v>304778.6720859686</v>
      </c>
      <c r="CE143" s="9">
        <f t="shared" si="450"/>
        <v>321118.20708197803</v>
      </c>
      <c r="CF143" s="9">
        <f t="shared" si="450"/>
        <v>335394.27240147651</v>
      </c>
      <c r="CG143" s="9">
        <f t="shared" si="450"/>
        <v>348554.83068072051</v>
      </c>
      <c r="CH143" s="9">
        <f t="shared" si="450"/>
        <v>367397.65548576193</v>
      </c>
      <c r="CI143" s="297">
        <f t="shared" si="450"/>
        <v>386223.11521594186</v>
      </c>
      <c r="CJ143" s="9">
        <f t="shared" si="450"/>
        <v>400561.35696347983</v>
      </c>
      <c r="CK143" s="9">
        <f t="shared" si="450"/>
        <v>414585.93380597164</v>
      </c>
      <c r="CL143" s="9">
        <f t="shared" si="450"/>
        <v>431651.72533282608</v>
      </c>
      <c r="CM143" s="9">
        <f t="shared" si="450"/>
        <v>443899.65518532542</v>
      </c>
      <c r="CN143" s="9">
        <f t="shared" si="450"/>
        <v>458257.91678785905</v>
      </c>
      <c r="CO143" s="9">
        <f t="shared" si="450"/>
        <v>474948.1861376788</v>
      </c>
      <c r="CP143" s="9">
        <f t="shared" si="450"/>
        <v>490503.12610078271</v>
      </c>
      <c r="CQ143" s="9">
        <f t="shared" si="450"/>
        <v>510680.55137154984</v>
      </c>
      <c r="CR143" s="9">
        <f t="shared" si="450"/>
        <v>527419.92282275122</v>
      </c>
      <c r="CS143" s="9">
        <f t="shared" si="450"/>
        <v>544574.71267961361</v>
      </c>
      <c r="CT143" s="9">
        <f t="shared" si="450"/>
        <v>567872.62536579638</v>
      </c>
      <c r="CU143" s="297">
        <f t="shared" si="450"/>
        <v>591232.85428084561</v>
      </c>
      <c r="CV143" s="9">
        <f t="shared" si="450"/>
        <v>609111.11954806652</v>
      </c>
      <c r="CW143" s="9">
        <f t="shared" si="450"/>
        <v>626589.06996067986</v>
      </c>
      <c r="CX143" s="9">
        <f t="shared" si="450"/>
        <v>646647.72928455705</v>
      </c>
      <c r="CY143" s="9">
        <f t="shared" si="450"/>
        <v>662959.31990688958</v>
      </c>
      <c r="CZ143" s="9">
        <f t="shared" si="450"/>
        <v>680728.08280957886</v>
      </c>
      <c r="DA143" s="9">
        <f t="shared" si="450"/>
        <v>700092.45941295649</v>
      </c>
      <c r="DB143" s="9">
        <f t="shared" si="450"/>
        <v>720050.51611149148</v>
      </c>
      <c r="DC143" s="9">
        <f t="shared" si="450"/>
        <v>743495.06179823412</v>
      </c>
      <c r="DD143" s="9">
        <f t="shared" si="450"/>
        <v>765089.69709897053</v>
      </c>
      <c r="DE143" s="9">
        <f t="shared" si="450"/>
        <v>786099.25230575178</v>
      </c>
      <c r="DF143" s="9">
        <f t="shared" si="450"/>
        <v>813146.3570459258</v>
      </c>
      <c r="DG143" s="9">
        <f t="shared" si="450"/>
        <v>843139.44257925311</v>
      </c>
    </row>
    <row r="144" spans="1:111" x14ac:dyDescent="0.3">
      <c r="C144" s="8" t="s">
        <v>37</v>
      </c>
      <c r="D144" s="9">
        <f t="shared" ref="D144:AI144" si="451">D143-D96</f>
        <v>0</v>
      </c>
      <c r="E144" s="9">
        <f t="shared" si="451"/>
        <v>0</v>
      </c>
      <c r="F144" s="9">
        <f t="shared" si="451"/>
        <v>0</v>
      </c>
      <c r="G144" s="9">
        <f t="shared" si="451"/>
        <v>0</v>
      </c>
      <c r="H144" s="9">
        <f t="shared" si="451"/>
        <v>0</v>
      </c>
      <c r="I144" s="9">
        <f t="shared" si="451"/>
        <v>0</v>
      </c>
      <c r="J144" s="9">
        <f t="shared" si="451"/>
        <v>0</v>
      </c>
      <c r="K144" s="9">
        <f t="shared" si="451"/>
        <v>0</v>
      </c>
      <c r="L144" s="9">
        <f t="shared" si="451"/>
        <v>0</v>
      </c>
      <c r="M144" s="9">
        <f t="shared" si="451"/>
        <v>0</v>
      </c>
      <c r="N144" s="135">
        <f t="shared" si="451"/>
        <v>0</v>
      </c>
      <c r="O144" s="135">
        <f t="shared" si="451"/>
        <v>0</v>
      </c>
      <c r="P144" s="135">
        <f t="shared" si="451"/>
        <v>0</v>
      </c>
      <c r="Q144" s="9">
        <f t="shared" si="451"/>
        <v>0</v>
      </c>
      <c r="R144" s="135">
        <f t="shared" si="451"/>
        <v>0</v>
      </c>
      <c r="S144" s="9">
        <f t="shared" si="451"/>
        <v>0</v>
      </c>
      <c r="T144" s="9">
        <f t="shared" si="451"/>
        <v>0</v>
      </c>
      <c r="U144" s="9">
        <f t="shared" si="451"/>
        <v>0</v>
      </c>
      <c r="V144" s="135">
        <f t="shared" si="451"/>
        <v>6.8278716014447127E-15</v>
      </c>
      <c r="W144" s="135">
        <f t="shared" si="451"/>
        <v>0</v>
      </c>
      <c r="X144" s="135">
        <f t="shared" si="451"/>
        <v>-4.5474735088646412E-13</v>
      </c>
      <c r="Y144" s="135">
        <f t="shared" si="451"/>
        <v>-9.0949470177292824E-13</v>
      </c>
      <c r="Z144" s="135">
        <f t="shared" si="451"/>
        <v>-3.0127011996228248E-12</v>
      </c>
      <c r="AA144" s="135">
        <f t="shared" si="451"/>
        <v>0</v>
      </c>
      <c r="AB144" s="135">
        <f t="shared" si="451"/>
        <v>0</v>
      </c>
      <c r="AC144" s="135">
        <f t="shared" si="451"/>
        <v>-4.3200998334214091E-12</v>
      </c>
      <c r="AD144" s="135">
        <f t="shared" si="451"/>
        <v>-3.979039320256561E-12</v>
      </c>
      <c r="AE144" s="135">
        <f t="shared" si="451"/>
        <v>3.979039320256561E-12</v>
      </c>
      <c r="AF144" s="135">
        <f t="shared" si="451"/>
        <v>-8.8675733422860503E-12</v>
      </c>
      <c r="AG144" s="135">
        <f t="shared" si="451"/>
        <v>0</v>
      </c>
      <c r="AH144" s="135">
        <f t="shared" si="451"/>
        <v>-6.5938365878537297E-12</v>
      </c>
      <c r="AI144" s="135">
        <f t="shared" si="451"/>
        <v>-1.0913936421275139E-11</v>
      </c>
      <c r="AJ144" s="135">
        <f t="shared" ref="AJ144:BO144" si="452">AJ143-AJ96</f>
        <v>-3.637978807091713E-12</v>
      </c>
      <c r="AK144" s="629">
        <f t="shared" si="452"/>
        <v>-6.8212102632969618E-12</v>
      </c>
      <c r="AL144" s="9">
        <f t="shared" si="452"/>
        <v>-6.8212102632969618E-12</v>
      </c>
      <c r="AM144" s="297">
        <f t="shared" si="452"/>
        <v>-6.8212102632969618E-12</v>
      </c>
      <c r="AN144" s="9">
        <f t="shared" si="452"/>
        <v>-6.8212102632969618E-12</v>
      </c>
      <c r="AO144" s="9">
        <f t="shared" si="452"/>
        <v>-6.8212102632969618E-12</v>
      </c>
      <c r="AP144" s="9">
        <f t="shared" si="452"/>
        <v>0</v>
      </c>
      <c r="AQ144" s="9">
        <f t="shared" si="452"/>
        <v>-6.3664629124104977E-12</v>
      </c>
      <c r="AR144" s="9">
        <f t="shared" si="452"/>
        <v>-6.3664629124104977E-12</v>
      </c>
      <c r="AS144" s="9">
        <f t="shared" si="452"/>
        <v>0</v>
      </c>
      <c r="AT144" s="9">
        <f t="shared" si="452"/>
        <v>0</v>
      </c>
      <c r="AU144" s="9">
        <f t="shared" si="452"/>
        <v>0</v>
      </c>
      <c r="AV144" s="9">
        <f t="shared" si="452"/>
        <v>0</v>
      </c>
      <c r="AW144" s="9">
        <f t="shared" si="452"/>
        <v>0</v>
      </c>
      <c r="AX144" s="9">
        <f t="shared" si="452"/>
        <v>0</v>
      </c>
      <c r="AY144" s="297">
        <f t="shared" si="452"/>
        <v>0</v>
      </c>
      <c r="AZ144" s="9">
        <f t="shared" si="452"/>
        <v>0</v>
      </c>
      <c r="BA144" s="9">
        <f t="shared" si="452"/>
        <v>0</v>
      </c>
      <c r="BB144" s="9">
        <f t="shared" si="452"/>
        <v>0</v>
      </c>
      <c r="BC144" s="9">
        <f t="shared" si="452"/>
        <v>0</v>
      </c>
      <c r="BD144" s="9">
        <f t="shared" si="452"/>
        <v>0</v>
      </c>
      <c r="BE144" s="9">
        <f t="shared" si="452"/>
        <v>0</v>
      </c>
      <c r="BF144" s="9">
        <f t="shared" si="452"/>
        <v>0</v>
      </c>
      <c r="BG144" s="9">
        <f t="shared" si="452"/>
        <v>0</v>
      </c>
      <c r="BH144" s="9">
        <f t="shared" si="452"/>
        <v>0</v>
      </c>
      <c r="BI144" s="9">
        <f t="shared" si="452"/>
        <v>0</v>
      </c>
      <c r="BJ144" s="9">
        <f t="shared" si="452"/>
        <v>0</v>
      </c>
      <c r="BK144" s="297">
        <f t="shared" si="452"/>
        <v>0</v>
      </c>
      <c r="BL144" s="9">
        <f t="shared" si="452"/>
        <v>0</v>
      </c>
      <c r="BM144" s="9">
        <f t="shared" si="452"/>
        <v>0</v>
      </c>
      <c r="BN144" s="9">
        <f t="shared" si="452"/>
        <v>0</v>
      </c>
      <c r="BO144" s="9">
        <f t="shared" si="452"/>
        <v>0</v>
      </c>
      <c r="BP144" s="9">
        <f t="shared" ref="BP144:CU144" si="453">BP143-BP96</f>
        <v>0</v>
      </c>
      <c r="BQ144" s="9">
        <f t="shared" si="453"/>
        <v>0</v>
      </c>
      <c r="BR144" s="9">
        <f t="shared" si="453"/>
        <v>0</v>
      </c>
      <c r="BS144" s="9">
        <f t="shared" si="453"/>
        <v>0</v>
      </c>
      <c r="BT144" s="9">
        <f t="shared" si="453"/>
        <v>0</v>
      </c>
      <c r="BU144" s="9">
        <f t="shared" si="453"/>
        <v>0</v>
      </c>
      <c r="BV144" s="9">
        <f t="shared" si="453"/>
        <v>0</v>
      </c>
      <c r="BW144" s="297">
        <f t="shared" si="453"/>
        <v>0</v>
      </c>
      <c r="BX144" s="9">
        <f t="shared" si="453"/>
        <v>0</v>
      </c>
      <c r="BY144" s="9">
        <f t="shared" si="453"/>
        <v>0</v>
      </c>
      <c r="BZ144" s="9">
        <f t="shared" si="453"/>
        <v>0</v>
      </c>
      <c r="CA144" s="9">
        <f t="shared" si="453"/>
        <v>0</v>
      </c>
      <c r="CB144" s="9">
        <f t="shared" si="453"/>
        <v>0</v>
      </c>
      <c r="CC144" s="9">
        <f t="shared" si="453"/>
        <v>0</v>
      </c>
      <c r="CD144" s="9">
        <f t="shared" si="453"/>
        <v>0</v>
      </c>
      <c r="CE144" s="9">
        <f t="shared" si="453"/>
        <v>0</v>
      </c>
      <c r="CF144" s="9">
        <f t="shared" si="453"/>
        <v>0</v>
      </c>
      <c r="CG144" s="9">
        <f t="shared" si="453"/>
        <v>0</v>
      </c>
      <c r="CH144" s="9">
        <f t="shared" si="453"/>
        <v>0</v>
      </c>
      <c r="CI144" s="297">
        <f t="shared" si="453"/>
        <v>0</v>
      </c>
      <c r="CJ144" s="9">
        <f t="shared" si="453"/>
        <v>0</v>
      </c>
      <c r="CK144" s="9">
        <f t="shared" si="453"/>
        <v>0</v>
      </c>
      <c r="CL144" s="9">
        <f t="shared" si="453"/>
        <v>0</v>
      </c>
      <c r="CM144" s="9">
        <f t="shared" si="453"/>
        <v>0</v>
      </c>
      <c r="CN144" s="9">
        <f t="shared" si="453"/>
        <v>0</v>
      </c>
      <c r="CO144" s="9">
        <f t="shared" si="453"/>
        <v>0</v>
      </c>
      <c r="CP144" s="9">
        <f t="shared" si="453"/>
        <v>0</v>
      </c>
      <c r="CQ144" s="9">
        <f t="shared" si="453"/>
        <v>0</v>
      </c>
      <c r="CR144" s="9">
        <f t="shared" si="453"/>
        <v>0</v>
      </c>
      <c r="CS144" s="9">
        <f t="shared" si="453"/>
        <v>0</v>
      </c>
      <c r="CT144" s="9">
        <f t="shared" si="453"/>
        <v>0</v>
      </c>
      <c r="CU144" s="297">
        <f t="shared" si="453"/>
        <v>0</v>
      </c>
      <c r="CV144" s="9">
        <f t="shared" ref="CV144:DG144" si="454">CV143-CV96</f>
        <v>0</v>
      </c>
      <c r="CW144" s="9">
        <f t="shared" si="454"/>
        <v>0</v>
      </c>
      <c r="CX144" s="9">
        <f t="shared" si="454"/>
        <v>0</v>
      </c>
      <c r="CY144" s="9">
        <f t="shared" si="454"/>
        <v>0</v>
      </c>
      <c r="CZ144" s="9">
        <f t="shared" si="454"/>
        <v>0</v>
      </c>
      <c r="DA144" s="9">
        <f t="shared" si="454"/>
        <v>0</v>
      </c>
      <c r="DB144" s="9">
        <f t="shared" si="454"/>
        <v>0</v>
      </c>
      <c r="DC144" s="9">
        <f t="shared" si="454"/>
        <v>0</v>
      </c>
      <c r="DD144" s="9">
        <f t="shared" si="454"/>
        <v>0</v>
      </c>
      <c r="DE144" s="9">
        <f t="shared" si="454"/>
        <v>0</v>
      </c>
      <c r="DF144" s="9">
        <f t="shared" si="454"/>
        <v>0</v>
      </c>
      <c r="DG144" s="9">
        <f t="shared" si="454"/>
        <v>0</v>
      </c>
    </row>
    <row r="145" spans="1:111" x14ac:dyDescent="0.3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60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17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17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17"/>
      <c r="BL145" s="3"/>
      <c r="BM145" s="3"/>
      <c r="BN145" s="3"/>
      <c r="BO145" s="3"/>
      <c r="BP145" s="3"/>
      <c r="BQ145" s="3"/>
      <c r="BR145" s="3"/>
      <c r="BS145" s="3"/>
      <c r="BT145" s="3"/>
      <c r="BU145" s="3"/>
      <c r="BV145" s="3"/>
      <c r="BW145" s="317"/>
      <c r="BX145" s="3"/>
      <c r="BY145" s="3"/>
      <c r="BZ145" s="3"/>
      <c r="CA145" s="3"/>
      <c r="CB145" s="3"/>
      <c r="CC145" s="3"/>
      <c r="CD145" s="3"/>
      <c r="CE145" s="3"/>
      <c r="CF145" s="3"/>
      <c r="CG145" s="3"/>
      <c r="CH145" s="3"/>
      <c r="CI145" s="317"/>
      <c r="CJ145" s="3"/>
      <c r="CK145" s="3"/>
      <c r="CL145" s="3"/>
      <c r="CM145" s="3"/>
      <c r="CN145" s="3"/>
      <c r="CO145" s="3"/>
      <c r="CP145" s="3"/>
      <c r="CQ145" s="3"/>
      <c r="CR145" s="3"/>
      <c r="CS145" s="3"/>
      <c r="CT145" s="3"/>
      <c r="CU145" s="317"/>
      <c r="CV145" s="3"/>
      <c r="CW145" s="3"/>
      <c r="CX145" s="3"/>
      <c r="CY145" s="3"/>
      <c r="CZ145" s="3"/>
      <c r="DA145" s="3"/>
      <c r="DB145" s="3"/>
      <c r="DC145" s="3"/>
      <c r="DD145" s="3"/>
      <c r="DE145" s="3"/>
      <c r="DF145" s="3"/>
      <c r="DG145" s="3"/>
    </row>
  </sheetData>
  <conditionalFormatting sqref="A143:XFD143">
    <cfRule type="cellIs" dxfId="0" priority="1" operator="lessThan">
      <formula>0</formula>
    </cfRule>
  </conditionalFormatting>
  <pageMargins left="0.7" right="0.7" top="0.75" bottom="0.75" header="0.3" footer="0.3"/>
  <pageSetup scale="10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2</vt:i4>
      </vt:variant>
    </vt:vector>
  </HeadingPairs>
  <TitlesOfParts>
    <vt:vector size="21" baseType="lpstr">
      <vt:lpstr>1</vt:lpstr>
      <vt:lpstr>Annual Summary</vt:lpstr>
      <vt:lpstr>2023 Overview</vt:lpstr>
      <vt:lpstr>2024 Overview</vt:lpstr>
      <vt:lpstr>2022 Overview</vt:lpstr>
      <vt:lpstr>2024 AOP (H1)</vt:lpstr>
      <vt:lpstr>Quarterly Overview</vt:lpstr>
      <vt:lpstr>2</vt:lpstr>
      <vt:lpstr>Monthly Detail</vt:lpstr>
      <vt:lpstr>3</vt:lpstr>
      <vt:lpstr>October</vt:lpstr>
      <vt:lpstr>September</vt:lpstr>
      <vt:lpstr>August</vt:lpstr>
      <vt:lpstr>Actual vs. Forecast</vt:lpstr>
      <vt:lpstr>People Plan</vt:lpstr>
      <vt:lpstr>Holidays</vt:lpstr>
      <vt:lpstr>December</vt:lpstr>
      <vt:lpstr>November</vt:lpstr>
      <vt:lpstr>River</vt:lpstr>
      <vt:lpstr>'2022 Overview'!Print_Area</vt:lpstr>
      <vt:lpstr>'Annual Summary'!Print_Area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jordan lee</cp:lastModifiedBy>
  <cp:lastPrinted>2024-11-05T16:24:09Z</cp:lastPrinted>
  <dcterms:created xsi:type="dcterms:W3CDTF">2022-12-01T00:32:54Z</dcterms:created>
  <dcterms:modified xsi:type="dcterms:W3CDTF">2024-11-30T00:53:20Z</dcterms:modified>
</cp:coreProperties>
</file>