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1" documentId="8_{5B86514D-0A82-49D8-8987-8F14461A2C6E}" xr6:coauthVersionLast="47" xr6:coauthVersionMax="47" xr10:uidLastSave="{FEF8097E-2E52-41CC-811C-D8C42CAC2B9F}"/>
  <bookViews>
    <workbookView xWindow="-108" yWindow="-108" windowWidth="23256" windowHeight="12456" tabRatio="598" firstSheet="3" activeTab="9" xr2:uid="{00000000-000D-0000-FFFF-FFFF00000000}"/>
  </bookViews>
  <sheets>
    <sheet name="1" sheetId="2" r:id="rId1"/>
    <sheet name="Annual Summary" sheetId="5" r:id="rId2"/>
    <sheet name="2023 Overview" sheetId="15" state="hidden" r:id="rId3"/>
    <sheet name="2024 Overview (Budget)" sheetId="27" r:id="rId4"/>
    <sheet name="2024 Overview" sheetId="25" r:id="rId5"/>
    <sheet name="2024 AOP" sheetId="26" r:id="rId6"/>
    <sheet name="Quarterly Overview" sheetId="20" r:id="rId7"/>
    <sheet name="2022 Overview" sheetId="6" state="hidden" r:id="rId8"/>
    <sheet name="2" sheetId="3" r:id="rId9"/>
    <sheet name="Monthly Detail" sheetId="1" r:id="rId10"/>
    <sheet name="3" sheetId="4" r:id="rId11"/>
    <sheet name="October" sheetId="11" state="hidden" r:id="rId12"/>
    <sheet name="September" sheetId="12" state="hidden" r:id="rId13"/>
    <sheet name="August" sheetId="13" state="hidden" r:id="rId14"/>
    <sheet name="People Plan" sheetId="24" r:id="rId15"/>
    <sheet name="Actual vs. Forecast" sheetId="23" r:id="rId16"/>
    <sheet name="Holidays" sheetId="9" state="hidden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1" hidden="1">October!$A$1:$K$41</definedName>
    <definedName name="MLNK04527a7a692d4c5a962de6ed08306286" hidden="1">#REF!</definedName>
    <definedName name="_xlnm.Print_Area" localSheetId="7">'2022 Overview'!$B$2:$P$31</definedName>
    <definedName name="_xlnm.Print_Area" localSheetId="1">'Annual Summary'!$B$3:$Y$36</definedName>
  </definedNames>
  <calcPr calcId="191029"/>
  <pivotCaches>
    <pivotCache cacheId="8" r:id="rId21"/>
    <pivotCache cacheId="9" r:id="rId22"/>
    <pivotCache cacheId="10" r:id="rId23"/>
    <pivotCache cacheId="11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5" i="1" l="1"/>
  <c r="AO44" i="23"/>
  <c r="AO28" i="23"/>
  <c r="K13" i="27"/>
  <c r="K15" i="27"/>
  <c r="K17" i="27"/>
  <c r="K21" i="27"/>
  <c r="K22" i="27"/>
  <c r="K23" i="27" s="1"/>
  <c r="K28" i="27"/>
  <c r="AJ84" i="1"/>
  <c r="AJ86" i="1" s="1"/>
  <c r="AJ85" i="1"/>
  <c r="AJ94" i="1"/>
  <c r="AJ97" i="1"/>
  <c r="AJ111" i="1"/>
  <c r="AJ114" i="1"/>
  <c r="AJ119" i="1"/>
  <c r="AJ125" i="1"/>
  <c r="AK73" i="1"/>
  <c r="AK76" i="1"/>
  <c r="AK78" i="1"/>
  <c r="AK79" i="1"/>
  <c r="AK81" i="1"/>
  <c r="AK82" i="1"/>
  <c r="AK83" i="1"/>
  <c r="AK85" i="1"/>
  <c r="AK94" i="1"/>
  <c r="AK96" i="1"/>
  <c r="AK97" i="1" s="1"/>
  <c r="AK117" i="1"/>
  <c r="AK119" i="1" s="1"/>
  <c r="AK125" i="1"/>
  <c r="AK127" i="1"/>
  <c r="AK129" i="1"/>
  <c r="AJ12" i="1"/>
  <c r="AJ14" i="1" s="1"/>
  <c r="AJ115" i="1" s="1"/>
  <c r="AJ18" i="1"/>
  <c r="AJ23" i="1"/>
  <c r="AJ25" i="1"/>
  <c r="AJ33" i="1"/>
  <c r="AJ34" i="1"/>
  <c r="AJ35" i="1"/>
  <c r="AK35" i="1" s="1"/>
  <c r="AJ36" i="1"/>
  <c r="AJ37" i="1"/>
  <c r="AJ39" i="1"/>
  <c r="AJ40" i="1" s="1"/>
  <c r="AJ62" i="1"/>
  <c r="AJ91" i="1" s="1"/>
  <c r="AK19" i="1"/>
  <c r="AK23" i="1"/>
  <c r="AK39" i="1"/>
  <c r="AK40" i="1"/>
  <c r="AK60" i="1"/>
  <c r="AS24" i="23"/>
  <c r="AF45" i="23"/>
  <c r="AS45" i="23" s="1"/>
  <c r="AF41" i="23"/>
  <c r="AS41" i="23" s="1"/>
  <c r="AF40" i="23"/>
  <c r="AS40" i="23" s="1"/>
  <c r="AF39" i="23"/>
  <c r="AS39" i="23" s="1"/>
  <c r="AF37" i="23"/>
  <c r="AT37" i="23" s="1"/>
  <c r="AF36" i="23"/>
  <c r="AT36" i="23" s="1"/>
  <c r="AF35" i="23"/>
  <c r="AT35" i="23" s="1"/>
  <c r="AF34" i="23"/>
  <c r="AT34" i="23" s="1"/>
  <c r="AF33" i="23"/>
  <c r="AS33" i="23" s="1"/>
  <c r="AF32" i="23"/>
  <c r="AS32" i="23" s="1"/>
  <c r="AF31" i="23"/>
  <c r="AT31" i="23" s="1"/>
  <c r="AF30" i="23"/>
  <c r="AT30" i="23" s="1"/>
  <c r="AF22" i="23"/>
  <c r="AS22" i="23" s="1"/>
  <c r="AF19" i="23"/>
  <c r="AT19" i="23" s="1"/>
  <c r="AT24" i="23"/>
  <c r="AI34" i="1"/>
  <c r="AI36" i="1"/>
  <c r="AI33" i="1"/>
  <c r="AJ24" i="1" l="1"/>
  <c r="AJ48" i="1" s="1"/>
  <c r="K12" i="27"/>
  <c r="K14" i="27" s="1"/>
  <c r="K18" i="27" s="1"/>
  <c r="K25" i="27" s="1"/>
  <c r="AJ120" i="1"/>
  <c r="AJ121" i="1" s="1"/>
  <c r="AJ98" i="1"/>
  <c r="AF46" i="23" s="1"/>
  <c r="AT45" i="23"/>
  <c r="AJ90" i="1"/>
  <c r="AF47" i="23"/>
  <c r="AS47" i="23" s="1"/>
  <c r="AS46" i="23"/>
  <c r="AT46" i="23"/>
  <c r="AT40" i="23"/>
  <c r="AJ87" i="1"/>
  <c r="AT39" i="23"/>
  <c r="AS34" i="23"/>
  <c r="AK98" i="1"/>
  <c r="L29" i="25" s="1"/>
  <c r="AS35" i="23"/>
  <c r="AS37" i="23"/>
  <c r="AT32" i="23"/>
  <c r="AJ63" i="1"/>
  <c r="AJ64" i="1" s="1"/>
  <c r="AJ32" i="1"/>
  <c r="AJ41" i="1"/>
  <c r="AJ42" i="1" s="1"/>
  <c r="AJ15" i="1"/>
  <c r="AT22" i="23"/>
  <c r="AT41" i="23"/>
  <c r="AS19" i="23"/>
  <c r="AS36" i="23"/>
  <c r="AS30" i="23"/>
  <c r="AS31" i="23"/>
  <c r="AT33" i="23"/>
  <c r="K29" i="25"/>
  <c r="I29" i="25"/>
  <c r="H29" i="25"/>
  <c r="G29" i="25"/>
  <c r="F29" i="25"/>
  <c r="E29" i="25"/>
  <c r="D29" i="25"/>
  <c r="C29" i="25"/>
  <c r="I28" i="27"/>
  <c r="H28" i="27"/>
  <c r="G28" i="27"/>
  <c r="F28" i="27"/>
  <c r="E28" i="27"/>
  <c r="D28" i="27"/>
  <c r="L28" i="27"/>
  <c r="C28" i="27"/>
  <c r="K16" i="25"/>
  <c r="J16" i="25"/>
  <c r="I16" i="25"/>
  <c r="H16" i="25"/>
  <c r="G16" i="25"/>
  <c r="F16" i="25"/>
  <c r="E16" i="25"/>
  <c r="D16" i="25"/>
  <c r="C16" i="25"/>
  <c r="AI18" i="1"/>
  <c r="J10" i="27"/>
  <c r="J13" i="27"/>
  <c r="J15" i="27"/>
  <c r="J21" i="27"/>
  <c r="AP74" i="1"/>
  <c r="AQ74" i="1" s="1"/>
  <c r="AR74" i="1" s="1"/>
  <c r="AS74" i="1" s="1"/>
  <c r="AT74" i="1" s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J22" i="27" s="1"/>
  <c r="AI97" i="1"/>
  <c r="AI98" i="1" s="1"/>
  <c r="AH97" i="1"/>
  <c r="AG97" i="1"/>
  <c r="AF97" i="1"/>
  <c r="AE97" i="1"/>
  <c r="AD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J97" i="1"/>
  <c r="AL96" i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G97" i="1" s="1"/>
  <c r="AC96" i="1"/>
  <c r="AD96" i="1" s="1"/>
  <c r="AE96" i="1" s="1"/>
  <c r="AF96" i="1" s="1"/>
  <c r="J96" i="1"/>
  <c r="I96" i="1"/>
  <c r="I97" i="1" s="1"/>
  <c r="H96" i="1"/>
  <c r="H97" i="1" s="1"/>
  <c r="G96" i="1"/>
  <c r="G97" i="1" s="1"/>
  <c r="F96" i="1"/>
  <c r="F97" i="1" s="1"/>
  <c r="E96" i="1"/>
  <c r="E97" i="1" s="1"/>
  <c r="D96" i="1"/>
  <c r="D97" i="1" s="1"/>
  <c r="AI1" i="1"/>
  <c r="AI3" i="1" s="1"/>
  <c r="AI2" i="1"/>
  <c r="AI12" i="1"/>
  <c r="AI14" i="1" s="1"/>
  <c r="AI23" i="1"/>
  <c r="AI25" i="1"/>
  <c r="AI35" i="1"/>
  <c r="AI37" i="1"/>
  <c r="AI39" i="1"/>
  <c r="AI40" i="1" s="1"/>
  <c r="AI62" i="1"/>
  <c r="AI91" i="1" s="1"/>
  <c r="AI69" i="1"/>
  <c r="AI94" i="1"/>
  <c r="AI111" i="1"/>
  <c r="AI114" i="1"/>
  <c r="AI119" i="1"/>
  <c r="AI125" i="1"/>
  <c r="AI143" i="1"/>
  <c r="AI144" i="1" s="1"/>
  <c r="AJ1" i="1"/>
  <c r="AJ3" i="1" s="1"/>
  <c r="AJ2" i="1"/>
  <c r="AJ69" i="1"/>
  <c r="J7" i="24"/>
  <c r="P28" i="23"/>
  <c r="P43" i="23" s="1"/>
  <c r="P44" i="23" s="1"/>
  <c r="I15" i="27"/>
  <c r="I13" i="27"/>
  <c r="AH33" i="1"/>
  <c r="O7" i="24"/>
  <c r="AN60" i="1" s="1"/>
  <c r="N4" i="24"/>
  <c r="M4" i="24"/>
  <c r="M7" i="24" s="1"/>
  <c r="AL60" i="1" s="1"/>
  <c r="L4" i="24"/>
  <c r="K4" i="24"/>
  <c r="E5" i="24"/>
  <c r="I7" i="24"/>
  <c r="AL72" i="1"/>
  <c r="AH12" i="1"/>
  <c r="AH14" i="1" s="1"/>
  <c r="AH18" i="1"/>
  <c r="AH23" i="1"/>
  <c r="AH25" i="1"/>
  <c r="AH34" i="1"/>
  <c r="AH35" i="1"/>
  <c r="AH36" i="1"/>
  <c r="AK36" i="1" s="1"/>
  <c r="AH37" i="1"/>
  <c r="AH39" i="1"/>
  <c r="AH40" i="1" s="1"/>
  <c r="AH62" i="1"/>
  <c r="AH91" i="1" s="1"/>
  <c r="AH69" i="1"/>
  <c r="I21" i="27" s="1"/>
  <c r="AH94" i="1"/>
  <c r="AH111" i="1"/>
  <c r="AH114" i="1"/>
  <c r="AH119" i="1"/>
  <c r="AH125" i="1"/>
  <c r="AI139" i="1" s="1"/>
  <c r="AH143" i="1"/>
  <c r="AH144" i="1" s="1"/>
  <c r="CD60" i="1"/>
  <c r="AX60" i="1"/>
  <c r="AR28" i="23"/>
  <c r="AQ28" i="23"/>
  <c r="AP28" i="23"/>
  <c r="AK28" i="23"/>
  <c r="AJ28" i="23"/>
  <c r="AI28" i="23"/>
  <c r="AH28" i="23"/>
  <c r="AG28" i="23"/>
  <c r="AA28" i="23"/>
  <c r="Z28" i="23"/>
  <c r="Y28" i="23"/>
  <c r="X28" i="23"/>
  <c r="W28" i="23"/>
  <c r="V28" i="23"/>
  <c r="U28" i="23"/>
  <c r="T28" i="23"/>
  <c r="S28" i="23"/>
  <c r="F28" i="23"/>
  <c r="E28" i="23"/>
  <c r="K29" i="23"/>
  <c r="O64" i="1"/>
  <c r="N64" i="1"/>
  <c r="M64" i="1"/>
  <c r="L64" i="1"/>
  <c r="K64" i="1"/>
  <c r="J64" i="1"/>
  <c r="I64" i="1"/>
  <c r="H64" i="1"/>
  <c r="G64" i="1"/>
  <c r="F64" i="1"/>
  <c r="E64" i="1"/>
  <c r="H7" i="24"/>
  <c r="FB7" i="24"/>
  <c r="FA7" i="24"/>
  <c r="EZ7" i="24"/>
  <c r="EY7" i="24"/>
  <c r="EX7" i="24"/>
  <c r="EW7" i="24"/>
  <c r="EV7" i="24"/>
  <c r="EU7" i="24"/>
  <c r="ET7" i="24"/>
  <c r="ES7" i="24"/>
  <c r="ER7" i="24"/>
  <c r="EQ7" i="24"/>
  <c r="EP7" i="24"/>
  <c r="EO7" i="24"/>
  <c r="EN7" i="24"/>
  <c r="EM7" i="24"/>
  <c r="EL7" i="24"/>
  <c r="EK7" i="24"/>
  <c r="EJ7" i="24"/>
  <c r="EI7" i="24"/>
  <c r="EH7" i="24"/>
  <c r="EG7" i="24"/>
  <c r="EF7" i="24"/>
  <c r="EE7" i="24"/>
  <c r="ED7" i="24"/>
  <c r="EC7" i="24"/>
  <c r="EB7" i="24"/>
  <c r="EA7" i="24"/>
  <c r="DZ7" i="24"/>
  <c r="DY7" i="24"/>
  <c r="DX7" i="24"/>
  <c r="DW7" i="24"/>
  <c r="DV7" i="24"/>
  <c r="DU7" i="24"/>
  <c r="DT7" i="24"/>
  <c r="DS7" i="24"/>
  <c r="DR7" i="24"/>
  <c r="DQ7" i="24"/>
  <c r="DP7" i="24"/>
  <c r="DO7" i="24"/>
  <c r="DN7" i="24"/>
  <c r="DM7" i="24"/>
  <c r="DL7" i="24"/>
  <c r="DK7" i="24"/>
  <c r="DJ7" i="24"/>
  <c r="DI7" i="24"/>
  <c r="DH7" i="24"/>
  <c r="DG7" i="24"/>
  <c r="DF7" i="24"/>
  <c r="DE7" i="24"/>
  <c r="DD7" i="24"/>
  <c r="DC7" i="24"/>
  <c r="DB7" i="24"/>
  <c r="DA7" i="24"/>
  <c r="CZ7" i="24"/>
  <c r="CY7" i="24"/>
  <c r="CX7" i="24"/>
  <c r="CW7" i="24"/>
  <c r="CV7" i="24"/>
  <c r="CU7" i="24"/>
  <c r="CT7" i="24"/>
  <c r="CS7" i="24"/>
  <c r="CR7" i="24"/>
  <c r="CQ7" i="24"/>
  <c r="CP7" i="24"/>
  <c r="CO7" i="24"/>
  <c r="CN7" i="24"/>
  <c r="CM7" i="24"/>
  <c r="CL7" i="24"/>
  <c r="CK7" i="24"/>
  <c r="CJ7" i="24"/>
  <c r="CI7" i="24"/>
  <c r="CH7" i="24"/>
  <c r="DG60" i="1" s="1"/>
  <c r="CG7" i="24"/>
  <c r="DF60" i="1" s="1"/>
  <c r="CF7" i="24"/>
  <c r="DE60" i="1" s="1"/>
  <c r="CE7" i="24"/>
  <c r="DD60" i="1" s="1"/>
  <c r="CD7" i="24"/>
  <c r="DC60" i="1" s="1"/>
  <c r="CC7" i="24"/>
  <c r="DB60" i="1" s="1"/>
  <c r="CB7" i="24"/>
  <c r="DA60" i="1" s="1"/>
  <c r="CA7" i="24"/>
  <c r="CZ60" i="1" s="1"/>
  <c r="BZ7" i="24"/>
  <c r="CY60" i="1" s="1"/>
  <c r="BY7" i="24"/>
  <c r="CX60" i="1" s="1"/>
  <c r="BX7" i="24"/>
  <c r="CW60" i="1" s="1"/>
  <c r="BW7" i="24"/>
  <c r="CV60" i="1" s="1"/>
  <c r="BV7" i="24"/>
  <c r="CU60" i="1" s="1"/>
  <c r="BU7" i="24"/>
  <c r="CT60" i="1" s="1"/>
  <c r="BT7" i="24"/>
  <c r="CS60" i="1" s="1"/>
  <c r="BS7" i="24"/>
  <c r="CR60" i="1" s="1"/>
  <c r="BR7" i="24"/>
  <c r="CQ60" i="1" s="1"/>
  <c r="BQ7" i="24"/>
  <c r="CP60" i="1" s="1"/>
  <c r="BP7" i="24"/>
  <c r="CO60" i="1" s="1"/>
  <c r="BO7" i="24"/>
  <c r="CN60" i="1" s="1"/>
  <c r="BN7" i="24"/>
  <c r="CM60" i="1" s="1"/>
  <c r="BM7" i="24"/>
  <c r="CL60" i="1" s="1"/>
  <c r="BL7" i="24"/>
  <c r="CK60" i="1" s="1"/>
  <c r="BK7" i="24"/>
  <c r="CJ60" i="1" s="1"/>
  <c r="BJ7" i="24"/>
  <c r="CI60" i="1" s="1"/>
  <c r="BI7" i="24"/>
  <c r="CH60" i="1" s="1"/>
  <c r="BH7" i="24"/>
  <c r="CG60" i="1" s="1"/>
  <c r="BG7" i="24"/>
  <c r="CF60" i="1" s="1"/>
  <c r="BF7" i="24"/>
  <c r="CE60" i="1" s="1"/>
  <c r="BE7" i="24"/>
  <c r="BD7" i="24"/>
  <c r="CC60" i="1" s="1"/>
  <c r="BC7" i="24"/>
  <c r="CB60" i="1" s="1"/>
  <c r="BB7" i="24"/>
  <c r="CA60" i="1" s="1"/>
  <c r="BA7" i="24"/>
  <c r="BZ60" i="1" s="1"/>
  <c r="AZ7" i="24"/>
  <c r="BY60" i="1" s="1"/>
  <c r="AY7" i="24"/>
  <c r="BX60" i="1" s="1"/>
  <c r="AX7" i="24"/>
  <c r="BW60" i="1" s="1"/>
  <c r="AW7" i="24"/>
  <c r="BV60" i="1" s="1"/>
  <c r="AV7" i="24"/>
  <c r="BU60" i="1" s="1"/>
  <c r="AU7" i="24"/>
  <c r="BT60" i="1" s="1"/>
  <c r="AT7" i="24"/>
  <c r="BS60" i="1" s="1"/>
  <c r="AS7" i="24"/>
  <c r="BR60" i="1" s="1"/>
  <c r="AR7" i="24"/>
  <c r="BQ60" i="1" s="1"/>
  <c r="AQ7" i="24"/>
  <c r="BP60" i="1" s="1"/>
  <c r="AP7" i="24"/>
  <c r="BO60" i="1" s="1"/>
  <c r="AO7" i="24"/>
  <c r="BN60" i="1" s="1"/>
  <c r="AN7" i="24"/>
  <c r="BM60" i="1" s="1"/>
  <c r="AM7" i="24"/>
  <c r="BL60" i="1" s="1"/>
  <c r="AL7" i="24"/>
  <c r="BK60" i="1" s="1"/>
  <c r="AK7" i="24"/>
  <c r="BJ60" i="1" s="1"/>
  <c r="AJ7" i="24"/>
  <c r="BI60" i="1" s="1"/>
  <c r="AI7" i="24"/>
  <c r="BH60" i="1" s="1"/>
  <c r="AH7" i="24"/>
  <c r="BG60" i="1" s="1"/>
  <c r="AG7" i="24"/>
  <c r="BF60" i="1" s="1"/>
  <c r="AF7" i="24"/>
  <c r="BE60" i="1" s="1"/>
  <c r="AE7" i="24"/>
  <c r="BD60" i="1" s="1"/>
  <c r="AD7" i="24"/>
  <c r="BC60" i="1" s="1"/>
  <c r="AC7" i="24"/>
  <c r="BB60" i="1" s="1"/>
  <c r="AB7" i="24"/>
  <c r="BA60" i="1" s="1"/>
  <c r="AA7" i="24"/>
  <c r="AZ60" i="1" s="1"/>
  <c r="Z7" i="24"/>
  <c r="AY60" i="1" s="1"/>
  <c r="Y7" i="24"/>
  <c r="X7" i="24"/>
  <c r="AW60" i="1" s="1"/>
  <c r="W7" i="24"/>
  <c r="AV60" i="1" s="1"/>
  <c r="V7" i="24"/>
  <c r="AU60" i="1" s="1"/>
  <c r="U7" i="24"/>
  <c r="AT60" i="1" s="1"/>
  <c r="T7" i="24"/>
  <c r="AS60" i="1" s="1"/>
  <c r="S7" i="24"/>
  <c r="AR60" i="1" s="1"/>
  <c r="R7" i="24"/>
  <c r="AQ60" i="1" s="1"/>
  <c r="Q7" i="24"/>
  <c r="AP60" i="1" s="1"/>
  <c r="P7" i="24"/>
  <c r="AO60" i="1" s="1"/>
  <c r="N7" i="24"/>
  <c r="AM60" i="1" s="1"/>
  <c r="L7" i="24"/>
  <c r="K7" i="24"/>
  <c r="AG62" i="1"/>
  <c r="H18" i="25" s="1"/>
  <c r="AF62" i="1"/>
  <c r="G18" i="25" s="1"/>
  <c r="AE62" i="1"/>
  <c r="F18" i="25" s="1"/>
  <c r="AD62" i="1"/>
  <c r="E17" i="27" s="1"/>
  <c r="AC62" i="1"/>
  <c r="D17" i="27" s="1"/>
  <c r="AB62" i="1"/>
  <c r="C18" i="25" s="1"/>
  <c r="E4" i="24"/>
  <c r="K19" i="27" l="1"/>
  <c r="K26" i="27"/>
  <c r="K29" i="27"/>
  <c r="K30" i="27" s="1"/>
  <c r="J29" i="25"/>
  <c r="J28" i="27"/>
  <c r="AT47" i="23"/>
  <c r="J17" i="27"/>
  <c r="AJ88" i="1"/>
  <c r="AJ99" i="1" s="1"/>
  <c r="AI24" i="1"/>
  <c r="AI48" i="1" s="1"/>
  <c r="J12" i="27"/>
  <c r="J14" i="27" s="1"/>
  <c r="J23" i="27"/>
  <c r="AU74" i="1"/>
  <c r="AV74" i="1" s="1"/>
  <c r="AW74" i="1" s="1"/>
  <c r="AX74" i="1" s="1"/>
  <c r="AY74" i="1" s="1"/>
  <c r="AL97" i="1"/>
  <c r="BB97" i="1"/>
  <c r="BR97" i="1"/>
  <c r="CH97" i="1"/>
  <c r="CX97" i="1"/>
  <c r="AV97" i="1"/>
  <c r="BL97" i="1"/>
  <c r="CB97" i="1"/>
  <c r="CR97" i="1"/>
  <c r="CZ97" i="1"/>
  <c r="AO97" i="1"/>
  <c r="AW97" i="1"/>
  <c r="BE97" i="1"/>
  <c r="BM97" i="1"/>
  <c r="BU97" i="1"/>
  <c r="CC97" i="1"/>
  <c r="CK97" i="1"/>
  <c r="CS97" i="1"/>
  <c r="DA97" i="1"/>
  <c r="AP97" i="1"/>
  <c r="AX97" i="1"/>
  <c r="BN97" i="1"/>
  <c r="CD97" i="1"/>
  <c r="CT97" i="1"/>
  <c r="AQ97" i="1"/>
  <c r="AY97" i="1"/>
  <c r="BG97" i="1"/>
  <c r="BO97" i="1"/>
  <c r="BW97" i="1"/>
  <c r="CE97" i="1"/>
  <c r="CM97" i="1"/>
  <c r="CU97" i="1"/>
  <c r="DC97" i="1"/>
  <c r="AT97" i="1"/>
  <c r="BJ97" i="1"/>
  <c r="BZ97" i="1"/>
  <c r="CP97" i="1"/>
  <c r="DF97" i="1"/>
  <c r="AM97" i="1"/>
  <c r="BC97" i="1"/>
  <c r="BS97" i="1"/>
  <c r="CI97" i="1"/>
  <c r="BD97" i="1"/>
  <c r="BT97" i="1"/>
  <c r="CJ97" i="1"/>
  <c r="BF97" i="1"/>
  <c r="BV97" i="1"/>
  <c r="CL97" i="1"/>
  <c r="DB97" i="1"/>
  <c r="I17" i="27"/>
  <c r="AR97" i="1"/>
  <c r="AZ97" i="1"/>
  <c r="BH97" i="1"/>
  <c r="BP97" i="1"/>
  <c r="BX97" i="1"/>
  <c r="CF97" i="1"/>
  <c r="CN97" i="1"/>
  <c r="CV97" i="1"/>
  <c r="DD97" i="1"/>
  <c r="AU97" i="1"/>
  <c r="BK97" i="1"/>
  <c r="CA97" i="1"/>
  <c r="CQ97" i="1"/>
  <c r="CY97" i="1"/>
  <c r="AN97" i="1"/>
  <c r="AC97" i="1"/>
  <c r="AS97" i="1"/>
  <c r="BA97" i="1"/>
  <c r="BI97" i="1"/>
  <c r="BQ97" i="1"/>
  <c r="BY97" i="1"/>
  <c r="CG97" i="1"/>
  <c r="CO97" i="1"/>
  <c r="CW97" i="1"/>
  <c r="DE97" i="1"/>
  <c r="AI90" i="1"/>
  <c r="G17" i="27"/>
  <c r="AH24" i="1"/>
  <c r="AH48" i="1" s="1"/>
  <c r="AI138" i="1"/>
  <c r="AI15" i="1"/>
  <c r="AG91" i="1"/>
  <c r="AI45" i="1" s="1"/>
  <c r="AH90" i="1"/>
  <c r="I12" i="27"/>
  <c r="I14" i="27" s="1"/>
  <c r="AC91" i="1"/>
  <c r="AI120" i="1"/>
  <c r="AI121" i="1" s="1"/>
  <c r="AE91" i="1"/>
  <c r="AB91" i="1"/>
  <c r="AD91" i="1"/>
  <c r="AF91" i="1"/>
  <c r="AH45" i="1" s="1"/>
  <c r="AI32" i="1"/>
  <c r="AI41" i="1"/>
  <c r="AI42" i="1" s="1"/>
  <c r="AI63" i="1"/>
  <c r="AI115" i="1"/>
  <c r="AJ139" i="1"/>
  <c r="AI87" i="1"/>
  <c r="I22" i="27"/>
  <c r="I23" i="27" s="1"/>
  <c r="AL79" i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W79" i="1" s="1"/>
  <c r="CX79" i="1" s="1"/>
  <c r="CY79" i="1" s="1"/>
  <c r="CZ79" i="1" s="1"/>
  <c r="DA79" i="1" s="1"/>
  <c r="DB79" i="1" s="1"/>
  <c r="DC79" i="1" s="1"/>
  <c r="DD79" i="1" s="1"/>
  <c r="DE79" i="1" s="1"/>
  <c r="DF79" i="1" s="1"/>
  <c r="DG79" i="1" s="1"/>
  <c r="P29" i="23"/>
  <c r="AH120" i="1"/>
  <c r="AH121" i="1" s="1"/>
  <c r="AM72" i="1"/>
  <c r="AH87" i="1"/>
  <c r="H17" i="27"/>
  <c r="F17" i="27"/>
  <c r="D18" i="25"/>
  <c r="C17" i="27"/>
  <c r="E18" i="25"/>
  <c r="AH63" i="1"/>
  <c r="AH32" i="1"/>
  <c r="AH41" i="1"/>
  <c r="AH115" i="1"/>
  <c r="AH15" i="1"/>
  <c r="H41" i="20"/>
  <c r="H40" i="20"/>
  <c r="H39" i="20"/>
  <c r="F41" i="20"/>
  <c r="F40" i="20"/>
  <c r="F39" i="20"/>
  <c r="D41" i="20"/>
  <c r="D40" i="20"/>
  <c r="D39" i="20"/>
  <c r="C41" i="20"/>
  <c r="C39" i="20"/>
  <c r="C40" i="20"/>
  <c r="AJ89" i="1" l="1"/>
  <c r="J18" i="27"/>
  <c r="J19" i="27" s="1"/>
  <c r="AK90" i="1"/>
  <c r="AF18" i="23"/>
  <c r="I18" i="27"/>
  <c r="I19" i="27" s="1"/>
  <c r="AZ74" i="1"/>
  <c r="BA74" i="1" s="1"/>
  <c r="BB74" i="1" s="1"/>
  <c r="BC74" i="1" s="1"/>
  <c r="BD74" i="1" s="1"/>
  <c r="BE74" i="1" s="1"/>
  <c r="BF74" i="1" s="1"/>
  <c r="AI88" i="1"/>
  <c r="AI64" i="1"/>
  <c r="AN72" i="1"/>
  <c r="P17" i="27"/>
  <c r="AH42" i="1"/>
  <c r="AH64" i="1"/>
  <c r="AH88" i="1"/>
  <c r="FB11" i="24"/>
  <c r="FA11" i="24"/>
  <c r="EZ11" i="24"/>
  <c r="EY11" i="24"/>
  <c r="EX11" i="24"/>
  <c r="EW11" i="24"/>
  <c r="EV11" i="24"/>
  <c r="EU11" i="24"/>
  <c r="ET11" i="24"/>
  <c r="ES11" i="24"/>
  <c r="ER11" i="24"/>
  <c r="EQ11" i="24"/>
  <c r="EP11" i="24"/>
  <c r="EO11" i="24"/>
  <c r="EN11" i="24"/>
  <c r="EM11" i="24"/>
  <c r="EL11" i="24"/>
  <c r="EK11" i="24"/>
  <c r="EJ11" i="24"/>
  <c r="EI11" i="24"/>
  <c r="EH11" i="24"/>
  <c r="EG11" i="24"/>
  <c r="EF11" i="24"/>
  <c r="EE11" i="24"/>
  <c r="ED11" i="24"/>
  <c r="EC11" i="24"/>
  <c r="EB11" i="24"/>
  <c r="EA11" i="24"/>
  <c r="DZ11" i="24"/>
  <c r="DY11" i="24"/>
  <c r="DX11" i="24"/>
  <c r="DW11" i="24"/>
  <c r="DV11" i="24"/>
  <c r="DU11" i="24"/>
  <c r="DT11" i="24"/>
  <c r="DS11" i="24"/>
  <c r="DR11" i="24"/>
  <c r="DQ11" i="24"/>
  <c r="DP11" i="24"/>
  <c r="DO11" i="24"/>
  <c r="DN11" i="24"/>
  <c r="DM11" i="24"/>
  <c r="DL11" i="24"/>
  <c r="DK11" i="24"/>
  <c r="DJ11" i="24"/>
  <c r="DI11" i="24"/>
  <c r="DH11" i="24"/>
  <c r="DG11" i="24"/>
  <c r="DF11" i="24"/>
  <c r="DE11" i="24"/>
  <c r="DD11" i="24"/>
  <c r="DC11" i="24"/>
  <c r="DB11" i="24"/>
  <c r="DA11" i="24"/>
  <c r="CZ11" i="24"/>
  <c r="CY11" i="24"/>
  <c r="CX11" i="24"/>
  <c r="CW11" i="24"/>
  <c r="CV11" i="24"/>
  <c r="CU11" i="24"/>
  <c r="CT11" i="24"/>
  <c r="CS11" i="24"/>
  <c r="CR11" i="24"/>
  <c r="CQ11" i="24"/>
  <c r="CP11" i="24"/>
  <c r="CO11" i="24"/>
  <c r="CN11" i="24"/>
  <c r="CM11" i="24"/>
  <c r="CL11" i="24"/>
  <c r="CK11" i="24"/>
  <c r="CJ11" i="24"/>
  <c r="CI11" i="24"/>
  <c r="J25" i="27" l="1"/>
  <c r="J26" i="27" s="1"/>
  <c r="AF17" i="23"/>
  <c r="AT17" i="23" s="1"/>
  <c r="AK20" i="1"/>
  <c r="AK18" i="1" s="1"/>
  <c r="AK17" i="1" s="1"/>
  <c r="AT18" i="23"/>
  <c r="AS18" i="23"/>
  <c r="J29" i="27"/>
  <c r="J30" i="27" s="1"/>
  <c r="I25" i="27"/>
  <c r="I26" i="27" s="1"/>
  <c r="BG74" i="1"/>
  <c r="BH74" i="1" s="1"/>
  <c r="BI74" i="1" s="1"/>
  <c r="BJ74" i="1" s="1"/>
  <c r="BK74" i="1" s="1"/>
  <c r="AI99" i="1"/>
  <c r="AI89" i="1"/>
  <c r="AI43" i="1"/>
  <c r="AO72" i="1"/>
  <c r="AH89" i="1"/>
  <c r="AH43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AG34" i="1"/>
  <c r="AG36" i="1"/>
  <c r="D16" i="5"/>
  <c r="N15" i="27"/>
  <c r="M15" i="27"/>
  <c r="L15" i="27"/>
  <c r="H15" i="27"/>
  <c r="G15" i="27"/>
  <c r="F15" i="27"/>
  <c r="E15" i="27"/>
  <c r="D15" i="27"/>
  <c r="C15" i="27"/>
  <c r="I53" i="1"/>
  <c r="J53" i="1" s="1"/>
  <c r="K53" i="1" s="1"/>
  <c r="L53" i="1" s="1"/>
  <c r="M53" i="1" s="1"/>
  <c r="N53" i="1" s="1"/>
  <c r="I54" i="1"/>
  <c r="J54" i="1" s="1"/>
  <c r="K54" i="1" s="1"/>
  <c r="L54" i="1" s="1"/>
  <c r="M54" i="1" s="1"/>
  <c r="N54" i="1" s="1"/>
  <c r="I52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G37" i="1"/>
  <c r="AG33" i="1"/>
  <c r="AK33" i="1" s="1"/>
  <c r="H13" i="27"/>
  <c r="AK21" i="1" l="1"/>
  <c r="AS17" i="23"/>
  <c r="I29" i="27"/>
  <c r="I30" i="27" s="1"/>
  <c r="BL74" i="1"/>
  <c r="BM74" i="1" s="1"/>
  <c r="BN74" i="1" s="1"/>
  <c r="BO74" i="1" s="1"/>
  <c r="BP74" i="1" s="1"/>
  <c r="BQ74" i="1" s="1"/>
  <c r="BR74" i="1" s="1"/>
  <c r="S45" i="1"/>
  <c r="AA45" i="1"/>
  <c r="AI47" i="1"/>
  <c r="AI137" i="1"/>
  <c r="AI140" i="1" s="1"/>
  <c r="AI146" i="1" s="1"/>
  <c r="J33" i="27" s="1"/>
  <c r="AP72" i="1"/>
  <c r="AH47" i="1"/>
  <c r="AL35" i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DA35" i="1" s="1"/>
  <c r="DB35" i="1" s="1"/>
  <c r="DC35" i="1" s="1"/>
  <c r="DD35" i="1" s="1"/>
  <c r="DE35" i="1" s="1"/>
  <c r="DF35" i="1" s="1"/>
  <c r="DG35" i="1" s="1"/>
  <c r="V45" i="1"/>
  <c r="AD45" i="1"/>
  <c r="O45" i="1"/>
  <c r="W45" i="1"/>
  <c r="AE45" i="1"/>
  <c r="AB45" i="1"/>
  <c r="AC45" i="1"/>
  <c r="T45" i="1"/>
  <c r="U45" i="1"/>
  <c r="R45" i="1"/>
  <c r="Z45" i="1"/>
  <c r="P45" i="1"/>
  <c r="X45" i="1"/>
  <c r="AF45" i="1"/>
  <c r="N45" i="1"/>
  <c r="Y45" i="1"/>
  <c r="Q45" i="1"/>
  <c r="AG45" i="1"/>
  <c r="M45" i="1"/>
  <c r="L45" i="1"/>
  <c r="J52" i="1"/>
  <c r="AG1" i="1"/>
  <c r="AG3" i="1" s="1"/>
  <c r="AG2" i="1"/>
  <c r="AG12" i="1"/>
  <c r="AG18" i="1"/>
  <c r="AG23" i="1"/>
  <c r="H11" i="24" s="1"/>
  <c r="AG25" i="1"/>
  <c r="AG69" i="1"/>
  <c r="H21" i="27" s="1"/>
  <c r="AG111" i="1"/>
  <c r="AG114" i="1"/>
  <c r="AH138" i="1" s="1"/>
  <c r="AG119" i="1"/>
  <c r="AG125" i="1"/>
  <c r="AG143" i="1"/>
  <c r="AH1" i="1"/>
  <c r="AH3" i="1" s="1"/>
  <c r="AH2" i="1"/>
  <c r="G13" i="27"/>
  <c r="AF36" i="1"/>
  <c r="AF12" i="1"/>
  <c r="AF15" i="1" s="1"/>
  <c r="AF18" i="1"/>
  <c r="AF23" i="1"/>
  <c r="AF25" i="1"/>
  <c r="AF33" i="1"/>
  <c r="AF34" i="1"/>
  <c r="AF37" i="1"/>
  <c r="AF69" i="1"/>
  <c r="G21" i="27" s="1"/>
  <c r="AF111" i="1"/>
  <c r="AF114" i="1"/>
  <c r="AF119" i="1"/>
  <c r="AF125" i="1"/>
  <c r="AA17" i="23"/>
  <c r="AA19" i="23"/>
  <c r="AA22" i="23"/>
  <c r="AA30" i="23"/>
  <c r="AA32" i="23"/>
  <c r="AA33" i="23"/>
  <c r="AA35" i="23"/>
  <c r="AA36" i="23"/>
  <c r="AA37" i="23"/>
  <c r="AA38" i="23"/>
  <c r="AA39" i="23"/>
  <c r="AA40" i="23"/>
  <c r="M42" i="23"/>
  <c r="AE36" i="1"/>
  <c r="AE25" i="1"/>
  <c r="AA21" i="23" s="1"/>
  <c r="F13" i="27"/>
  <c r="AE12" i="1"/>
  <c r="AE15" i="1" s="1"/>
  <c r="AE18" i="1"/>
  <c r="AA18" i="23" s="1"/>
  <c r="AE23" i="1"/>
  <c r="AE33" i="1"/>
  <c r="AE34" i="1"/>
  <c r="AE37" i="1"/>
  <c r="AE111" i="1"/>
  <c r="AE114" i="1"/>
  <c r="AE119" i="1"/>
  <c r="AE125" i="1"/>
  <c r="AE69" i="1"/>
  <c r="F21" i="27" s="1"/>
  <c r="Z17" i="23"/>
  <c r="Z19" i="23"/>
  <c r="Z22" i="23"/>
  <c r="Z30" i="23"/>
  <c r="Z32" i="23"/>
  <c r="Z33" i="23"/>
  <c r="Z35" i="23"/>
  <c r="Z36" i="23"/>
  <c r="Z37" i="23"/>
  <c r="Z38" i="23"/>
  <c r="Z39" i="23"/>
  <c r="Z40" i="23"/>
  <c r="AI16" i="23"/>
  <c r="AI29" i="23" s="1"/>
  <c r="AF1" i="1"/>
  <c r="AF3" i="1" s="1"/>
  <c r="AF2" i="1"/>
  <c r="AE1" i="1"/>
  <c r="AE3" i="1" s="1"/>
  <c r="AE2" i="1"/>
  <c r="AE143" i="1"/>
  <c r="AE144" i="1" s="1"/>
  <c r="AA36" i="1"/>
  <c r="BS74" i="1" l="1"/>
  <c r="BT74" i="1" s="1"/>
  <c r="BU74" i="1" s="1"/>
  <c r="BV74" i="1" s="1"/>
  <c r="BW74" i="1" s="1"/>
  <c r="BX74" i="1"/>
  <c r="BY74" i="1" s="1"/>
  <c r="BZ74" i="1" s="1"/>
  <c r="CA74" i="1" s="1"/>
  <c r="CB74" i="1" s="1"/>
  <c r="CC74" i="1" s="1"/>
  <c r="CD74" i="1" s="1"/>
  <c r="AH139" i="1"/>
  <c r="AQ72" i="1"/>
  <c r="AH99" i="1"/>
  <c r="AH137" i="1" s="1"/>
  <c r="AG90" i="1"/>
  <c r="AG15" i="1"/>
  <c r="AK15" i="1" s="1"/>
  <c r="AF14" i="1"/>
  <c r="AF90" i="1"/>
  <c r="AE14" i="1"/>
  <c r="AE90" i="1"/>
  <c r="K52" i="1"/>
  <c r="AG24" i="1"/>
  <c r="AG48" i="1" s="1"/>
  <c r="AG14" i="1"/>
  <c r="AG63" i="1" s="1"/>
  <c r="AG64" i="1" s="1"/>
  <c r="H12" i="27"/>
  <c r="AG120" i="1"/>
  <c r="AG121" i="1" s="1"/>
  <c r="AG144" i="1"/>
  <c r="AG139" i="1"/>
  <c r="AG138" i="1"/>
  <c r="AF24" i="1"/>
  <c r="AF48" i="1" s="1"/>
  <c r="G12" i="27"/>
  <c r="G14" i="27" s="1"/>
  <c r="G18" i="27" s="1"/>
  <c r="AA48" i="23"/>
  <c r="AF120" i="1"/>
  <c r="AF121" i="1" s="1"/>
  <c r="AE24" i="1"/>
  <c r="AA20" i="23" s="1"/>
  <c r="F12" i="27"/>
  <c r="F14" i="27" s="1"/>
  <c r="AE120" i="1"/>
  <c r="AE121" i="1" s="1"/>
  <c r="AF139" i="1"/>
  <c r="AF143" i="1"/>
  <c r="AD33" i="1"/>
  <c r="AD36" i="1"/>
  <c r="AC36" i="1"/>
  <c r="AB36" i="1"/>
  <c r="Z36" i="1"/>
  <c r="Y36" i="1"/>
  <c r="X36" i="1"/>
  <c r="W36" i="1"/>
  <c r="V36" i="1"/>
  <c r="U36" i="1"/>
  <c r="T36" i="1"/>
  <c r="S36" i="1"/>
  <c r="R36" i="1"/>
  <c r="Q36" i="1"/>
  <c r="P36" i="1"/>
  <c r="P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P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3" i="1"/>
  <c r="AA25" i="1"/>
  <c r="W21" i="23" s="1"/>
  <c r="Z25" i="1"/>
  <c r="V21" i="23" s="1"/>
  <c r="Y25" i="1"/>
  <c r="U21" i="23" s="1"/>
  <c r="X25" i="1"/>
  <c r="W25" i="1"/>
  <c r="S21" i="23" s="1"/>
  <c r="V25" i="1"/>
  <c r="U25" i="1"/>
  <c r="T25" i="1"/>
  <c r="S25" i="1"/>
  <c r="R25" i="1"/>
  <c r="Q27" i="1"/>
  <c r="Q25" i="1" s="1"/>
  <c r="P25" i="1"/>
  <c r="AC25" i="1"/>
  <c r="Y21" i="23" s="1"/>
  <c r="AB25" i="1"/>
  <c r="X21" i="23" s="1"/>
  <c r="P13" i="26"/>
  <c r="E13" i="27"/>
  <c r="Z111" i="1"/>
  <c r="AA111" i="1"/>
  <c r="AB111" i="1"/>
  <c r="AC111" i="1"/>
  <c r="AD111" i="1"/>
  <c r="Y111" i="1"/>
  <c r="AD25" i="1"/>
  <c r="Z21" i="23" s="1"/>
  <c r="AD114" i="1"/>
  <c r="AD125" i="1"/>
  <c r="F32" i="25"/>
  <c r="AD12" i="1"/>
  <c r="AD15" i="1" s="1"/>
  <c r="AD18" i="1"/>
  <c r="Z18" i="23" s="1"/>
  <c r="AD23" i="1"/>
  <c r="Y30" i="23"/>
  <c r="Y17" i="23"/>
  <c r="Y19" i="23"/>
  <c r="Y22" i="23"/>
  <c r="Y32" i="23"/>
  <c r="Y33" i="23"/>
  <c r="Y35" i="23"/>
  <c r="Y36" i="23"/>
  <c r="Y37" i="23"/>
  <c r="Y38" i="23"/>
  <c r="Y39" i="23"/>
  <c r="U17" i="23"/>
  <c r="V17" i="23"/>
  <c r="W17" i="23"/>
  <c r="X17" i="23"/>
  <c r="U19" i="23"/>
  <c r="V19" i="23"/>
  <c r="W19" i="23"/>
  <c r="X19" i="23"/>
  <c r="U22" i="23"/>
  <c r="V22" i="23"/>
  <c r="W22" i="23"/>
  <c r="X22" i="23"/>
  <c r="U32" i="23"/>
  <c r="V32" i="23"/>
  <c r="W32" i="23"/>
  <c r="X32" i="23"/>
  <c r="U33" i="23"/>
  <c r="V33" i="23"/>
  <c r="W33" i="23"/>
  <c r="X33" i="23"/>
  <c r="U34" i="23"/>
  <c r="V34" i="23"/>
  <c r="W34" i="23"/>
  <c r="X34" i="23"/>
  <c r="U35" i="23"/>
  <c r="V35" i="23"/>
  <c r="W35" i="23"/>
  <c r="X35" i="23"/>
  <c r="U36" i="23"/>
  <c r="V36" i="23"/>
  <c r="W36" i="23"/>
  <c r="X36" i="23"/>
  <c r="U37" i="23"/>
  <c r="V37" i="23"/>
  <c r="W37" i="23"/>
  <c r="X37" i="23"/>
  <c r="U38" i="23"/>
  <c r="V38" i="23"/>
  <c r="W38" i="23"/>
  <c r="X38" i="23"/>
  <c r="U39" i="23"/>
  <c r="V39" i="23"/>
  <c r="W39" i="23"/>
  <c r="X39" i="23"/>
  <c r="U40" i="23"/>
  <c r="V40" i="23"/>
  <c r="W40" i="23"/>
  <c r="X40" i="23"/>
  <c r="U45" i="23"/>
  <c r="U46" i="23" s="1"/>
  <c r="U47" i="23" s="1"/>
  <c r="V45" i="23"/>
  <c r="V46" i="23" s="1"/>
  <c r="V47" i="23" s="1"/>
  <c r="W45" i="23"/>
  <c r="W46" i="23" s="1"/>
  <c r="W47" i="23" s="1"/>
  <c r="X45" i="23"/>
  <c r="X46" i="23" s="1"/>
  <c r="X47" i="23" s="1"/>
  <c r="T17" i="23"/>
  <c r="T19" i="23"/>
  <c r="T22" i="23"/>
  <c r="T32" i="23"/>
  <c r="T33" i="23"/>
  <c r="T34" i="23"/>
  <c r="T35" i="23"/>
  <c r="T36" i="23"/>
  <c r="T37" i="23"/>
  <c r="T38" i="23"/>
  <c r="T39" i="23"/>
  <c r="T40" i="23"/>
  <c r="T45" i="23"/>
  <c r="T46" i="23" s="1"/>
  <c r="T47" i="23" s="1"/>
  <c r="S17" i="23"/>
  <c r="S45" i="23"/>
  <c r="S40" i="23"/>
  <c r="S39" i="23"/>
  <c r="S38" i="23"/>
  <c r="S37" i="23"/>
  <c r="S36" i="23"/>
  <c r="S35" i="23"/>
  <c r="S34" i="23"/>
  <c r="S33" i="23"/>
  <c r="S32" i="23"/>
  <c r="S22" i="23"/>
  <c r="S19" i="23"/>
  <c r="D13" i="27"/>
  <c r="C33" i="25"/>
  <c r="C32" i="25"/>
  <c r="D33" i="25"/>
  <c r="E32" i="25"/>
  <c r="D32" i="25"/>
  <c r="H14" i="27" l="1"/>
  <c r="H18" i="27" s="1"/>
  <c r="H19" i="27" s="1"/>
  <c r="CE74" i="1"/>
  <c r="CF74" i="1" s="1"/>
  <c r="CG74" i="1" s="1"/>
  <c r="CH74" i="1" s="1"/>
  <c r="CI74" i="1" s="1"/>
  <c r="CJ74" i="1"/>
  <c r="CK74" i="1" s="1"/>
  <c r="CL74" i="1" s="1"/>
  <c r="CM74" i="1" s="1"/>
  <c r="CN74" i="1" s="1"/>
  <c r="CO74" i="1" s="1"/>
  <c r="CP74" i="1" s="1"/>
  <c r="AH140" i="1"/>
  <c r="AH146" i="1" s="1"/>
  <c r="I33" i="27" s="1"/>
  <c r="AR72" i="1"/>
  <c r="F18" i="27"/>
  <c r="F19" i="27" s="1"/>
  <c r="AA16" i="23"/>
  <c r="AE63" i="1"/>
  <c r="AE64" i="1" s="1"/>
  <c r="AF41" i="1"/>
  <c r="AF63" i="1"/>
  <c r="AF64" i="1" s="1"/>
  <c r="AG41" i="1"/>
  <c r="AG32" i="1"/>
  <c r="AE41" i="1"/>
  <c r="AE32" i="1"/>
  <c r="AA23" i="23" s="1"/>
  <c r="AE115" i="1"/>
  <c r="AF32" i="1"/>
  <c r="AF115" i="1"/>
  <c r="AD14" i="1"/>
  <c r="AD90" i="1"/>
  <c r="L52" i="1"/>
  <c r="AG115" i="1"/>
  <c r="Q33" i="1"/>
  <c r="G19" i="27"/>
  <c r="AF144" i="1"/>
  <c r="AE48" i="1"/>
  <c r="AA25" i="23" s="1"/>
  <c r="E12" i="27"/>
  <c r="E14" i="27" s="1"/>
  <c r="AD24" i="1"/>
  <c r="U42" i="23"/>
  <c r="X42" i="23"/>
  <c r="W42" i="23"/>
  <c r="V42" i="23"/>
  <c r="T42" i="23"/>
  <c r="AB12" i="1"/>
  <c r="AB15" i="1" s="1"/>
  <c r="AC12" i="1"/>
  <c r="AC18" i="1"/>
  <c r="Y18" i="23" s="1"/>
  <c r="AC23" i="1"/>
  <c r="AC24" i="1" s="1"/>
  <c r="AC48" i="1" s="1"/>
  <c r="AD69" i="1"/>
  <c r="E21" i="27" s="1"/>
  <c r="AC69" i="1"/>
  <c r="D21" i="27" s="1"/>
  <c r="AC93" i="1"/>
  <c r="AC94" i="1" s="1"/>
  <c r="AC125" i="1"/>
  <c r="K44" i="23"/>
  <c r="CQ74" i="1" l="1"/>
  <c r="CR74" i="1" s="1"/>
  <c r="CS74" i="1" s="1"/>
  <c r="CT74" i="1" s="1"/>
  <c r="CU74" i="1" s="1"/>
  <c r="AS72" i="1"/>
  <c r="E18" i="27"/>
  <c r="E19" i="27" s="1"/>
  <c r="Z16" i="23"/>
  <c r="AD63" i="1"/>
  <c r="AD64" i="1" s="1"/>
  <c r="AD32" i="1"/>
  <c r="Z23" i="23" s="1"/>
  <c r="AD41" i="1"/>
  <c r="AD115" i="1"/>
  <c r="AC90" i="1"/>
  <c r="AC15" i="1"/>
  <c r="C12" i="27"/>
  <c r="AB90" i="1"/>
  <c r="M52" i="1"/>
  <c r="AD48" i="1"/>
  <c r="Z25" i="23" s="1"/>
  <c r="Z20" i="23"/>
  <c r="AC119" i="1"/>
  <c r="Y20" i="23"/>
  <c r="AD93" i="1"/>
  <c r="Y45" i="23"/>
  <c r="Y46" i="23" s="1"/>
  <c r="Y47" i="23" s="1"/>
  <c r="Y34" i="23"/>
  <c r="Y40" i="23"/>
  <c r="AC14" i="1"/>
  <c r="AC63" i="1" s="1"/>
  <c r="AC64" i="1" s="1"/>
  <c r="D12" i="27"/>
  <c r="D14" i="27" s="1"/>
  <c r="D18" i="27" s="1"/>
  <c r="E33" i="25"/>
  <c r="AC114" i="1"/>
  <c r="CV74" i="1" l="1"/>
  <c r="CW74" i="1" s="1"/>
  <c r="CX74" i="1" s="1"/>
  <c r="CY74" i="1" s="1"/>
  <c r="CZ74" i="1" s="1"/>
  <c r="DA74" i="1" s="1"/>
  <c r="DB74" i="1" s="1"/>
  <c r="DC74" i="1" s="1"/>
  <c r="DD74" i="1" s="1"/>
  <c r="DE74" i="1" s="1"/>
  <c r="DF74" i="1" s="1"/>
  <c r="DG74" i="1" s="1"/>
  <c r="AT72" i="1"/>
  <c r="AL15" i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N52" i="1"/>
  <c r="Z34" i="23"/>
  <c r="Z42" i="23" s="1"/>
  <c r="Z43" i="23" s="1"/>
  <c r="Z44" i="23" s="1"/>
  <c r="Z45" i="23"/>
  <c r="Z46" i="23" s="1"/>
  <c r="Z47" i="23" s="1"/>
  <c r="AE93" i="1"/>
  <c r="F33" i="25"/>
  <c r="AC32" i="1"/>
  <c r="Y23" i="23" s="1"/>
  <c r="AC115" i="1"/>
  <c r="Y42" i="23"/>
  <c r="AD119" i="1"/>
  <c r="AE139" i="1" s="1"/>
  <c r="AD94" i="1"/>
  <c r="Y25" i="23"/>
  <c r="D22" i="27"/>
  <c r="D19" i="27"/>
  <c r="AC41" i="1"/>
  <c r="Y16" i="23"/>
  <c r="AC87" i="1"/>
  <c r="AU72" i="1" l="1"/>
  <c r="AL90" i="1"/>
  <c r="Z49" i="23"/>
  <c r="AF93" i="1"/>
  <c r="AE94" i="1"/>
  <c r="AA45" i="23"/>
  <c r="AA46" i="23" s="1"/>
  <c r="AA47" i="23" s="1"/>
  <c r="AA34" i="23"/>
  <c r="AA42" i="23" s="1"/>
  <c r="AA43" i="23" s="1"/>
  <c r="AA44" i="23" s="1"/>
  <c r="E22" i="27"/>
  <c r="E23" i="27" s="1"/>
  <c r="E25" i="27" s="1"/>
  <c r="AC88" i="1"/>
  <c r="AC43" i="1" s="1"/>
  <c r="Y43" i="23"/>
  <c r="Y49" i="23" s="1"/>
  <c r="D23" i="27"/>
  <c r="D25" i="27" s="1"/>
  <c r="AD87" i="1"/>
  <c r="AR16" i="23"/>
  <c r="AQ16" i="23"/>
  <c r="AP16" i="23"/>
  <c r="AO16" i="23"/>
  <c r="AN16" i="23"/>
  <c r="AN28" i="23" s="1"/>
  <c r="AM16" i="23"/>
  <c r="AL16" i="23"/>
  <c r="AL28" i="23" s="1"/>
  <c r="AL29" i="23" s="1"/>
  <c r="AK16" i="23"/>
  <c r="AK29" i="23" s="1"/>
  <c r="AJ16" i="23"/>
  <c r="AI43" i="23"/>
  <c r="AI44" i="23" s="1"/>
  <c r="AG16" i="23"/>
  <c r="AH16" i="23"/>
  <c r="AH29" i="23" s="1"/>
  <c r="C15" i="25"/>
  <c r="AN69" i="1"/>
  <c r="AM69" i="1"/>
  <c r="N22" i="25" s="1"/>
  <c r="AL69" i="1"/>
  <c r="M22" i="25" s="1"/>
  <c r="AK69" i="1"/>
  <c r="L22" i="25" s="1"/>
  <c r="K22" i="25"/>
  <c r="J22" i="25"/>
  <c r="I22" i="25"/>
  <c r="H22" i="25"/>
  <c r="F22" i="25"/>
  <c r="E22" i="25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N33" i="27"/>
  <c r="M33" i="27"/>
  <c r="L33" i="27"/>
  <c r="N32" i="27"/>
  <c r="M32" i="27"/>
  <c r="L32" i="27"/>
  <c r="AV72" i="1" l="1"/>
  <c r="AM28" i="23"/>
  <c r="AM43" i="23" s="1"/>
  <c r="AM44" i="23" s="1"/>
  <c r="AN43" i="23"/>
  <c r="AN44" i="23" s="1"/>
  <c r="AN29" i="23"/>
  <c r="AO43" i="23"/>
  <c r="AO29" i="23"/>
  <c r="AG43" i="23"/>
  <c r="AG44" i="23" s="1"/>
  <c r="AG29" i="23"/>
  <c r="AP43" i="23"/>
  <c r="AP29" i="23"/>
  <c r="AQ43" i="23"/>
  <c r="AQ29" i="23"/>
  <c r="AJ43" i="23"/>
  <c r="AJ44" i="23" s="1"/>
  <c r="AJ29" i="23"/>
  <c r="AR43" i="23"/>
  <c r="AR29" i="23"/>
  <c r="AL43" i="23"/>
  <c r="AL44" i="23" s="1"/>
  <c r="AM90" i="1"/>
  <c r="AG94" i="1"/>
  <c r="H22" i="27"/>
  <c r="H23" i="27" s="1"/>
  <c r="H25" i="27" s="1"/>
  <c r="AK43" i="23"/>
  <c r="AK44" i="23" s="1"/>
  <c r="AE87" i="1"/>
  <c r="F22" i="27"/>
  <c r="F23" i="27" s="1"/>
  <c r="F25" i="27" s="1"/>
  <c r="AF94" i="1"/>
  <c r="AA49" i="23"/>
  <c r="AD88" i="1"/>
  <c r="AD99" i="1" s="1"/>
  <c r="E29" i="27"/>
  <c r="E30" i="27" s="1"/>
  <c r="AC89" i="1"/>
  <c r="AC99" i="1"/>
  <c r="E26" i="27"/>
  <c r="Y44" i="23"/>
  <c r="D26" i="27"/>
  <c r="D29" i="27"/>
  <c r="D30" i="27" s="1"/>
  <c r="C22" i="25"/>
  <c r="C21" i="27"/>
  <c r="P21" i="27" s="1"/>
  <c r="AH43" i="23"/>
  <c r="D22" i="25"/>
  <c r="G22" i="25"/>
  <c r="L22" i="27"/>
  <c r="L23" i="27" s="1"/>
  <c r="M22" i="27"/>
  <c r="M23" i="27" s="1"/>
  <c r="N22" i="27"/>
  <c r="N23" i="27" s="1"/>
  <c r="L12" i="27"/>
  <c r="M12" i="27"/>
  <c r="N12" i="27"/>
  <c r="L13" i="27"/>
  <c r="M13" i="27"/>
  <c r="N13" i="27"/>
  <c r="C13" i="27"/>
  <c r="N10" i="27"/>
  <c r="M10" i="27"/>
  <c r="L10" i="27"/>
  <c r="K10" i="27"/>
  <c r="I10" i="27"/>
  <c r="H10" i="27"/>
  <c r="G10" i="27"/>
  <c r="F10" i="27"/>
  <c r="E10" i="27"/>
  <c r="D10" i="27"/>
  <c r="C10" i="27"/>
  <c r="AW72" i="1" l="1"/>
  <c r="AM29" i="23"/>
  <c r="AE88" i="1"/>
  <c r="AE99" i="1" s="1"/>
  <c r="AN90" i="1"/>
  <c r="H26" i="27"/>
  <c r="H29" i="27"/>
  <c r="H30" i="27" s="1"/>
  <c r="AG87" i="1"/>
  <c r="F26" i="27"/>
  <c r="F29" i="27"/>
  <c r="F30" i="27" s="1"/>
  <c r="P12" i="27"/>
  <c r="P13" i="27"/>
  <c r="G22" i="27"/>
  <c r="G23" i="27" s="1"/>
  <c r="G25" i="27" s="1"/>
  <c r="AF87" i="1"/>
  <c r="AF88" i="1" s="1"/>
  <c r="AD43" i="1"/>
  <c r="AD89" i="1"/>
  <c r="P22" i="25"/>
  <c r="AH44" i="23"/>
  <c r="M14" i="27"/>
  <c r="L14" i="27"/>
  <c r="C14" i="27"/>
  <c r="C18" i="27" s="1"/>
  <c r="C19" i="27" s="1"/>
  <c r="N14" i="27"/>
  <c r="AA12" i="1"/>
  <c r="AA15" i="1" s="1"/>
  <c r="AB114" i="1"/>
  <c r="AB119" i="1"/>
  <c r="AB125" i="1"/>
  <c r="AB143" i="1"/>
  <c r="AB144" i="1" s="1"/>
  <c r="AB94" i="1"/>
  <c r="AB18" i="1"/>
  <c r="X18" i="23" s="1"/>
  <c r="AB23" i="1"/>
  <c r="N10" i="25"/>
  <c r="M10" i="25"/>
  <c r="L10" i="25"/>
  <c r="K10" i="25"/>
  <c r="J10" i="25"/>
  <c r="I10" i="25"/>
  <c r="H10" i="25"/>
  <c r="G10" i="25"/>
  <c r="F10" i="25"/>
  <c r="E10" i="25"/>
  <c r="D10" i="25"/>
  <c r="C10" i="25"/>
  <c r="CI10" i="24"/>
  <c r="CI13" i="24" s="1"/>
  <c r="CI14" i="24" s="1"/>
  <c r="CJ10" i="24"/>
  <c r="CJ13" i="24" s="1"/>
  <c r="CJ14" i="24" s="1"/>
  <c r="CK10" i="24"/>
  <c r="CK13" i="24" s="1"/>
  <c r="CK14" i="24" s="1"/>
  <c r="CL10" i="24"/>
  <c r="CL13" i="24" s="1"/>
  <c r="CL14" i="24" s="1"/>
  <c r="CM10" i="24"/>
  <c r="CM13" i="24" s="1"/>
  <c r="CM14" i="24" s="1"/>
  <c r="CN10" i="24"/>
  <c r="CN13" i="24" s="1"/>
  <c r="CN14" i="24" s="1"/>
  <c r="CO10" i="24"/>
  <c r="CO13" i="24" s="1"/>
  <c r="CO14" i="24" s="1"/>
  <c r="CP10" i="24"/>
  <c r="CP13" i="24" s="1"/>
  <c r="CP14" i="24" s="1"/>
  <c r="CQ10" i="24"/>
  <c r="CQ13" i="24" s="1"/>
  <c r="CQ14" i="24" s="1"/>
  <c r="CR10" i="24"/>
  <c r="CR13" i="24" s="1"/>
  <c r="CR14" i="24" s="1"/>
  <c r="CS10" i="24"/>
  <c r="CS13" i="24" s="1"/>
  <c r="CS14" i="24" s="1"/>
  <c r="CT10" i="24"/>
  <c r="CT13" i="24" s="1"/>
  <c r="CT14" i="24" s="1"/>
  <c r="CU10" i="24"/>
  <c r="CU13" i="24" s="1"/>
  <c r="CU14" i="24" s="1"/>
  <c r="CV10" i="24"/>
  <c r="CV13" i="24" s="1"/>
  <c r="CV14" i="24" s="1"/>
  <c r="CW10" i="24"/>
  <c r="CW13" i="24" s="1"/>
  <c r="CW14" i="24" s="1"/>
  <c r="CX10" i="24"/>
  <c r="CX13" i="24" s="1"/>
  <c r="CX14" i="24" s="1"/>
  <c r="CY10" i="24"/>
  <c r="CY13" i="24" s="1"/>
  <c r="CY14" i="24" s="1"/>
  <c r="CZ10" i="24"/>
  <c r="CZ13" i="24" s="1"/>
  <c r="CZ14" i="24" s="1"/>
  <c r="DA10" i="24"/>
  <c r="DA13" i="24" s="1"/>
  <c r="DA14" i="24" s="1"/>
  <c r="DB10" i="24"/>
  <c r="DB13" i="24" s="1"/>
  <c r="DB14" i="24" s="1"/>
  <c r="DC10" i="24"/>
  <c r="DC13" i="24" s="1"/>
  <c r="DC14" i="24" s="1"/>
  <c r="DD10" i="24"/>
  <c r="DD13" i="24" s="1"/>
  <c r="DD14" i="24" s="1"/>
  <c r="DE10" i="24"/>
  <c r="DE13" i="24" s="1"/>
  <c r="DE14" i="24" s="1"/>
  <c r="DF10" i="24"/>
  <c r="DF13" i="24" s="1"/>
  <c r="DF14" i="24" s="1"/>
  <c r="DG10" i="24"/>
  <c r="DG13" i="24" s="1"/>
  <c r="DG14" i="24" s="1"/>
  <c r="DH10" i="24"/>
  <c r="DH13" i="24" s="1"/>
  <c r="DH14" i="24" s="1"/>
  <c r="DI10" i="24"/>
  <c r="DI13" i="24" s="1"/>
  <c r="DI14" i="24" s="1"/>
  <c r="DJ10" i="24"/>
  <c r="DJ13" i="24" s="1"/>
  <c r="DJ14" i="24" s="1"/>
  <c r="DK10" i="24"/>
  <c r="DK13" i="24" s="1"/>
  <c r="DK14" i="24" s="1"/>
  <c r="DL10" i="24"/>
  <c r="DL13" i="24" s="1"/>
  <c r="DL14" i="24" s="1"/>
  <c r="DM10" i="24"/>
  <c r="DM13" i="24" s="1"/>
  <c r="DM14" i="24" s="1"/>
  <c r="DN10" i="24"/>
  <c r="DN13" i="24" s="1"/>
  <c r="DN14" i="24" s="1"/>
  <c r="DO10" i="24"/>
  <c r="DO13" i="24" s="1"/>
  <c r="DO14" i="24" s="1"/>
  <c r="DP10" i="24"/>
  <c r="DP13" i="24" s="1"/>
  <c r="DP14" i="24" s="1"/>
  <c r="DQ10" i="24"/>
  <c r="DQ13" i="24" s="1"/>
  <c r="DQ14" i="24" s="1"/>
  <c r="DR10" i="24"/>
  <c r="DR13" i="24" s="1"/>
  <c r="DR14" i="24" s="1"/>
  <c r="DS10" i="24"/>
  <c r="DS13" i="24" s="1"/>
  <c r="DS14" i="24" s="1"/>
  <c r="DT10" i="24"/>
  <c r="DT13" i="24" s="1"/>
  <c r="DT14" i="24" s="1"/>
  <c r="DU10" i="24"/>
  <c r="DU13" i="24" s="1"/>
  <c r="DU14" i="24" s="1"/>
  <c r="DV10" i="24"/>
  <c r="DV13" i="24" s="1"/>
  <c r="DV14" i="24" s="1"/>
  <c r="DW10" i="24"/>
  <c r="DW13" i="24" s="1"/>
  <c r="DW14" i="24" s="1"/>
  <c r="DX10" i="24"/>
  <c r="DX13" i="24" s="1"/>
  <c r="DX14" i="24" s="1"/>
  <c r="DY10" i="24"/>
  <c r="DY13" i="24" s="1"/>
  <c r="DY14" i="24" s="1"/>
  <c r="DZ10" i="24"/>
  <c r="DZ13" i="24" s="1"/>
  <c r="DZ14" i="24" s="1"/>
  <c r="EA10" i="24"/>
  <c r="EA13" i="24" s="1"/>
  <c r="EA14" i="24" s="1"/>
  <c r="EB10" i="24"/>
  <c r="EB13" i="24" s="1"/>
  <c r="EB14" i="24" s="1"/>
  <c r="EC10" i="24"/>
  <c r="EC13" i="24" s="1"/>
  <c r="EC14" i="24" s="1"/>
  <c r="ED10" i="24"/>
  <c r="ED13" i="24" s="1"/>
  <c r="ED14" i="24" s="1"/>
  <c r="EE10" i="24"/>
  <c r="EE13" i="24" s="1"/>
  <c r="EE14" i="24" s="1"/>
  <c r="EF10" i="24"/>
  <c r="EF13" i="24" s="1"/>
  <c r="EF14" i="24" s="1"/>
  <c r="EG10" i="24"/>
  <c r="EG13" i="24" s="1"/>
  <c r="EG14" i="24" s="1"/>
  <c r="EH10" i="24"/>
  <c r="EH13" i="24" s="1"/>
  <c r="EH14" i="24" s="1"/>
  <c r="EI10" i="24"/>
  <c r="EI13" i="24" s="1"/>
  <c r="EI14" i="24" s="1"/>
  <c r="EJ10" i="24"/>
  <c r="EJ13" i="24" s="1"/>
  <c r="EJ14" i="24" s="1"/>
  <c r="EK10" i="24"/>
  <c r="EK13" i="24" s="1"/>
  <c r="EK14" i="24" s="1"/>
  <c r="EL10" i="24"/>
  <c r="EL13" i="24" s="1"/>
  <c r="EL14" i="24" s="1"/>
  <c r="EM10" i="24"/>
  <c r="EM13" i="24" s="1"/>
  <c r="EM14" i="24" s="1"/>
  <c r="EN10" i="24"/>
  <c r="EN13" i="24" s="1"/>
  <c r="EN14" i="24" s="1"/>
  <c r="EO10" i="24"/>
  <c r="EO13" i="24" s="1"/>
  <c r="EO14" i="24" s="1"/>
  <c r="EP10" i="24"/>
  <c r="EP13" i="24" s="1"/>
  <c r="EP14" i="24" s="1"/>
  <c r="EQ10" i="24"/>
  <c r="EQ13" i="24" s="1"/>
  <c r="EQ14" i="24" s="1"/>
  <c r="ER10" i="24"/>
  <c r="ER13" i="24" s="1"/>
  <c r="ER14" i="24" s="1"/>
  <c r="ES10" i="24"/>
  <c r="ES13" i="24" s="1"/>
  <c r="ES14" i="24" s="1"/>
  <c r="ET10" i="24"/>
  <c r="ET13" i="24" s="1"/>
  <c r="ET14" i="24" s="1"/>
  <c r="EU10" i="24"/>
  <c r="EU13" i="24" s="1"/>
  <c r="EU14" i="24" s="1"/>
  <c r="EV10" i="24"/>
  <c r="EV13" i="24" s="1"/>
  <c r="EV14" i="24" s="1"/>
  <c r="EW10" i="24"/>
  <c r="EW13" i="24" s="1"/>
  <c r="EW14" i="24" s="1"/>
  <c r="EX10" i="24"/>
  <c r="EX13" i="24" s="1"/>
  <c r="EX14" i="24" s="1"/>
  <c r="EY10" i="24"/>
  <c r="EY13" i="24" s="1"/>
  <c r="EY14" i="24" s="1"/>
  <c r="EZ10" i="24"/>
  <c r="EZ13" i="24" s="1"/>
  <c r="EZ14" i="24" s="1"/>
  <c r="FA10" i="24"/>
  <c r="FA13" i="24" s="1"/>
  <c r="FA14" i="24" s="1"/>
  <c r="FB10" i="24"/>
  <c r="FB13" i="24" s="1"/>
  <c r="FB14" i="24" s="1"/>
  <c r="AX72" i="1" l="1"/>
  <c r="L18" i="27"/>
  <c r="L19" i="27" s="1"/>
  <c r="N18" i="27"/>
  <c r="N19" i="27" s="1"/>
  <c r="M18" i="27"/>
  <c r="M25" i="27" s="1"/>
  <c r="M26" i="27" s="1"/>
  <c r="AE43" i="1"/>
  <c r="AE47" i="1" s="1"/>
  <c r="AE89" i="1"/>
  <c r="AO90" i="1"/>
  <c r="AG88" i="1"/>
  <c r="P14" i="27"/>
  <c r="G26" i="27"/>
  <c r="G29" i="27"/>
  <c r="G30" i="27" s="1"/>
  <c r="AF99" i="1"/>
  <c r="AF89" i="1"/>
  <c r="AF43" i="1"/>
  <c r="AB24" i="1"/>
  <c r="AB48" i="1" s="1"/>
  <c r="AC143" i="1"/>
  <c r="Y48" i="23" s="1"/>
  <c r="AC139" i="1"/>
  <c r="G53" i="1"/>
  <c r="O89" i="1"/>
  <c r="N89" i="1"/>
  <c r="M89" i="1"/>
  <c r="L89" i="1"/>
  <c r="K89" i="1"/>
  <c r="J89" i="1"/>
  <c r="AA87" i="1"/>
  <c r="AA94" i="1"/>
  <c r="AA114" i="1"/>
  <c r="AB138" i="1" s="1"/>
  <c r="AA119" i="1"/>
  <c r="AA125" i="1"/>
  <c r="AA143" i="1"/>
  <c r="AA144" i="1" s="1"/>
  <c r="AB85" i="1"/>
  <c r="AC85" i="1" s="1"/>
  <c r="AA18" i="1"/>
  <c r="W18" i="23" s="1"/>
  <c r="AA23" i="1"/>
  <c r="AA24" i="1" s="1"/>
  <c r="C13" i="25"/>
  <c r="Z12" i="1"/>
  <c r="Z15" i="1" s="1"/>
  <c r="Z18" i="1"/>
  <c r="V18" i="23" s="1"/>
  <c r="Z23" i="1"/>
  <c r="Z24" i="1" s="1"/>
  <c r="V20" i="23" s="1"/>
  <c r="W12" i="1"/>
  <c r="W15" i="1" s="1"/>
  <c r="X12" i="1"/>
  <c r="X15" i="1" s="1"/>
  <c r="Y12" i="1"/>
  <c r="AC2" i="1"/>
  <c r="AO2" i="1" s="1"/>
  <c r="AO19" i="1" s="1"/>
  <c r="AD2" i="1"/>
  <c r="AP2" i="1" s="1"/>
  <c r="AP19" i="1" s="1"/>
  <c r="AR2" i="1"/>
  <c r="AR19" i="1" s="1"/>
  <c r="AL19" i="1"/>
  <c r="AM19" i="1"/>
  <c r="AB2" i="1"/>
  <c r="AN2" i="1" s="1"/>
  <c r="AN19" i="1" s="1"/>
  <c r="Y18" i="1"/>
  <c r="U18" i="23" s="1"/>
  <c r="Y23" i="1"/>
  <c r="Y24" i="1" s="1"/>
  <c r="Y94" i="1"/>
  <c r="Y114" i="1"/>
  <c r="Y119" i="1"/>
  <c r="Y125" i="1"/>
  <c r="Z94" i="1"/>
  <c r="Z119" i="1"/>
  <c r="Z125" i="1"/>
  <c r="F42" i="23"/>
  <c r="F43" i="23" s="1"/>
  <c r="F46" i="23"/>
  <c r="F47" i="23" s="1"/>
  <c r="C11" i="20"/>
  <c r="U20" i="23" l="1"/>
  <c r="AK24" i="1"/>
  <c r="N25" i="27"/>
  <c r="N26" i="27" s="1"/>
  <c r="L25" i="27"/>
  <c r="L26" i="27" s="1"/>
  <c r="M19" i="27"/>
  <c r="AY72" i="1"/>
  <c r="P18" i="27"/>
  <c r="P19" i="27" s="1"/>
  <c r="Y14" i="1"/>
  <c r="Y32" i="1" s="1"/>
  <c r="U23" i="23" s="1"/>
  <c r="Y15" i="1"/>
  <c r="AE39" i="1"/>
  <c r="AQ39" i="1" s="1"/>
  <c r="BC39" i="1" s="1"/>
  <c r="BO39" i="1" s="1"/>
  <c r="CA39" i="1" s="1"/>
  <c r="CM39" i="1" s="1"/>
  <c r="CY39" i="1" s="1"/>
  <c r="AF39" i="1"/>
  <c r="AP90" i="1"/>
  <c r="AG39" i="1"/>
  <c r="AS39" i="1" s="1"/>
  <c r="BE39" i="1" s="1"/>
  <c r="BQ39" i="1" s="1"/>
  <c r="CC39" i="1" s="1"/>
  <c r="CO39" i="1" s="1"/>
  <c r="DA39" i="1" s="1"/>
  <c r="AF47" i="1"/>
  <c r="AG89" i="1"/>
  <c r="AG43" i="1"/>
  <c r="AG99" i="1"/>
  <c r="X20" i="23"/>
  <c r="AS2" i="1"/>
  <c r="AS19" i="1" s="1"/>
  <c r="AZ2" i="1"/>
  <c r="AZ19" i="1" s="1"/>
  <c r="AY2" i="1"/>
  <c r="AY19" i="1" s="1"/>
  <c r="BB2" i="1"/>
  <c r="BB19" i="1" s="1"/>
  <c r="AX2" i="1"/>
  <c r="AX19" i="1" s="1"/>
  <c r="BA2" i="1"/>
  <c r="BA19" i="1" s="1"/>
  <c r="AW2" i="1"/>
  <c r="AW19" i="1" s="1"/>
  <c r="AV2" i="1"/>
  <c r="AV19" i="1" s="1"/>
  <c r="AU2" i="1"/>
  <c r="AU19" i="1" s="1"/>
  <c r="AT2" i="1"/>
  <c r="AT19" i="1" s="1"/>
  <c r="BD2" i="1"/>
  <c r="BD19" i="1" s="1"/>
  <c r="AQ2" i="1"/>
  <c r="AQ19" i="1" s="1"/>
  <c r="AY24" i="1"/>
  <c r="BK24" i="1" s="1"/>
  <c r="BW24" i="1" s="1"/>
  <c r="CI24" i="1" s="1"/>
  <c r="CU24" i="1" s="1"/>
  <c r="DG24" i="1" s="1"/>
  <c r="W20" i="23"/>
  <c r="AC144" i="1"/>
  <c r="AD85" i="1"/>
  <c r="AE85" i="1" s="1"/>
  <c r="AC86" i="1"/>
  <c r="Y86" i="1"/>
  <c r="Y87" i="1"/>
  <c r="Z86" i="1"/>
  <c r="Z87" i="1"/>
  <c r="AB139" i="1"/>
  <c r="AA86" i="1"/>
  <c r="AA14" i="1"/>
  <c r="AA32" i="1" s="1"/>
  <c r="AL24" i="1"/>
  <c r="AX24" i="1" s="1"/>
  <c r="BJ24" i="1" s="1"/>
  <c r="BV24" i="1" s="1"/>
  <c r="CH24" i="1" s="1"/>
  <c r="CT24" i="1" s="1"/>
  <c r="DF24" i="1" s="1"/>
  <c r="Y48" i="1"/>
  <c r="U25" i="23" s="1"/>
  <c r="AW24" i="1"/>
  <c r="BI24" i="1" s="1"/>
  <c r="BU24" i="1" s="1"/>
  <c r="CG24" i="1" s="1"/>
  <c r="CS24" i="1" s="1"/>
  <c r="DE24" i="1" s="1"/>
  <c r="AA48" i="1"/>
  <c r="W25" i="23" s="1"/>
  <c r="F49" i="23"/>
  <c r="AA139" i="1"/>
  <c r="Z48" i="1"/>
  <c r="V25" i="23" s="1"/>
  <c r="Y120" i="1"/>
  <c r="Y121" i="1" s="1"/>
  <c r="T87" i="1"/>
  <c r="W87" i="1"/>
  <c r="T21" i="23"/>
  <c r="X87" i="1"/>
  <c r="X94" i="1"/>
  <c r="X111" i="1"/>
  <c r="X114" i="1"/>
  <c r="X119" i="1"/>
  <c r="X125" i="1"/>
  <c r="AL82" i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X14" i="1"/>
  <c r="X18" i="1"/>
  <c r="T18" i="23" s="1"/>
  <c r="AD39" i="1"/>
  <c r="AP39" i="1" s="1"/>
  <c r="BB39" i="1" s="1"/>
  <c r="BN39" i="1" s="1"/>
  <c r="BZ39" i="1" s="1"/>
  <c r="CL39" i="1" s="1"/>
  <c r="CX39" i="1" s="1"/>
  <c r="X23" i="1"/>
  <c r="AL83" i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DB83" i="1" s="1"/>
  <c r="DC83" i="1" s="1"/>
  <c r="DD83" i="1" s="1"/>
  <c r="DE83" i="1" s="1"/>
  <c r="DF83" i="1" s="1"/>
  <c r="DG83" i="1" s="1"/>
  <c r="R87" i="1"/>
  <c r="P87" i="1"/>
  <c r="W14" i="1"/>
  <c r="W32" i="1" s="1"/>
  <c r="W18" i="1"/>
  <c r="S18" i="23" s="1"/>
  <c r="W23" i="1"/>
  <c r="W94" i="1"/>
  <c r="W111" i="1"/>
  <c r="W114" i="1"/>
  <c r="W119" i="1"/>
  <c r="W143" i="1"/>
  <c r="W144" i="1" s="1"/>
  <c r="F18" i="1"/>
  <c r="AB39" i="1"/>
  <c r="AN39" i="1" s="1"/>
  <c r="AZ39" i="1" s="1"/>
  <c r="BL39" i="1" s="1"/>
  <c r="BX39" i="1" s="1"/>
  <c r="CJ39" i="1" s="1"/>
  <c r="CV39" i="1" s="1"/>
  <c r="P20" i="1"/>
  <c r="O20" i="1"/>
  <c r="N20" i="1"/>
  <c r="M20" i="1"/>
  <c r="L20" i="1"/>
  <c r="K20" i="1"/>
  <c r="J20" i="1"/>
  <c r="I20" i="1"/>
  <c r="H20" i="1"/>
  <c r="G20" i="1"/>
  <c r="P19" i="1"/>
  <c r="O19" i="1"/>
  <c r="N19" i="1"/>
  <c r="M19" i="1"/>
  <c r="L19" i="1"/>
  <c r="K19" i="1"/>
  <c r="J19" i="1"/>
  <c r="I19" i="1"/>
  <c r="H19" i="1"/>
  <c r="G19" i="1"/>
  <c r="F20" i="1"/>
  <c r="F19" i="1"/>
  <c r="E46" i="23"/>
  <c r="E47" i="23" s="1"/>
  <c r="E42" i="23"/>
  <c r="E43" i="23" s="1"/>
  <c r="D11" i="20"/>
  <c r="F11" i="20"/>
  <c r="H11" i="20"/>
  <c r="I25" i="15"/>
  <c r="H25" i="15"/>
  <c r="G25" i="15"/>
  <c r="F25" i="15"/>
  <c r="E25" i="15"/>
  <c r="D25" i="15"/>
  <c r="C25" i="15"/>
  <c r="V119" i="1"/>
  <c r="U119" i="1"/>
  <c r="T119" i="1"/>
  <c r="S119" i="1"/>
  <c r="R119" i="1"/>
  <c r="Q119" i="1"/>
  <c r="P119" i="1"/>
  <c r="V12" i="1"/>
  <c r="U12" i="1"/>
  <c r="S12" i="1"/>
  <c r="S15" i="1" s="1"/>
  <c r="S111" i="1"/>
  <c r="T111" i="1"/>
  <c r="U111" i="1"/>
  <c r="V111" i="1"/>
  <c r="S114" i="1"/>
  <c r="T114" i="1"/>
  <c r="U114" i="1"/>
  <c r="V114" i="1"/>
  <c r="S125" i="1"/>
  <c r="T125" i="1"/>
  <c r="U125" i="1"/>
  <c r="V125" i="1"/>
  <c r="T94" i="1"/>
  <c r="U94" i="1"/>
  <c r="V94" i="1"/>
  <c r="S94" i="1"/>
  <c r="V18" i="1"/>
  <c r="V23" i="1"/>
  <c r="U18" i="1"/>
  <c r="U23" i="1"/>
  <c r="T12" i="1"/>
  <c r="T18" i="1"/>
  <c r="T23" i="1"/>
  <c r="T24" i="1" s="1"/>
  <c r="S18" i="1"/>
  <c r="S23" i="1"/>
  <c r="S24" i="1" s="1"/>
  <c r="AK48" i="1" l="1"/>
  <c r="AK25" i="1"/>
  <c r="Y115" i="1"/>
  <c r="Y63" i="1"/>
  <c r="Y64" i="1" s="1"/>
  <c r="AZ72" i="1"/>
  <c r="U16" i="23"/>
  <c r="U43" i="23" s="1"/>
  <c r="U49" i="23" s="1"/>
  <c r="Y41" i="1"/>
  <c r="U14" i="1"/>
  <c r="U32" i="1" s="1"/>
  <c r="U15" i="1"/>
  <c r="V14" i="1"/>
  <c r="V32" i="1" s="1"/>
  <c r="V15" i="1"/>
  <c r="T14" i="1"/>
  <c r="T32" i="1" s="1"/>
  <c r="T15" i="1"/>
  <c r="AG47" i="1"/>
  <c r="AE40" i="1"/>
  <c r="AE42" i="1" s="1"/>
  <c r="AF40" i="1"/>
  <c r="AF42" i="1" s="1"/>
  <c r="AR39" i="1"/>
  <c r="BD39" i="1" s="1"/>
  <c r="BP39" i="1" s="1"/>
  <c r="CB39" i="1" s="1"/>
  <c r="CN39" i="1" s="1"/>
  <c r="CZ39" i="1" s="1"/>
  <c r="Y39" i="1"/>
  <c r="AW39" i="1" s="1"/>
  <c r="BI39" i="1" s="1"/>
  <c r="BU39" i="1" s="1"/>
  <c r="CG39" i="1" s="1"/>
  <c r="CS39" i="1" s="1"/>
  <c r="DE39" i="1" s="1"/>
  <c r="AA39" i="1"/>
  <c r="AM39" i="1" s="1"/>
  <c r="AY39" i="1" s="1"/>
  <c r="BK39" i="1" s="1"/>
  <c r="BW39" i="1" s="1"/>
  <c r="CI39" i="1" s="1"/>
  <c r="CU39" i="1" s="1"/>
  <c r="DG39" i="1" s="1"/>
  <c r="Z39" i="1"/>
  <c r="AL39" i="1" s="1"/>
  <c r="AX39" i="1" s="1"/>
  <c r="BJ39" i="1" s="1"/>
  <c r="BV39" i="1" s="1"/>
  <c r="CH39" i="1" s="1"/>
  <c r="CT39" i="1" s="1"/>
  <c r="DF39" i="1" s="1"/>
  <c r="V39" i="1"/>
  <c r="AT39" i="1" s="1"/>
  <c r="BF39" i="1" s="1"/>
  <c r="BR39" i="1" s="1"/>
  <c r="CD39" i="1" s="1"/>
  <c r="CP39" i="1" s="1"/>
  <c r="DB39" i="1" s="1"/>
  <c r="AQ90" i="1"/>
  <c r="N39" i="1"/>
  <c r="N40" i="1" s="1"/>
  <c r="O39" i="1"/>
  <c r="O40" i="1" s="1"/>
  <c r="W39" i="1"/>
  <c r="X39" i="1"/>
  <c r="Q39" i="1"/>
  <c r="Q40" i="1" s="1"/>
  <c r="R39" i="1"/>
  <c r="R40" i="1" s="1"/>
  <c r="L39" i="1"/>
  <c r="L40" i="1" s="1"/>
  <c r="T39" i="1"/>
  <c r="AC39" i="1"/>
  <c r="AG40" i="1"/>
  <c r="AG42" i="1" s="1"/>
  <c r="AI44" i="1" s="1"/>
  <c r="AI46" i="1" s="1"/>
  <c r="P39" i="1"/>
  <c r="P40" i="1" s="1"/>
  <c r="S39" i="1"/>
  <c r="S40" i="1" s="1"/>
  <c r="M39" i="1"/>
  <c r="M40" i="1" s="1"/>
  <c r="U39" i="1"/>
  <c r="U40" i="1" s="1"/>
  <c r="AG137" i="1"/>
  <c r="AG140" i="1" s="1"/>
  <c r="AG146" i="1" s="1"/>
  <c r="H33" i="27" s="1"/>
  <c r="AF85" i="1"/>
  <c r="AG85" i="1" s="1"/>
  <c r="AH85" i="1" s="1"/>
  <c r="AI85" i="1" s="1"/>
  <c r="AE86" i="1"/>
  <c r="BM2" i="1"/>
  <c r="BM19" i="1" s="1"/>
  <c r="BH2" i="1"/>
  <c r="BH19" i="1" s="1"/>
  <c r="BJ2" i="1"/>
  <c r="BJ19" i="1" s="1"/>
  <c r="BL2" i="1"/>
  <c r="BL19" i="1" s="1"/>
  <c r="BF2" i="1"/>
  <c r="BF19" i="1" s="1"/>
  <c r="BK2" i="1"/>
  <c r="BK19" i="1" s="1"/>
  <c r="BG2" i="1"/>
  <c r="BG19" i="1" s="1"/>
  <c r="BI2" i="1"/>
  <c r="BI19" i="1" s="1"/>
  <c r="BN2" i="1"/>
  <c r="BN19" i="1" s="1"/>
  <c r="BE2" i="1"/>
  <c r="BE19" i="1" s="1"/>
  <c r="BC2" i="1"/>
  <c r="BC19" i="1" s="1"/>
  <c r="BP2" i="1"/>
  <c r="BP19" i="1" s="1"/>
  <c r="T16" i="23"/>
  <c r="T43" i="23" s="1"/>
  <c r="T49" i="23" s="1"/>
  <c r="X32" i="1"/>
  <c r="T23" i="23" s="1"/>
  <c r="Y88" i="1"/>
  <c r="Y89" i="1" s="1"/>
  <c r="W41" i="1"/>
  <c r="S16" i="23"/>
  <c r="AA63" i="1"/>
  <c r="W16" i="23"/>
  <c r="W43" i="23" s="1"/>
  <c r="W49" i="23" s="1"/>
  <c r="AD40" i="1"/>
  <c r="AD42" i="1" s="1"/>
  <c r="AD86" i="1"/>
  <c r="G33" i="25"/>
  <c r="C22" i="27"/>
  <c r="P22" i="27" s="1"/>
  <c r="P23" i="27" s="1"/>
  <c r="C23" i="25"/>
  <c r="C24" i="25" s="1"/>
  <c r="AB87" i="1"/>
  <c r="U86" i="1"/>
  <c r="U87" i="1"/>
  <c r="S86" i="1"/>
  <c r="S87" i="1"/>
  <c r="V86" i="1"/>
  <c r="V87" i="1"/>
  <c r="AB40" i="1"/>
  <c r="AB86" i="1"/>
  <c r="W23" i="23"/>
  <c r="AA115" i="1"/>
  <c r="AA41" i="1"/>
  <c r="X24" i="1"/>
  <c r="X86" i="1"/>
  <c r="T40" i="1"/>
  <c r="W24" i="1"/>
  <c r="V24" i="1"/>
  <c r="U24" i="1"/>
  <c r="X120" i="1"/>
  <c r="X121" i="1" s="1"/>
  <c r="W86" i="1"/>
  <c r="X63" i="1"/>
  <c r="X41" i="1"/>
  <c r="X115" i="1"/>
  <c r="S23" i="23"/>
  <c r="W125" i="1"/>
  <c r="W139" i="1" s="1"/>
  <c r="W120" i="1"/>
  <c r="W121" i="1" s="1"/>
  <c r="T86" i="1"/>
  <c r="W115" i="1"/>
  <c r="T139" i="1"/>
  <c r="E49" i="23"/>
  <c r="S46" i="23"/>
  <c r="S14" i="1"/>
  <c r="S32" i="1" s="1"/>
  <c r="V139" i="1"/>
  <c r="J25" i="15"/>
  <c r="U139" i="1"/>
  <c r="S120" i="1"/>
  <c r="S121" i="1" s="1"/>
  <c r="U120" i="1"/>
  <c r="U121" i="1" s="1"/>
  <c r="V120" i="1"/>
  <c r="V121" i="1" s="1"/>
  <c r="T120" i="1"/>
  <c r="T121" i="1" s="1"/>
  <c r="T48" i="1"/>
  <c r="S48" i="1"/>
  <c r="L143" i="1"/>
  <c r="M143" i="1"/>
  <c r="N143" i="1"/>
  <c r="O143" i="1"/>
  <c r="P143" i="1"/>
  <c r="P144" i="1" s="1"/>
  <c r="Q143" i="1"/>
  <c r="R143" i="1"/>
  <c r="S143" i="1"/>
  <c r="T143" i="1"/>
  <c r="U143" i="1"/>
  <c r="V143" i="1"/>
  <c r="K143" i="1"/>
  <c r="R86" i="1"/>
  <c r="R94" i="1"/>
  <c r="R111" i="1"/>
  <c r="R114" i="1"/>
  <c r="R125" i="1"/>
  <c r="S139" i="1" s="1"/>
  <c r="R12" i="1"/>
  <c r="R15" i="1" s="1"/>
  <c r="R18" i="1"/>
  <c r="R23" i="1"/>
  <c r="R24" i="1" s="1"/>
  <c r="AP24" i="1" s="1"/>
  <c r="BB24" i="1" s="1"/>
  <c r="BN24" i="1" s="1"/>
  <c r="BZ24" i="1" s="1"/>
  <c r="CL24" i="1" s="1"/>
  <c r="CX24" i="1" s="1"/>
  <c r="Q12" i="1"/>
  <c r="Q15" i="1" s="1"/>
  <c r="Q18" i="1"/>
  <c r="Q23" i="1"/>
  <c r="Q24" i="1" s="1"/>
  <c r="Q94" i="1"/>
  <c r="Q111" i="1"/>
  <c r="Q114" i="1"/>
  <c r="Q125" i="1"/>
  <c r="P111" i="1"/>
  <c r="P125" i="1"/>
  <c r="P94" i="1"/>
  <c r="P86" i="1"/>
  <c r="P12" i="1"/>
  <c r="P15" i="1" s="1"/>
  <c r="P18" i="1"/>
  <c r="P23" i="1"/>
  <c r="P24" i="1" s="1"/>
  <c r="M114" i="1"/>
  <c r="L114" i="1"/>
  <c r="K114" i="1"/>
  <c r="AK29" i="1" l="1"/>
  <c r="AK9" i="1" s="1"/>
  <c r="AK28" i="1"/>
  <c r="AK8" i="1" s="1"/>
  <c r="AK30" i="1"/>
  <c r="AK10" i="1" s="1"/>
  <c r="AK27" i="1"/>
  <c r="AK31" i="1"/>
  <c r="V63" i="1"/>
  <c r="V64" i="1" s="1"/>
  <c r="AI86" i="1"/>
  <c r="U41" i="1"/>
  <c r="U42" i="1" s="1"/>
  <c r="V41" i="1"/>
  <c r="T20" i="23"/>
  <c r="AF20" i="23"/>
  <c r="U115" i="1"/>
  <c r="V115" i="1"/>
  <c r="AH44" i="1"/>
  <c r="AH46" i="1" s="1"/>
  <c r="BA72" i="1"/>
  <c r="X88" i="1"/>
  <c r="X64" i="1"/>
  <c r="AA88" i="1"/>
  <c r="AA99" i="1" s="1"/>
  <c r="AA137" i="1" s="1"/>
  <c r="AA64" i="1"/>
  <c r="S20" i="23"/>
  <c r="AH86" i="1"/>
  <c r="U63" i="1"/>
  <c r="U64" i="1" s="1"/>
  <c r="T115" i="1"/>
  <c r="T63" i="1"/>
  <c r="T41" i="1"/>
  <c r="T42" i="1" s="1"/>
  <c r="AG44" i="1"/>
  <c r="AG46" i="1" s="1"/>
  <c r="V40" i="1"/>
  <c r="V42" i="1" s="1"/>
  <c r="Y40" i="1"/>
  <c r="Y42" i="1" s="1"/>
  <c r="AC40" i="1"/>
  <c r="AC42" i="1" s="1"/>
  <c r="AE44" i="1" s="1"/>
  <c r="AE46" i="1" s="1"/>
  <c r="AO39" i="1"/>
  <c r="BA39" i="1" s="1"/>
  <c r="BM39" i="1" s="1"/>
  <c r="BY39" i="1" s="1"/>
  <c r="CK39" i="1" s="1"/>
  <c r="CW39" i="1" s="1"/>
  <c r="X40" i="1"/>
  <c r="AV39" i="1"/>
  <c r="BH39" i="1" s="1"/>
  <c r="BT39" i="1" s="1"/>
  <c r="CF39" i="1" s="1"/>
  <c r="CR39" i="1" s="1"/>
  <c r="DD39" i="1" s="1"/>
  <c r="W40" i="1"/>
  <c r="W42" i="1" s="1"/>
  <c r="AU39" i="1"/>
  <c r="BG39" i="1" s="1"/>
  <c r="BS39" i="1" s="1"/>
  <c r="CE39" i="1" s="1"/>
  <c r="CQ39" i="1" s="1"/>
  <c r="DC39" i="1" s="1"/>
  <c r="AR90" i="1"/>
  <c r="AG86" i="1"/>
  <c r="AF86" i="1"/>
  <c r="AF44" i="1"/>
  <c r="AF46" i="1" s="1"/>
  <c r="BS2" i="1"/>
  <c r="BS19" i="1" s="1"/>
  <c r="BZ2" i="1"/>
  <c r="BZ19" i="1" s="1"/>
  <c r="BR2" i="1"/>
  <c r="BR19" i="1" s="1"/>
  <c r="BU2" i="1"/>
  <c r="BU19" i="1" s="1"/>
  <c r="BV2" i="1"/>
  <c r="BV19" i="1" s="1"/>
  <c r="BQ2" i="1"/>
  <c r="BQ19" i="1" s="1"/>
  <c r="BW2" i="1"/>
  <c r="BW19" i="1" s="1"/>
  <c r="BT2" i="1"/>
  <c r="BT19" i="1" s="1"/>
  <c r="BX2" i="1"/>
  <c r="BX19" i="1" s="1"/>
  <c r="BY2" i="1"/>
  <c r="BY19" i="1" s="1"/>
  <c r="AD47" i="1"/>
  <c r="AC47" i="1"/>
  <c r="AR24" i="1"/>
  <c r="BD24" i="1" s="1"/>
  <c r="BP24" i="1" s="1"/>
  <c r="CB24" i="1" s="1"/>
  <c r="CN24" i="1" s="1"/>
  <c r="CZ24" i="1" s="1"/>
  <c r="BO2" i="1"/>
  <c r="BO19" i="1" s="1"/>
  <c r="CB2" i="1"/>
  <c r="CB19" i="1" s="1"/>
  <c r="C23" i="27"/>
  <c r="C25" i="27" s="1"/>
  <c r="C26" i="27" s="1"/>
  <c r="P25" i="27"/>
  <c r="Y99" i="1"/>
  <c r="Y43" i="1"/>
  <c r="Y47" i="1" s="1"/>
  <c r="AQ24" i="1"/>
  <c r="BC24" i="1" s="1"/>
  <c r="BO24" i="1" s="1"/>
  <c r="CA24" i="1" s="1"/>
  <c r="CM24" i="1" s="1"/>
  <c r="CY24" i="1" s="1"/>
  <c r="H33" i="25"/>
  <c r="Q87" i="1"/>
  <c r="AO24" i="1"/>
  <c r="BA24" i="1" s="1"/>
  <c r="BM24" i="1" s="1"/>
  <c r="BY24" i="1" s="1"/>
  <c r="CK24" i="1" s="1"/>
  <c r="CW24" i="1" s="1"/>
  <c r="U48" i="1"/>
  <c r="AS24" i="1"/>
  <c r="BE24" i="1" s="1"/>
  <c r="BQ24" i="1" s="1"/>
  <c r="CC24" i="1" s="1"/>
  <c r="CO24" i="1" s="1"/>
  <c r="DA24" i="1" s="1"/>
  <c r="AN24" i="1"/>
  <c r="AZ24" i="1" s="1"/>
  <c r="BL24" i="1" s="1"/>
  <c r="BX24" i="1" s="1"/>
  <c r="CJ24" i="1" s="1"/>
  <c r="CV24" i="1" s="1"/>
  <c r="X25" i="23"/>
  <c r="AA40" i="1"/>
  <c r="AA42" i="1" s="1"/>
  <c r="V48" i="1"/>
  <c r="AT24" i="1"/>
  <c r="BF24" i="1" s="1"/>
  <c r="BR24" i="1" s="1"/>
  <c r="CD24" i="1" s="1"/>
  <c r="CP24" i="1" s="1"/>
  <c r="DB24" i="1" s="1"/>
  <c r="W48" i="1"/>
  <c r="S25" i="23" s="1"/>
  <c r="AU24" i="1"/>
  <c r="BG24" i="1" s="1"/>
  <c r="BS24" i="1" s="1"/>
  <c r="CE24" i="1" s="1"/>
  <c r="CQ24" i="1" s="1"/>
  <c r="DC24" i="1" s="1"/>
  <c r="X48" i="1"/>
  <c r="T25" i="23" s="1"/>
  <c r="Z40" i="1"/>
  <c r="X42" i="1"/>
  <c r="Q86" i="1"/>
  <c r="S115" i="1"/>
  <c r="S41" i="1"/>
  <c r="S42" i="1" s="1"/>
  <c r="S63" i="1"/>
  <c r="S64" i="1" s="1"/>
  <c r="S42" i="23"/>
  <c r="S47" i="23"/>
  <c r="Q14" i="1"/>
  <c r="K25" i="15"/>
  <c r="P14" i="1"/>
  <c r="P32" i="1" s="1"/>
  <c r="Q139" i="1"/>
  <c r="R14" i="1"/>
  <c r="R32" i="1" s="1"/>
  <c r="R139" i="1"/>
  <c r="X139" i="1"/>
  <c r="Q120" i="1"/>
  <c r="Q121" i="1" s="1"/>
  <c r="R120" i="1"/>
  <c r="R121" i="1" s="1"/>
  <c r="R48" i="1"/>
  <c r="Q48" i="1"/>
  <c r="P48" i="1"/>
  <c r="C30" i="6"/>
  <c r="C19" i="15"/>
  <c r="C31" i="6"/>
  <c r="AL26" i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G23" i="1"/>
  <c r="CH11" i="24" s="1"/>
  <c r="DF23" i="1"/>
  <c r="CG11" i="24" s="1"/>
  <c r="DE23" i="1"/>
  <c r="CF11" i="24" s="1"/>
  <c r="DD23" i="1"/>
  <c r="CE11" i="24" s="1"/>
  <c r="DC23" i="1"/>
  <c r="CD11" i="24" s="1"/>
  <c r="DB23" i="1"/>
  <c r="CC11" i="24" s="1"/>
  <c r="DA23" i="1"/>
  <c r="CB11" i="24" s="1"/>
  <c r="CZ23" i="1"/>
  <c r="CA11" i="24" s="1"/>
  <c r="CY23" i="1"/>
  <c r="BZ11" i="24" s="1"/>
  <c r="CX23" i="1"/>
  <c r="BY11" i="24" s="1"/>
  <c r="CW23" i="1"/>
  <c r="BX11" i="24" s="1"/>
  <c r="CV23" i="1"/>
  <c r="BW11" i="24" s="1"/>
  <c r="CU23" i="1"/>
  <c r="BV11" i="24" s="1"/>
  <c r="CT23" i="1"/>
  <c r="BU11" i="24" s="1"/>
  <c r="CS23" i="1"/>
  <c r="BT11" i="24" s="1"/>
  <c r="CR23" i="1"/>
  <c r="BS11" i="24" s="1"/>
  <c r="CQ23" i="1"/>
  <c r="BR11" i="24" s="1"/>
  <c r="CP23" i="1"/>
  <c r="BQ11" i="24" s="1"/>
  <c r="CO23" i="1"/>
  <c r="BP11" i="24" s="1"/>
  <c r="CN23" i="1"/>
  <c r="BO11" i="24" s="1"/>
  <c r="CM23" i="1"/>
  <c r="BN11" i="24" s="1"/>
  <c r="CL23" i="1"/>
  <c r="BM11" i="24" s="1"/>
  <c r="CK23" i="1"/>
  <c r="BL11" i="24" s="1"/>
  <c r="CJ23" i="1"/>
  <c r="BK11" i="24" s="1"/>
  <c r="CI23" i="1"/>
  <c r="BJ11" i="24" s="1"/>
  <c r="CH23" i="1"/>
  <c r="BI11" i="24" s="1"/>
  <c r="CG23" i="1"/>
  <c r="BH11" i="24" s="1"/>
  <c r="CF23" i="1"/>
  <c r="BG11" i="24" s="1"/>
  <c r="CE23" i="1"/>
  <c r="BF11" i="24" s="1"/>
  <c r="CD23" i="1"/>
  <c r="BE11" i="24" s="1"/>
  <c r="CC23" i="1"/>
  <c r="BD11" i="24" s="1"/>
  <c r="CB23" i="1"/>
  <c r="BC11" i="24" s="1"/>
  <c r="CA23" i="1"/>
  <c r="BB11" i="24" s="1"/>
  <c r="BZ23" i="1"/>
  <c r="BA11" i="24" s="1"/>
  <c r="BY23" i="1"/>
  <c r="AZ11" i="24" s="1"/>
  <c r="BX23" i="1"/>
  <c r="AY11" i="24" s="1"/>
  <c r="BW23" i="1"/>
  <c r="AX11" i="24" s="1"/>
  <c r="BV23" i="1"/>
  <c r="AW11" i="24" s="1"/>
  <c r="BU23" i="1"/>
  <c r="AV11" i="24" s="1"/>
  <c r="BT23" i="1"/>
  <c r="AU11" i="24" s="1"/>
  <c r="BS23" i="1"/>
  <c r="AT11" i="24" s="1"/>
  <c r="BR23" i="1"/>
  <c r="AS11" i="24" s="1"/>
  <c r="BQ23" i="1"/>
  <c r="AR11" i="24" s="1"/>
  <c r="BP23" i="1"/>
  <c r="AQ11" i="24" s="1"/>
  <c r="BO23" i="1"/>
  <c r="AP11" i="24" s="1"/>
  <c r="BN23" i="1"/>
  <c r="AO11" i="24" s="1"/>
  <c r="BM23" i="1"/>
  <c r="AN11" i="24" s="1"/>
  <c r="BL23" i="1"/>
  <c r="AM11" i="24" s="1"/>
  <c r="BK23" i="1"/>
  <c r="AL11" i="24" s="1"/>
  <c r="BJ23" i="1"/>
  <c r="AK11" i="24" s="1"/>
  <c r="BI23" i="1"/>
  <c r="AJ11" i="24" s="1"/>
  <c r="BH23" i="1"/>
  <c r="AI11" i="24" s="1"/>
  <c r="BG23" i="1"/>
  <c r="AH11" i="24" s="1"/>
  <c r="BF23" i="1"/>
  <c r="AG11" i="24" s="1"/>
  <c r="BE23" i="1"/>
  <c r="AF11" i="24" s="1"/>
  <c r="BD23" i="1"/>
  <c r="AE11" i="24" s="1"/>
  <c r="BC23" i="1"/>
  <c r="AD11" i="24" s="1"/>
  <c r="BB23" i="1"/>
  <c r="AC11" i="24" s="1"/>
  <c r="BA23" i="1"/>
  <c r="AB11" i="24" s="1"/>
  <c r="AZ23" i="1"/>
  <c r="AA11" i="24" s="1"/>
  <c r="AY23" i="1"/>
  <c r="Z11" i="24" s="1"/>
  <c r="AX23" i="1"/>
  <c r="Y11" i="24" s="1"/>
  <c r="AW23" i="1"/>
  <c r="X11" i="24" s="1"/>
  <c r="AV23" i="1"/>
  <c r="W11" i="24" s="1"/>
  <c r="AU23" i="1"/>
  <c r="V11" i="24" s="1"/>
  <c r="AT23" i="1"/>
  <c r="U11" i="24" s="1"/>
  <c r="AS23" i="1"/>
  <c r="T11" i="24" s="1"/>
  <c r="AR23" i="1"/>
  <c r="S11" i="24" s="1"/>
  <c r="AQ23" i="1"/>
  <c r="R11" i="24" s="1"/>
  <c r="AP23" i="1"/>
  <c r="Q11" i="24" s="1"/>
  <c r="AO23" i="1"/>
  <c r="P11" i="24" s="1"/>
  <c r="AN23" i="1"/>
  <c r="O11" i="24" s="1"/>
  <c r="AM23" i="1"/>
  <c r="N11" i="24" s="1"/>
  <c r="AL23" i="1"/>
  <c r="M11" i="24" s="1"/>
  <c r="L11" i="24"/>
  <c r="K11" i="24"/>
  <c r="O23" i="1"/>
  <c r="O24" i="1" s="1"/>
  <c r="N23" i="1"/>
  <c r="N24" i="1" s="1"/>
  <c r="M23" i="1"/>
  <c r="L23" i="1"/>
  <c r="K23" i="1"/>
  <c r="K24" i="1" s="1"/>
  <c r="J23" i="1"/>
  <c r="J24" i="1" s="1"/>
  <c r="I23" i="1"/>
  <c r="I24" i="1" s="1"/>
  <c r="H23" i="1"/>
  <c r="H24" i="1" s="1"/>
  <c r="G23" i="1"/>
  <c r="G24" i="1" s="1"/>
  <c r="F23" i="1"/>
  <c r="F24" i="1" s="1"/>
  <c r="E23" i="1"/>
  <c r="E24" i="1" s="1"/>
  <c r="L25" i="1"/>
  <c r="O18" i="1"/>
  <c r="N18" i="1"/>
  <c r="M18" i="1"/>
  <c r="L18" i="1"/>
  <c r="K18" i="1"/>
  <c r="J18" i="1"/>
  <c r="I18" i="1"/>
  <c r="H18" i="1"/>
  <c r="G18" i="1"/>
  <c r="E18" i="1"/>
  <c r="U88" i="1" l="1"/>
  <c r="U99" i="1" s="1"/>
  <c r="AK7" i="1"/>
  <c r="AK12" i="1" s="1"/>
  <c r="AT20" i="23"/>
  <c r="AS20" i="23"/>
  <c r="V88" i="1"/>
  <c r="V89" i="1" s="1"/>
  <c r="AF25" i="23"/>
  <c r="AF21" i="23"/>
  <c r="AA89" i="1"/>
  <c r="AV24" i="1"/>
  <c r="BH24" i="1" s="1"/>
  <c r="BT24" i="1" s="1"/>
  <c r="CF24" i="1" s="1"/>
  <c r="CR24" i="1" s="1"/>
  <c r="DD24" i="1" s="1"/>
  <c r="BB72" i="1"/>
  <c r="T88" i="1"/>
  <c r="T43" i="1" s="1"/>
  <c r="T47" i="1" s="1"/>
  <c r="T64" i="1"/>
  <c r="AS90" i="1"/>
  <c r="AL85" i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CG2" i="1"/>
  <c r="CG19" i="1" s="1"/>
  <c r="CI2" i="1"/>
  <c r="CI19" i="1" s="1"/>
  <c r="CJ2" i="1"/>
  <c r="CJ19" i="1" s="1"/>
  <c r="CC2" i="1"/>
  <c r="CC19" i="1" s="1"/>
  <c r="CL2" i="1"/>
  <c r="CL19" i="1" s="1"/>
  <c r="CF2" i="1"/>
  <c r="CF19" i="1" s="1"/>
  <c r="CK2" i="1"/>
  <c r="CK19" i="1" s="1"/>
  <c r="CD2" i="1"/>
  <c r="CD19" i="1" s="1"/>
  <c r="CH2" i="1"/>
  <c r="CH19" i="1" s="1"/>
  <c r="CE2" i="1"/>
  <c r="CE19" i="1" s="1"/>
  <c r="C29" i="27"/>
  <c r="C30" i="27" s="1"/>
  <c r="CA2" i="1"/>
  <c r="CA19" i="1" s="1"/>
  <c r="CN2" i="1"/>
  <c r="CN19" i="1" s="1"/>
  <c r="P26" i="27"/>
  <c r="AL34" i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AL36" i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AL33" i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AL37" i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Q41" i="1"/>
  <c r="Q42" i="1" s="1"/>
  <c r="Q32" i="1"/>
  <c r="U89" i="1"/>
  <c r="S88" i="1"/>
  <c r="S89" i="1" s="1"/>
  <c r="V43" i="1"/>
  <c r="V47" i="1" s="1"/>
  <c r="X99" i="1"/>
  <c r="X89" i="1"/>
  <c r="L24" i="1"/>
  <c r="L48" i="1" s="1"/>
  <c r="M24" i="1"/>
  <c r="M48" i="1" s="1"/>
  <c r="P63" i="1"/>
  <c r="P64" i="1" s="1"/>
  <c r="P41" i="1"/>
  <c r="P42" i="1" s="1"/>
  <c r="R115" i="1"/>
  <c r="R41" i="1"/>
  <c r="R42" i="1" s="1"/>
  <c r="R63" i="1"/>
  <c r="R64" i="1" s="1"/>
  <c r="X143" i="1"/>
  <c r="C19" i="6"/>
  <c r="DF26" i="1"/>
  <c r="DG26" i="1" s="1"/>
  <c r="K18" i="19"/>
  <c r="N125" i="1"/>
  <c r="M125" i="1"/>
  <c r="L125" i="1"/>
  <c r="K125" i="1"/>
  <c r="K139" i="1" s="1"/>
  <c r="J125" i="1"/>
  <c r="J139" i="1" s="1"/>
  <c r="O125" i="1"/>
  <c r="P139" i="1" s="1"/>
  <c r="O111" i="1"/>
  <c r="O84" i="1"/>
  <c r="O12" i="1"/>
  <c r="O15" i="1" s="1"/>
  <c r="K84" i="1"/>
  <c r="L84" i="1"/>
  <c r="M84" i="1"/>
  <c r="N84" i="1"/>
  <c r="U43" i="1" l="1"/>
  <c r="U47" i="1" s="1"/>
  <c r="AK80" i="1"/>
  <c r="AK84" i="1" s="1"/>
  <c r="AK13" i="1"/>
  <c r="AK14" i="1" s="1"/>
  <c r="V99" i="1"/>
  <c r="AS21" i="23"/>
  <c r="AT21" i="23"/>
  <c r="AT25" i="23"/>
  <c r="AS25" i="23"/>
  <c r="T89" i="1"/>
  <c r="T99" i="1"/>
  <c r="BC72" i="1"/>
  <c r="AT90" i="1"/>
  <c r="AF138" i="1"/>
  <c r="CQ2" i="1"/>
  <c r="CQ19" i="1" s="1"/>
  <c r="CP2" i="1"/>
  <c r="CP19" i="1" s="1"/>
  <c r="CO2" i="1"/>
  <c r="CO19" i="1" s="1"/>
  <c r="CW2" i="1"/>
  <c r="CW19" i="1" s="1"/>
  <c r="CT2" i="1"/>
  <c r="CT19" i="1" s="1"/>
  <c r="CV2" i="1"/>
  <c r="CV19" i="1" s="1"/>
  <c r="CR2" i="1"/>
  <c r="CR19" i="1" s="1"/>
  <c r="CU2" i="1"/>
  <c r="CU19" i="1" s="1"/>
  <c r="CX2" i="1"/>
  <c r="CX19" i="1" s="1"/>
  <c r="CS2" i="1"/>
  <c r="CS19" i="1" s="1"/>
  <c r="CM2" i="1"/>
  <c r="CM19" i="1" s="1"/>
  <c r="CZ2" i="1"/>
  <c r="CZ19" i="1" s="1"/>
  <c r="S43" i="1"/>
  <c r="U44" i="1" s="1"/>
  <c r="U46" i="1" s="1"/>
  <c r="R88" i="1"/>
  <c r="R89" i="1" s="1"/>
  <c r="P88" i="1"/>
  <c r="P89" i="1" s="1"/>
  <c r="S99" i="1"/>
  <c r="V44" i="1"/>
  <c r="V46" i="1" s="1"/>
  <c r="K86" i="1"/>
  <c r="M86" i="1"/>
  <c r="O86" i="1"/>
  <c r="N86" i="1"/>
  <c r="L86" i="1"/>
  <c r="M139" i="1"/>
  <c r="N139" i="1"/>
  <c r="L139" i="1"/>
  <c r="O139" i="1"/>
  <c r="D20" i="6"/>
  <c r="E20" i="6"/>
  <c r="F20" i="6"/>
  <c r="G20" i="6"/>
  <c r="H20" i="6"/>
  <c r="I20" i="6"/>
  <c r="J20" i="6"/>
  <c r="K20" i="6"/>
  <c r="L20" i="6"/>
  <c r="M20" i="6"/>
  <c r="C20" i="6"/>
  <c r="L98" i="1"/>
  <c r="K98" i="1"/>
  <c r="N20" i="6"/>
  <c r="AK113" i="1" l="1"/>
  <c r="AK114" i="1" s="1"/>
  <c r="AK41" i="1"/>
  <c r="AK42" i="1" s="1"/>
  <c r="AK32" i="1"/>
  <c r="AK86" i="1"/>
  <c r="AK87" i="1"/>
  <c r="BD72" i="1"/>
  <c r="AU90" i="1"/>
  <c r="AE138" i="1"/>
  <c r="DE2" i="1"/>
  <c r="DE19" i="1" s="1"/>
  <c r="DA2" i="1"/>
  <c r="DA19" i="1" s="1"/>
  <c r="DD2" i="1"/>
  <c r="DD19" i="1" s="1"/>
  <c r="DB2" i="1"/>
  <c r="DB19" i="1" s="1"/>
  <c r="DG2" i="1"/>
  <c r="DG19" i="1" s="1"/>
  <c r="DF2" i="1"/>
  <c r="DF19" i="1" s="1"/>
  <c r="DC2" i="1"/>
  <c r="DC19" i="1" s="1"/>
  <c r="CY2" i="1"/>
  <c r="CY19" i="1" s="1"/>
  <c r="R43" i="1"/>
  <c r="T44" i="1" s="1"/>
  <c r="T46" i="1" s="1"/>
  <c r="R99" i="1"/>
  <c r="S47" i="1"/>
  <c r="P43" i="1"/>
  <c r="P47" i="1" s="1"/>
  <c r="P99" i="1"/>
  <c r="P137" i="1" s="1"/>
  <c r="P20" i="6"/>
  <c r="C45" i="18"/>
  <c r="B34" i="18"/>
  <c r="C34" i="18" s="1"/>
  <c r="B12" i="18"/>
  <c r="C12" i="18" s="1"/>
  <c r="E3" i="18"/>
  <c r="C2" i="18"/>
  <c r="K27" i="16"/>
  <c r="N114" i="1"/>
  <c r="J111" i="1"/>
  <c r="K111" i="1"/>
  <c r="K120" i="1" s="1"/>
  <c r="K121" i="1" s="1"/>
  <c r="L111" i="1"/>
  <c r="L120" i="1" s="1"/>
  <c r="L121" i="1" s="1"/>
  <c r="M111" i="1"/>
  <c r="M120" i="1" s="1"/>
  <c r="M121" i="1" s="1"/>
  <c r="N111" i="1"/>
  <c r="L12" i="1"/>
  <c r="M12" i="1"/>
  <c r="N12" i="1"/>
  <c r="N15" i="1" s="1"/>
  <c r="K12" i="1"/>
  <c r="AF16" i="23" l="1"/>
  <c r="BE72" i="1"/>
  <c r="K14" i="1"/>
  <c r="K32" i="1" s="1"/>
  <c r="K15" i="1"/>
  <c r="M14" i="1"/>
  <c r="M41" i="1" s="1"/>
  <c r="M42" i="1" s="1"/>
  <c r="M15" i="1"/>
  <c r="L14" i="1"/>
  <c r="L41" i="1" s="1"/>
  <c r="L42" i="1" s="1"/>
  <c r="L15" i="1"/>
  <c r="AV90" i="1"/>
  <c r="AE137" i="1"/>
  <c r="AE140" i="1" s="1"/>
  <c r="AE146" i="1" s="1"/>
  <c r="R47" i="1"/>
  <c r="P130" i="1"/>
  <c r="P131" i="1" s="1"/>
  <c r="E11" i="5"/>
  <c r="E16" i="5" s="1"/>
  <c r="N10" i="15"/>
  <c r="M10" i="15"/>
  <c r="L10" i="15"/>
  <c r="K10" i="15"/>
  <c r="J10" i="15"/>
  <c r="I10" i="15"/>
  <c r="H10" i="15"/>
  <c r="G10" i="15"/>
  <c r="F10" i="15"/>
  <c r="E10" i="15"/>
  <c r="D10" i="15"/>
  <c r="C10" i="15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E1" i="1"/>
  <c r="E3" i="1" s="1"/>
  <c r="F1" i="1"/>
  <c r="F3" i="1" s="1"/>
  <c r="G1" i="1"/>
  <c r="G3" i="1" s="1"/>
  <c r="H1" i="1"/>
  <c r="I1" i="1"/>
  <c r="J1" i="1"/>
  <c r="J3" i="1" s="1"/>
  <c r="K1" i="1"/>
  <c r="L1" i="1"/>
  <c r="L3" i="1" s="1"/>
  <c r="M1" i="1"/>
  <c r="M3" i="1" s="1"/>
  <c r="N1" i="1"/>
  <c r="N3" i="1" s="1"/>
  <c r="O1" i="1"/>
  <c r="O3" i="1" s="1"/>
  <c r="P1" i="1"/>
  <c r="P3" i="1" s="1"/>
  <c r="Q1" i="1"/>
  <c r="Q3" i="1" s="1"/>
  <c r="R1" i="1"/>
  <c r="R3" i="1" s="1"/>
  <c r="S1" i="1"/>
  <c r="S3" i="1" s="1"/>
  <c r="T1" i="1"/>
  <c r="T3" i="1" s="1"/>
  <c r="U1" i="1"/>
  <c r="U3" i="1" s="1"/>
  <c r="V1" i="1"/>
  <c r="V3" i="1" s="1"/>
  <c r="W1" i="1"/>
  <c r="W3" i="1" s="1"/>
  <c r="X1" i="1"/>
  <c r="X3" i="1" s="1"/>
  <c r="Y1" i="1"/>
  <c r="Y3" i="1" s="1"/>
  <c r="Z1" i="1"/>
  <c r="Z3" i="1" s="1"/>
  <c r="AA1" i="1"/>
  <c r="AA3" i="1" s="1"/>
  <c r="AB1" i="1"/>
  <c r="AB3" i="1" s="1"/>
  <c r="AC1" i="1"/>
  <c r="AC3" i="1" s="1"/>
  <c r="AD1" i="1"/>
  <c r="AD3" i="1" s="1"/>
  <c r="AK1" i="1"/>
  <c r="AK3" i="1" s="1"/>
  <c r="AL1" i="1"/>
  <c r="AL3" i="1" s="1"/>
  <c r="AL77" i="1" s="1"/>
  <c r="AM1" i="1"/>
  <c r="AM3" i="1" s="1"/>
  <c r="AM77" i="1" s="1"/>
  <c r="AN1" i="1"/>
  <c r="AN3" i="1" s="1"/>
  <c r="AN77" i="1" s="1"/>
  <c r="AO1" i="1"/>
  <c r="AO3" i="1" s="1"/>
  <c r="AP1" i="1"/>
  <c r="AP3" i="1" s="1"/>
  <c r="AQ1" i="1"/>
  <c r="AQ3" i="1" s="1"/>
  <c r="AR1" i="1"/>
  <c r="AR3" i="1" s="1"/>
  <c r="AS1" i="1"/>
  <c r="AS3" i="1" s="1"/>
  <c r="AT1" i="1"/>
  <c r="AT3" i="1" s="1"/>
  <c r="AT77" i="1" s="1"/>
  <c r="AU1" i="1"/>
  <c r="AU3" i="1" s="1"/>
  <c r="AV1" i="1"/>
  <c r="AV3" i="1" s="1"/>
  <c r="AW1" i="1"/>
  <c r="AW3" i="1" s="1"/>
  <c r="AX1" i="1"/>
  <c r="AX3" i="1" s="1"/>
  <c r="AY1" i="1"/>
  <c r="AY3" i="1" s="1"/>
  <c r="AZ1" i="1"/>
  <c r="AZ3" i="1" s="1"/>
  <c r="AZ77" i="1" s="1"/>
  <c r="BA1" i="1"/>
  <c r="BA3" i="1" s="1"/>
  <c r="BB1" i="1"/>
  <c r="BB3" i="1" s="1"/>
  <c r="BC1" i="1"/>
  <c r="BC3" i="1" s="1"/>
  <c r="BC77" i="1" s="1"/>
  <c r="BD1" i="1"/>
  <c r="BD3" i="1" s="1"/>
  <c r="BE1" i="1"/>
  <c r="BE3" i="1" s="1"/>
  <c r="BF1" i="1"/>
  <c r="BF3" i="1" s="1"/>
  <c r="BG1" i="1"/>
  <c r="BG3" i="1" s="1"/>
  <c r="BH1" i="1"/>
  <c r="BH3" i="1" s="1"/>
  <c r="BI1" i="1"/>
  <c r="BI3" i="1" s="1"/>
  <c r="BI77" i="1" s="1"/>
  <c r="BJ1" i="1"/>
  <c r="BJ3" i="1" s="1"/>
  <c r="BK1" i="1"/>
  <c r="BK3" i="1" s="1"/>
  <c r="BL1" i="1"/>
  <c r="BL3" i="1" s="1"/>
  <c r="BL77" i="1" s="1"/>
  <c r="BM1" i="1"/>
  <c r="BM3" i="1" s="1"/>
  <c r="BN1" i="1"/>
  <c r="BN3" i="1" s="1"/>
  <c r="BO1" i="1"/>
  <c r="BO3" i="1" s="1"/>
  <c r="BP1" i="1"/>
  <c r="BP3" i="1" s="1"/>
  <c r="BQ1" i="1"/>
  <c r="BQ3" i="1" s="1"/>
  <c r="BR1" i="1"/>
  <c r="BR3" i="1" s="1"/>
  <c r="BR77" i="1" s="1"/>
  <c r="BS1" i="1"/>
  <c r="BS3" i="1" s="1"/>
  <c r="BT1" i="1"/>
  <c r="BT3" i="1" s="1"/>
  <c r="BU1" i="1"/>
  <c r="BU3" i="1" s="1"/>
  <c r="BV1" i="1"/>
  <c r="BV3" i="1" s="1"/>
  <c r="BW1" i="1"/>
  <c r="BW3" i="1" s="1"/>
  <c r="BX1" i="1"/>
  <c r="BX3" i="1" s="1"/>
  <c r="BX77" i="1" s="1"/>
  <c r="BY1" i="1"/>
  <c r="BY3" i="1" s="1"/>
  <c r="BZ1" i="1"/>
  <c r="BZ3" i="1" s="1"/>
  <c r="CA1" i="1"/>
  <c r="CA3" i="1" s="1"/>
  <c r="CA77" i="1" s="1"/>
  <c r="CB1" i="1"/>
  <c r="CB3" i="1" s="1"/>
  <c r="CC1" i="1"/>
  <c r="CC3" i="1" s="1"/>
  <c r="CD1" i="1"/>
  <c r="CD3" i="1" s="1"/>
  <c r="CE1" i="1"/>
  <c r="CE3" i="1" s="1"/>
  <c r="CF1" i="1"/>
  <c r="CF3" i="1" s="1"/>
  <c r="CG1" i="1"/>
  <c r="CG3" i="1" s="1"/>
  <c r="CH1" i="1"/>
  <c r="CH3" i="1" s="1"/>
  <c r="CI1" i="1"/>
  <c r="CI3" i="1" s="1"/>
  <c r="CJ1" i="1"/>
  <c r="CJ3" i="1" s="1"/>
  <c r="CJ77" i="1" s="1"/>
  <c r="CK1" i="1"/>
  <c r="CK3" i="1" s="1"/>
  <c r="CL1" i="1"/>
  <c r="CL3" i="1" s="1"/>
  <c r="CM1" i="1"/>
  <c r="CM3" i="1" s="1"/>
  <c r="CN1" i="1"/>
  <c r="CN3" i="1" s="1"/>
  <c r="CO1" i="1"/>
  <c r="CO3" i="1" s="1"/>
  <c r="CP1" i="1"/>
  <c r="CP3" i="1" s="1"/>
  <c r="CP77" i="1" s="1"/>
  <c r="CQ1" i="1"/>
  <c r="CQ3" i="1" s="1"/>
  <c r="CR1" i="1"/>
  <c r="CR3" i="1" s="1"/>
  <c r="CS1" i="1"/>
  <c r="CS3" i="1" s="1"/>
  <c r="CT1" i="1"/>
  <c r="CT3" i="1" s="1"/>
  <c r="CU1" i="1"/>
  <c r="CU3" i="1" s="1"/>
  <c r="CV1" i="1"/>
  <c r="CV3" i="1" s="1"/>
  <c r="CV77" i="1" s="1"/>
  <c r="CW1" i="1"/>
  <c r="CW3" i="1" s="1"/>
  <c r="CX1" i="1"/>
  <c r="CX3" i="1" s="1"/>
  <c r="CY1" i="1"/>
  <c r="CY3" i="1" s="1"/>
  <c r="CY77" i="1" s="1"/>
  <c r="CZ1" i="1"/>
  <c r="CZ3" i="1" s="1"/>
  <c r="DA1" i="1"/>
  <c r="DA3" i="1" s="1"/>
  <c r="DB1" i="1"/>
  <c r="DB3" i="1" s="1"/>
  <c r="DC1" i="1"/>
  <c r="DC3" i="1" s="1"/>
  <c r="DD1" i="1"/>
  <c r="DD3" i="1" s="1"/>
  <c r="DE1" i="1"/>
  <c r="DE3" i="1" s="1"/>
  <c r="DF1" i="1"/>
  <c r="DF3" i="1" s="1"/>
  <c r="DG1" i="1"/>
  <c r="DG3" i="1" s="1"/>
  <c r="D1" i="1"/>
  <c r="AL81" i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AL75" i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W75" i="1" s="1"/>
  <c r="CX75" i="1" s="1"/>
  <c r="CY75" i="1" s="1"/>
  <c r="CZ75" i="1" s="1"/>
  <c r="DA75" i="1" s="1"/>
  <c r="DB75" i="1" s="1"/>
  <c r="DC75" i="1" s="1"/>
  <c r="DD75" i="1" s="1"/>
  <c r="DE75" i="1" s="1"/>
  <c r="DF75" i="1" s="1"/>
  <c r="DG75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CM77" i="1" l="1"/>
  <c r="BO77" i="1"/>
  <c r="AQ77" i="1"/>
  <c r="M63" i="1"/>
  <c r="M88" i="1" s="1"/>
  <c r="M99" i="1" s="1"/>
  <c r="BK68" i="1"/>
  <c r="BK77" i="1"/>
  <c r="BB68" i="1"/>
  <c r="BB77" i="1"/>
  <c r="CZ68" i="1"/>
  <c r="CZ77" i="1"/>
  <c r="AV77" i="1"/>
  <c r="AV68" i="1"/>
  <c r="BJ68" i="1"/>
  <c r="BJ77" i="1"/>
  <c r="DE77" i="1"/>
  <c r="CW68" i="1"/>
  <c r="CW69" i="1" s="1"/>
  <c r="CW77" i="1"/>
  <c r="CO77" i="1"/>
  <c r="CO68" i="1"/>
  <c r="CG77" i="1"/>
  <c r="BY68" i="1"/>
  <c r="BY69" i="1" s="1"/>
  <c r="BY77" i="1"/>
  <c r="BQ77" i="1"/>
  <c r="BQ68" i="1"/>
  <c r="BA68" i="1"/>
  <c r="BA77" i="1"/>
  <c r="AS77" i="1"/>
  <c r="AS68" i="1"/>
  <c r="BT77" i="1"/>
  <c r="BT68" i="1"/>
  <c r="DG68" i="1"/>
  <c r="DG77" i="1"/>
  <c r="AU77" i="1"/>
  <c r="AU68" i="1"/>
  <c r="AU69" i="1" s="1"/>
  <c r="CH68" i="1"/>
  <c r="CH69" i="1" s="1"/>
  <c r="CH77" i="1"/>
  <c r="DD68" i="1"/>
  <c r="DD77" i="1"/>
  <c r="CN68" i="1"/>
  <c r="CN69" i="1" s="1"/>
  <c r="CN77" i="1"/>
  <c r="CF68" i="1"/>
  <c r="CF77" i="1"/>
  <c r="BP68" i="1"/>
  <c r="BP69" i="1" s="1"/>
  <c r="BP77" i="1"/>
  <c r="BH68" i="1"/>
  <c r="BH77" i="1"/>
  <c r="AR68" i="1"/>
  <c r="AR69" i="1" s="1"/>
  <c r="AR77" i="1"/>
  <c r="CR77" i="1"/>
  <c r="CR68" i="1"/>
  <c r="BD68" i="1"/>
  <c r="BD69" i="1" s="1"/>
  <c r="BD77" i="1"/>
  <c r="CQ77" i="1"/>
  <c r="CQ68" i="1"/>
  <c r="CQ69" i="1" s="1"/>
  <c r="BS77" i="1"/>
  <c r="BS68" i="1"/>
  <c r="BS69" i="1" s="1"/>
  <c r="CX68" i="1"/>
  <c r="CX77" i="1"/>
  <c r="BZ68" i="1"/>
  <c r="BZ77" i="1"/>
  <c r="DC77" i="1"/>
  <c r="DC68" i="1"/>
  <c r="CU77" i="1"/>
  <c r="CU68" i="1"/>
  <c r="CE77" i="1"/>
  <c r="CE68" i="1"/>
  <c r="CE69" i="1" s="1"/>
  <c r="BW77" i="1"/>
  <c r="BW68" i="1"/>
  <c r="BG77" i="1"/>
  <c r="BG68" i="1"/>
  <c r="AY77" i="1"/>
  <c r="AY68" i="1"/>
  <c r="DB77" i="1"/>
  <c r="CT77" i="1"/>
  <c r="CT68" i="1"/>
  <c r="CT69" i="1" s="1"/>
  <c r="CL68" i="1"/>
  <c r="CL77" i="1"/>
  <c r="CD77" i="1"/>
  <c r="BV77" i="1"/>
  <c r="BV68" i="1"/>
  <c r="BN68" i="1"/>
  <c r="BN77" i="1"/>
  <c r="BF77" i="1"/>
  <c r="AX77" i="1"/>
  <c r="AX68" i="1"/>
  <c r="AX69" i="1" s="1"/>
  <c r="AP68" i="1"/>
  <c r="AP77" i="1"/>
  <c r="AF38" i="23"/>
  <c r="CB68" i="1"/>
  <c r="CB69" i="1" s="1"/>
  <c r="CB77" i="1"/>
  <c r="CI68" i="1"/>
  <c r="CI77" i="1"/>
  <c r="DF68" i="1"/>
  <c r="DF69" i="1" s="1"/>
  <c r="DF77" i="1"/>
  <c r="DA77" i="1"/>
  <c r="DA68" i="1"/>
  <c r="CS77" i="1"/>
  <c r="CK68" i="1"/>
  <c r="CK77" i="1"/>
  <c r="CC77" i="1"/>
  <c r="CC68" i="1"/>
  <c r="BU77" i="1"/>
  <c r="BM68" i="1"/>
  <c r="BM69" i="1" s="1"/>
  <c r="BM77" i="1"/>
  <c r="BE77" i="1"/>
  <c r="BE68" i="1"/>
  <c r="AW77" i="1"/>
  <c r="AO68" i="1"/>
  <c r="AO69" i="1" s="1"/>
  <c r="AO77" i="1"/>
  <c r="AS16" i="23"/>
  <c r="AT16" i="23"/>
  <c r="K63" i="1"/>
  <c r="K88" i="1" s="1"/>
  <c r="K99" i="1" s="1"/>
  <c r="M115" i="1"/>
  <c r="L63" i="1"/>
  <c r="L88" i="1" s="1"/>
  <c r="L43" i="1" s="1"/>
  <c r="L44" i="1" s="1"/>
  <c r="L115" i="1"/>
  <c r="M32" i="1"/>
  <c r="AF23" i="23"/>
  <c r="AJ138" i="1"/>
  <c r="BF72" i="1"/>
  <c r="D19" i="5"/>
  <c r="E19" i="5"/>
  <c r="BJ69" i="1"/>
  <c r="L32" i="1"/>
  <c r="F33" i="27"/>
  <c r="BV69" i="1"/>
  <c r="BA69" i="1"/>
  <c r="DC69" i="1"/>
  <c r="BG69" i="1"/>
  <c r="CK69" i="1"/>
  <c r="CZ69" i="1"/>
  <c r="AW90" i="1"/>
  <c r="D23" i="5"/>
  <c r="E23" i="5"/>
  <c r="D3" i="1"/>
  <c r="AA53" i="1"/>
  <c r="AA54" i="1"/>
  <c r="AA52" i="1"/>
  <c r="H3" i="1"/>
  <c r="Q52" i="1"/>
  <c r="I3" i="1"/>
  <c r="K3" i="1"/>
  <c r="R54" i="1"/>
  <c r="D25" i="5"/>
  <c r="D13" i="15"/>
  <c r="C13" i="15"/>
  <c r="F11" i="5"/>
  <c r="F23" i="5" s="1"/>
  <c r="L14" i="6"/>
  <c r="L16" i="6" s="1"/>
  <c r="J14" i="6"/>
  <c r="J16" i="6" s="1"/>
  <c r="J17" i="6" s="1"/>
  <c r="K14" i="6"/>
  <c r="N94" i="1"/>
  <c r="O94" i="1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M43" i="1" l="1"/>
  <c r="AQ68" i="1"/>
  <c r="AQ69" i="1" s="1"/>
  <c r="AS23" i="23"/>
  <c r="AT23" i="23"/>
  <c r="AT38" i="23"/>
  <c r="AS38" i="23"/>
  <c r="AF42" i="23"/>
  <c r="D28" i="20"/>
  <c r="C28" i="20"/>
  <c r="F28" i="20"/>
  <c r="AT68" i="1"/>
  <c r="L99" i="1"/>
  <c r="D17" i="20"/>
  <c r="C17" i="20"/>
  <c r="BG72" i="1"/>
  <c r="D21" i="20"/>
  <c r="AX90" i="1"/>
  <c r="D15" i="20"/>
  <c r="C15" i="20"/>
  <c r="F21" i="20"/>
  <c r="C21" i="20"/>
  <c r="H21" i="20"/>
  <c r="G21" i="20"/>
  <c r="AA51" i="1"/>
  <c r="AA55" i="1" s="1"/>
  <c r="M44" i="1"/>
  <c r="M46" i="1" s="1"/>
  <c r="M47" i="1"/>
  <c r="Y143" i="1"/>
  <c r="F51" i="1"/>
  <c r="F56" i="1" s="1"/>
  <c r="E13" i="15"/>
  <c r="M26" i="6"/>
  <c r="N26" i="6"/>
  <c r="G11" i="5"/>
  <c r="K16" i="6"/>
  <c r="L17" i="6"/>
  <c r="AT42" i="23" l="1"/>
  <c r="AS42" i="23"/>
  <c r="AW68" i="1"/>
  <c r="AT69" i="1"/>
  <c r="AP69" i="1"/>
  <c r="BH72" i="1"/>
  <c r="E21" i="20"/>
  <c r="E15" i="20"/>
  <c r="AS69" i="1"/>
  <c r="AY90" i="1"/>
  <c r="K21" i="20"/>
  <c r="AA56" i="1"/>
  <c r="W63" i="1"/>
  <c r="W64" i="1" s="1"/>
  <c r="Z143" i="1"/>
  <c r="F55" i="1"/>
  <c r="F13" i="15"/>
  <c r="H11" i="5"/>
  <c r="K17" i="6"/>
  <c r="AZ68" i="1" l="1"/>
  <c r="AW69" i="1"/>
  <c r="BI72" i="1"/>
  <c r="AZ90" i="1"/>
  <c r="AV69" i="1"/>
  <c r="AF137" i="1"/>
  <c r="AF140" i="1" s="1"/>
  <c r="AF146" i="1" s="1"/>
  <c r="D15" i="25"/>
  <c r="W88" i="1"/>
  <c r="W89" i="1" s="1"/>
  <c r="W138" i="1"/>
  <c r="G13" i="15"/>
  <c r="I11" i="5"/>
  <c r="BC68" i="1" l="1"/>
  <c r="AZ69" i="1"/>
  <c r="BJ72" i="1"/>
  <c r="G33" i="27"/>
  <c r="D33" i="20"/>
  <c r="AY69" i="1"/>
  <c r="G23" i="5" s="1"/>
  <c r="BA90" i="1"/>
  <c r="W99" i="1"/>
  <c r="W137" i="1" s="1"/>
  <c r="W140" i="1" s="1"/>
  <c r="W146" i="1" s="1"/>
  <c r="W43" i="1"/>
  <c r="W44" i="1" s="1"/>
  <c r="W46" i="1" s="1"/>
  <c r="D12" i="25"/>
  <c r="H13" i="15"/>
  <c r="J11" i="5"/>
  <c r="BF68" i="1" l="1"/>
  <c r="BC69" i="1"/>
  <c r="BK72" i="1"/>
  <c r="BB90" i="1"/>
  <c r="BB69" i="1"/>
  <c r="W47" i="1"/>
  <c r="Y139" i="1"/>
  <c r="I13" i="15"/>
  <c r="K11" i="5"/>
  <c r="BI68" i="1" l="1"/>
  <c r="BF69" i="1"/>
  <c r="BL72" i="1"/>
  <c r="BE69" i="1"/>
  <c r="BC90" i="1"/>
  <c r="AD143" i="1"/>
  <c r="Z48" i="23" s="1"/>
  <c r="J13" i="15"/>
  <c r="Z139" i="1"/>
  <c r="L11" i="5"/>
  <c r="BL68" i="1" l="1"/>
  <c r="BI69" i="1"/>
  <c r="BM72" i="1"/>
  <c r="BD90" i="1"/>
  <c r="BH69" i="1"/>
  <c r="AL117" i="1"/>
  <c r="AL119" i="1" s="1"/>
  <c r="G32" i="25"/>
  <c r="K13" i="15"/>
  <c r="BO68" i="1" l="1"/>
  <c r="BL69" i="1"/>
  <c r="BN72" i="1"/>
  <c r="BK69" i="1"/>
  <c r="H23" i="5" s="1"/>
  <c r="BE90" i="1"/>
  <c r="AM117" i="1"/>
  <c r="AM119" i="1" s="1"/>
  <c r="L13" i="15"/>
  <c r="BR68" i="1" l="1"/>
  <c r="BO69" i="1"/>
  <c r="BO72" i="1"/>
  <c r="BF90" i="1"/>
  <c r="BN69" i="1"/>
  <c r="H32" i="25"/>
  <c r="AN117" i="1"/>
  <c r="AN119" i="1" s="1"/>
  <c r="I32" i="25"/>
  <c r="M13" i="15"/>
  <c r="BU68" i="1" l="1"/>
  <c r="BR69" i="1"/>
  <c r="BP72" i="1"/>
  <c r="BQ69" i="1"/>
  <c r="BG90" i="1"/>
  <c r="AO117" i="1"/>
  <c r="AO119" i="1" s="1"/>
  <c r="L25" i="15"/>
  <c r="J32" i="25"/>
  <c r="N13" i="15"/>
  <c r="AD139" i="1"/>
  <c r="BX68" i="1" l="1"/>
  <c r="BU69" i="1"/>
  <c r="BQ72" i="1"/>
  <c r="BH90" i="1"/>
  <c r="BT69" i="1"/>
  <c r="AP117" i="1"/>
  <c r="AP119" i="1" s="1"/>
  <c r="M25" i="15"/>
  <c r="K32" i="25"/>
  <c r="CA68" i="1" l="1"/>
  <c r="BX69" i="1"/>
  <c r="BR72" i="1"/>
  <c r="BW69" i="1"/>
  <c r="BI90" i="1"/>
  <c r="D13" i="25"/>
  <c r="AQ117" i="1"/>
  <c r="AQ119" i="1" s="1"/>
  <c r="N25" i="15"/>
  <c r="C13" i="20"/>
  <c r="CD68" i="1" l="1"/>
  <c r="CA69" i="1"/>
  <c r="BS72" i="1"/>
  <c r="BJ90" i="1"/>
  <c r="BZ69" i="1"/>
  <c r="L32" i="25"/>
  <c r="E13" i="25"/>
  <c r="AR117" i="1"/>
  <c r="AR119" i="1" s="1"/>
  <c r="AL127" i="1"/>
  <c r="M32" i="25" s="1"/>
  <c r="P25" i="15"/>
  <c r="CG68" i="1" l="1"/>
  <c r="CD69" i="1"/>
  <c r="BT72" i="1"/>
  <c r="CC69" i="1"/>
  <c r="BK90" i="1"/>
  <c r="F13" i="25"/>
  <c r="AS117" i="1"/>
  <c r="AS119" i="1" s="1"/>
  <c r="AM127" i="1"/>
  <c r="N32" i="25" s="1"/>
  <c r="P32" i="25" s="1"/>
  <c r="CJ68" i="1" l="1"/>
  <c r="CG69" i="1"/>
  <c r="BU72" i="1"/>
  <c r="BL90" i="1"/>
  <c r="CF69" i="1"/>
  <c r="AT117" i="1"/>
  <c r="AT119" i="1" s="1"/>
  <c r="G13" i="25"/>
  <c r="AN127" i="1"/>
  <c r="D13" i="20"/>
  <c r="E13" i="20" s="1"/>
  <c r="CM68" i="1" l="1"/>
  <c r="CJ69" i="1"/>
  <c r="BV72" i="1"/>
  <c r="CI69" i="1"/>
  <c r="BM90" i="1"/>
  <c r="AU117" i="1"/>
  <c r="AU119" i="1" s="1"/>
  <c r="H13" i="25"/>
  <c r="AO127" i="1"/>
  <c r="CP68" i="1" l="1"/>
  <c r="CM69" i="1"/>
  <c r="BW72" i="1"/>
  <c r="BN90" i="1"/>
  <c r="CL69" i="1"/>
  <c r="AV117" i="1"/>
  <c r="AV119" i="1" s="1"/>
  <c r="I13" i="25"/>
  <c r="AP127" i="1"/>
  <c r="AK139" i="1"/>
  <c r="AL124" i="1"/>
  <c r="CS68" i="1" l="1"/>
  <c r="CP69" i="1"/>
  <c r="BX72" i="1"/>
  <c r="CO69" i="1"/>
  <c r="BO90" i="1"/>
  <c r="AW117" i="1"/>
  <c r="AW119" i="1" s="1"/>
  <c r="AQ127" i="1"/>
  <c r="AM124" i="1"/>
  <c r="AL125" i="1"/>
  <c r="AL139" i="1" s="1"/>
  <c r="CV68" i="1" l="1"/>
  <c r="CS69" i="1"/>
  <c r="BY72" i="1"/>
  <c r="BP90" i="1"/>
  <c r="CR69" i="1"/>
  <c r="AX117" i="1"/>
  <c r="AX119" i="1" s="1"/>
  <c r="E28" i="20"/>
  <c r="AR127" i="1"/>
  <c r="AM125" i="1"/>
  <c r="AM139" i="1" s="1"/>
  <c r="AN124" i="1"/>
  <c r="AL115" i="1"/>
  <c r="CY68" i="1" l="1"/>
  <c r="CV69" i="1"/>
  <c r="BZ72" i="1"/>
  <c r="CU69" i="1"/>
  <c r="BQ90" i="1"/>
  <c r="AY117" i="1"/>
  <c r="AY119" i="1" s="1"/>
  <c r="AS127" i="1"/>
  <c r="AO124" i="1"/>
  <c r="AN125" i="1"/>
  <c r="AN139" i="1" s="1"/>
  <c r="AM115" i="1"/>
  <c r="DB68" i="1" l="1"/>
  <c r="CY69" i="1"/>
  <c r="CA72" i="1"/>
  <c r="BR90" i="1"/>
  <c r="CX69" i="1"/>
  <c r="AZ117" i="1"/>
  <c r="AZ119" i="1" s="1"/>
  <c r="G28" i="20"/>
  <c r="AT127" i="1"/>
  <c r="AP124" i="1"/>
  <c r="AO125" i="1"/>
  <c r="AO139" i="1" s="1"/>
  <c r="AL73" i="1"/>
  <c r="AN115" i="1"/>
  <c r="DE68" i="1" l="1"/>
  <c r="DE69" i="1" s="1"/>
  <c r="DB69" i="1"/>
  <c r="CB72" i="1"/>
  <c r="DA69" i="1"/>
  <c r="BS90" i="1"/>
  <c r="BA117" i="1"/>
  <c r="BA119" i="1" s="1"/>
  <c r="L29" i="27"/>
  <c r="L30" i="27" s="1"/>
  <c r="AU127" i="1"/>
  <c r="AP125" i="1"/>
  <c r="AP139" i="1" s="1"/>
  <c r="AQ124" i="1"/>
  <c r="AM73" i="1"/>
  <c r="AN73" i="1" s="1"/>
  <c r="AL76" i="1"/>
  <c r="AO115" i="1"/>
  <c r="AL93" i="1"/>
  <c r="M28" i="27" l="1"/>
  <c r="M29" i="27" s="1"/>
  <c r="M30" i="27" s="1"/>
  <c r="CC72" i="1"/>
  <c r="BT90" i="1"/>
  <c r="DG69" i="1"/>
  <c r="DD69" i="1"/>
  <c r="L23" i="5" s="1"/>
  <c r="BB117" i="1"/>
  <c r="BB119" i="1" s="1"/>
  <c r="AV127" i="1"/>
  <c r="AR124" i="1"/>
  <c r="AQ125" i="1"/>
  <c r="AQ139" i="1" s="1"/>
  <c r="AM76" i="1"/>
  <c r="AP115" i="1"/>
  <c r="AM93" i="1"/>
  <c r="N28" i="27" s="1"/>
  <c r="AL94" i="1"/>
  <c r="AL98" i="1" s="1"/>
  <c r="M29" i="25" l="1"/>
  <c r="CD72" i="1"/>
  <c r="I23" i="5"/>
  <c r="J23" i="5"/>
  <c r="K23" i="5"/>
  <c r="BU90" i="1"/>
  <c r="BC117" i="1"/>
  <c r="BC119" i="1" s="1"/>
  <c r="N29" i="27"/>
  <c r="N30" i="27" s="1"/>
  <c r="P28" i="27"/>
  <c r="AW127" i="1"/>
  <c r="AR125" i="1"/>
  <c r="AR139" i="1" s="1"/>
  <c r="AS124" i="1"/>
  <c r="AO73" i="1"/>
  <c r="AN76" i="1"/>
  <c r="AQ115" i="1"/>
  <c r="AN93" i="1"/>
  <c r="AM94" i="1"/>
  <c r="AM98" i="1" s="1"/>
  <c r="N29" i="25" s="1"/>
  <c r="H28" i="20" l="1"/>
  <c r="I28" i="20" s="1"/>
  <c r="P29" i="25"/>
  <c r="CE72" i="1"/>
  <c r="BV90" i="1"/>
  <c r="BD117" i="1"/>
  <c r="BD119" i="1" s="1"/>
  <c r="P29" i="27"/>
  <c r="P30" i="27" s="1"/>
  <c r="AX127" i="1"/>
  <c r="AS125" i="1"/>
  <c r="AS139" i="1" s="1"/>
  <c r="AT124" i="1"/>
  <c r="AP73" i="1"/>
  <c r="AO76" i="1"/>
  <c r="AR115" i="1"/>
  <c r="AO93" i="1"/>
  <c r="AN94" i="1"/>
  <c r="AN98" i="1" s="1"/>
  <c r="K28" i="20" l="1"/>
  <c r="CF72" i="1"/>
  <c r="BW90" i="1"/>
  <c r="BE117" i="1"/>
  <c r="BE119" i="1" s="1"/>
  <c r="AY127" i="1"/>
  <c r="AT125" i="1"/>
  <c r="AT139" i="1" s="1"/>
  <c r="AU124" i="1"/>
  <c r="AQ73" i="1"/>
  <c r="AP76" i="1"/>
  <c r="AS115" i="1"/>
  <c r="AP93" i="1"/>
  <c r="AO94" i="1"/>
  <c r="AO98" i="1" s="1"/>
  <c r="CG72" i="1" l="1"/>
  <c r="BX90" i="1"/>
  <c r="BF117" i="1"/>
  <c r="BF119" i="1" s="1"/>
  <c r="AZ127" i="1"/>
  <c r="AU125" i="1"/>
  <c r="AU139" i="1" s="1"/>
  <c r="AV124" i="1"/>
  <c r="AR73" i="1"/>
  <c r="AQ76" i="1"/>
  <c r="AT115" i="1"/>
  <c r="AQ93" i="1"/>
  <c r="AP94" i="1"/>
  <c r="AP98" i="1" s="1"/>
  <c r="CH72" i="1" l="1"/>
  <c r="BY90" i="1"/>
  <c r="BG117" i="1"/>
  <c r="BG119" i="1" s="1"/>
  <c r="BA127" i="1"/>
  <c r="AV125" i="1"/>
  <c r="AV139" i="1" s="1"/>
  <c r="AW124" i="1"/>
  <c r="AS73" i="1"/>
  <c r="AR76" i="1"/>
  <c r="AU115" i="1"/>
  <c r="AR93" i="1"/>
  <c r="AQ94" i="1"/>
  <c r="AQ98" i="1" s="1"/>
  <c r="CI72" i="1" l="1"/>
  <c r="BZ90" i="1"/>
  <c r="BH117" i="1"/>
  <c r="BH119" i="1" s="1"/>
  <c r="BB127" i="1"/>
  <c r="AW125" i="1"/>
  <c r="AW139" i="1" s="1"/>
  <c r="AX124" i="1"/>
  <c r="AT73" i="1"/>
  <c r="AS76" i="1"/>
  <c r="AV115" i="1"/>
  <c r="AS93" i="1"/>
  <c r="AR94" i="1"/>
  <c r="AR98" i="1" s="1"/>
  <c r="CJ72" i="1" l="1"/>
  <c r="CA90" i="1"/>
  <c r="BI117" i="1"/>
  <c r="BI119" i="1" s="1"/>
  <c r="BC127" i="1"/>
  <c r="AY124" i="1"/>
  <c r="AX125" i="1"/>
  <c r="AX139" i="1" s="1"/>
  <c r="AU73" i="1"/>
  <c r="AT76" i="1"/>
  <c r="AW115" i="1"/>
  <c r="AT93" i="1"/>
  <c r="AS94" i="1"/>
  <c r="AS98" i="1" s="1"/>
  <c r="CK72" i="1" l="1"/>
  <c r="CB90" i="1"/>
  <c r="BJ117" i="1"/>
  <c r="BJ119" i="1" s="1"/>
  <c r="BD127" i="1"/>
  <c r="AZ124" i="1"/>
  <c r="AY125" i="1"/>
  <c r="AY139" i="1" s="1"/>
  <c r="AV73" i="1"/>
  <c r="AU76" i="1"/>
  <c r="AX115" i="1"/>
  <c r="AU93" i="1"/>
  <c r="AT94" i="1"/>
  <c r="AT98" i="1" s="1"/>
  <c r="CL72" i="1" l="1"/>
  <c r="CC90" i="1"/>
  <c r="BK117" i="1"/>
  <c r="BK119" i="1" s="1"/>
  <c r="BE127" i="1"/>
  <c r="AZ125" i="1"/>
  <c r="AZ139" i="1" s="1"/>
  <c r="BA124" i="1"/>
  <c r="AW73" i="1"/>
  <c r="AV76" i="1"/>
  <c r="AY115" i="1"/>
  <c r="AV93" i="1"/>
  <c r="AU94" i="1"/>
  <c r="AU98" i="1" s="1"/>
  <c r="CM72" i="1" l="1"/>
  <c r="CD90" i="1"/>
  <c r="BL117" i="1"/>
  <c r="BL119" i="1" s="1"/>
  <c r="BF127" i="1"/>
  <c r="BA125" i="1"/>
  <c r="BA139" i="1" s="1"/>
  <c r="BB124" i="1"/>
  <c r="AX73" i="1"/>
  <c r="AW76" i="1"/>
  <c r="AZ115" i="1"/>
  <c r="AW93" i="1"/>
  <c r="AV94" i="1"/>
  <c r="AV98" i="1" s="1"/>
  <c r="CN72" i="1" l="1"/>
  <c r="CE90" i="1"/>
  <c r="BM117" i="1"/>
  <c r="BM119" i="1" s="1"/>
  <c r="BG127" i="1"/>
  <c r="BC124" i="1"/>
  <c r="BB125" i="1"/>
  <c r="BB139" i="1" s="1"/>
  <c r="AY73" i="1"/>
  <c r="AZ73" i="1" s="1"/>
  <c r="AX76" i="1"/>
  <c r="BA115" i="1"/>
  <c r="AX93" i="1"/>
  <c r="AW94" i="1"/>
  <c r="AW98" i="1" s="1"/>
  <c r="CO72" i="1" l="1"/>
  <c r="CF90" i="1"/>
  <c r="BN117" i="1"/>
  <c r="BN119" i="1" s="1"/>
  <c r="BH127" i="1"/>
  <c r="BD124" i="1"/>
  <c r="BC125" i="1"/>
  <c r="BC139" i="1" s="1"/>
  <c r="AY76" i="1"/>
  <c r="BB115" i="1"/>
  <c r="AY93" i="1"/>
  <c r="AX94" i="1"/>
  <c r="AX98" i="1" s="1"/>
  <c r="CP72" i="1" l="1"/>
  <c r="CG90" i="1"/>
  <c r="BO117" i="1"/>
  <c r="BO119" i="1" s="1"/>
  <c r="BI127" i="1"/>
  <c r="BD125" i="1"/>
  <c r="BD139" i="1" s="1"/>
  <c r="BE124" i="1"/>
  <c r="BA73" i="1"/>
  <c r="AZ76" i="1"/>
  <c r="BC115" i="1"/>
  <c r="AZ93" i="1"/>
  <c r="AY94" i="1"/>
  <c r="AY98" i="1" s="1"/>
  <c r="CQ72" i="1" l="1"/>
  <c r="CH90" i="1"/>
  <c r="BP117" i="1"/>
  <c r="BP119" i="1" s="1"/>
  <c r="BJ127" i="1"/>
  <c r="BF124" i="1"/>
  <c r="BE125" i="1"/>
  <c r="BE139" i="1" s="1"/>
  <c r="BB73" i="1"/>
  <c r="BA76" i="1"/>
  <c r="BD115" i="1"/>
  <c r="BA93" i="1"/>
  <c r="AZ94" i="1"/>
  <c r="AZ98" i="1" s="1"/>
  <c r="CR72" i="1" l="1"/>
  <c r="CI90" i="1"/>
  <c r="BQ117" i="1"/>
  <c r="BQ119" i="1" s="1"/>
  <c r="BK127" i="1"/>
  <c r="BG124" i="1"/>
  <c r="BF125" i="1"/>
  <c r="BF139" i="1" s="1"/>
  <c r="BC73" i="1"/>
  <c r="BB76" i="1"/>
  <c r="BE115" i="1"/>
  <c r="BB93" i="1"/>
  <c r="BA94" i="1"/>
  <c r="BA98" i="1" s="1"/>
  <c r="CS72" i="1" l="1"/>
  <c r="CJ90" i="1"/>
  <c r="BR117" i="1"/>
  <c r="BR119" i="1" s="1"/>
  <c r="BL127" i="1"/>
  <c r="BH124" i="1"/>
  <c r="BG125" i="1"/>
  <c r="BG139" i="1" s="1"/>
  <c r="BD73" i="1"/>
  <c r="BC76" i="1"/>
  <c r="BF115" i="1"/>
  <c r="BC93" i="1"/>
  <c r="BB94" i="1"/>
  <c r="BB98" i="1" s="1"/>
  <c r="CT72" i="1" l="1"/>
  <c r="BS117" i="1"/>
  <c r="BS119" i="1" s="1"/>
  <c r="CK90" i="1"/>
  <c r="BM127" i="1"/>
  <c r="BH125" i="1"/>
  <c r="BH139" i="1" s="1"/>
  <c r="BI124" i="1"/>
  <c r="BE73" i="1"/>
  <c r="BD76" i="1"/>
  <c r="BG115" i="1"/>
  <c r="BD93" i="1"/>
  <c r="BC94" i="1"/>
  <c r="BC98" i="1" s="1"/>
  <c r="CU72" i="1" l="1"/>
  <c r="BT117" i="1"/>
  <c r="BT119" i="1" s="1"/>
  <c r="CL90" i="1"/>
  <c r="BN127" i="1"/>
  <c r="BI125" i="1"/>
  <c r="BI139" i="1" s="1"/>
  <c r="BJ124" i="1"/>
  <c r="BF73" i="1"/>
  <c r="BE76" i="1"/>
  <c r="BH115" i="1"/>
  <c r="BE93" i="1"/>
  <c r="BD94" i="1"/>
  <c r="BD98" i="1" s="1"/>
  <c r="CV72" i="1" l="1"/>
  <c r="BU117" i="1"/>
  <c r="BU119" i="1" s="1"/>
  <c r="CM90" i="1"/>
  <c r="BO127" i="1"/>
  <c r="BJ125" i="1"/>
  <c r="BJ139" i="1" s="1"/>
  <c r="BK124" i="1"/>
  <c r="BG73" i="1"/>
  <c r="BF76" i="1"/>
  <c r="BI115" i="1"/>
  <c r="BF93" i="1"/>
  <c r="BE94" i="1"/>
  <c r="BE98" i="1" s="1"/>
  <c r="CW72" i="1" l="1"/>
  <c r="BV117" i="1"/>
  <c r="BV119" i="1" s="1"/>
  <c r="CN90" i="1"/>
  <c r="BP127" i="1"/>
  <c r="BK125" i="1"/>
  <c r="BK139" i="1" s="1"/>
  <c r="BL124" i="1"/>
  <c r="BH73" i="1"/>
  <c r="BG76" i="1"/>
  <c r="BJ115" i="1"/>
  <c r="BG93" i="1"/>
  <c r="BF94" i="1"/>
  <c r="BF98" i="1" s="1"/>
  <c r="CX72" i="1" l="1"/>
  <c r="BW117" i="1"/>
  <c r="BW119" i="1" s="1"/>
  <c r="CO90" i="1"/>
  <c r="BQ127" i="1"/>
  <c r="BM124" i="1"/>
  <c r="BL125" i="1"/>
  <c r="BL139" i="1" s="1"/>
  <c r="BI73" i="1"/>
  <c r="BH76" i="1"/>
  <c r="BK115" i="1"/>
  <c r="BH93" i="1"/>
  <c r="BG94" i="1"/>
  <c r="BG98" i="1" s="1"/>
  <c r="CY72" i="1" l="1"/>
  <c r="BX117" i="1"/>
  <c r="BX119" i="1" s="1"/>
  <c r="CP90" i="1"/>
  <c r="BR127" i="1"/>
  <c r="BN124" i="1"/>
  <c r="BM125" i="1"/>
  <c r="BM139" i="1" s="1"/>
  <c r="BJ73" i="1"/>
  <c r="BI76" i="1"/>
  <c r="BL115" i="1"/>
  <c r="BI93" i="1"/>
  <c r="BH94" i="1"/>
  <c r="BH98" i="1" s="1"/>
  <c r="CZ72" i="1" l="1"/>
  <c r="BY117" i="1"/>
  <c r="BY119" i="1" s="1"/>
  <c r="CQ90" i="1"/>
  <c r="BS127" i="1"/>
  <c r="BN125" i="1"/>
  <c r="BN139" i="1" s="1"/>
  <c r="BO124" i="1"/>
  <c r="BK73" i="1"/>
  <c r="BL73" i="1" s="1"/>
  <c r="BJ76" i="1"/>
  <c r="BM115" i="1"/>
  <c r="BJ93" i="1"/>
  <c r="BI94" i="1"/>
  <c r="BI98" i="1" s="1"/>
  <c r="DA72" i="1" l="1"/>
  <c r="BZ117" i="1"/>
  <c r="BZ119" i="1" s="1"/>
  <c r="CR90" i="1"/>
  <c r="BT127" i="1"/>
  <c r="BO125" i="1"/>
  <c r="BO139" i="1" s="1"/>
  <c r="BP124" i="1"/>
  <c r="BK76" i="1"/>
  <c r="BN115" i="1"/>
  <c r="BK93" i="1"/>
  <c r="BJ94" i="1"/>
  <c r="BJ98" i="1" s="1"/>
  <c r="DB72" i="1" l="1"/>
  <c r="CA117" i="1"/>
  <c r="CA119" i="1" s="1"/>
  <c r="CS90" i="1"/>
  <c r="BU127" i="1"/>
  <c r="BP125" i="1"/>
  <c r="BP139" i="1" s="1"/>
  <c r="BQ124" i="1"/>
  <c r="BM73" i="1"/>
  <c r="BL76" i="1"/>
  <c r="BO115" i="1"/>
  <c r="BL93" i="1"/>
  <c r="BK94" i="1"/>
  <c r="BK98" i="1" s="1"/>
  <c r="DC72" i="1" l="1"/>
  <c r="CB117" i="1"/>
  <c r="CB119" i="1" s="1"/>
  <c r="CT90" i="1"/>
  <c r="BV127" i="1"/>
  <c r="BQ125" i="1"/>
  <c r="BQ139" i="1" s="1"/>
  <c r="BR124" i="1"/>
  <c r="BN73" i="1"/>
  <c r="BM76" i="1"/>
  <c r="BP115" i="1"/>
  <c r="BM93" i="1"/>
  <c r="BL94" i="1"/>
  <c r="BL98" i="1" s="1"/>
  <c r="DD72" i="1" l="1"/>
  <c r="CC117" i="1"/>
  <c r="CC119" i="1" s="1"/>
  <c r="CU90" i="1"/>
  <c r="BW127" i="1"/>
  <c r="BR125" i="1"/>
  <c r="BR139" i="1" s="1"/>
  <c r="BS124" i="1"/>
  <c r="BO73" i="1"/>
  <c r="BN76" i="1"/>
  <c r="BQ115" i="1"/>
  <c r="BN93" i="1"/>
  <c r="BM94" i="1"/>
  <c r="BM98" i="1" s="1"/>
  <c r="DE72" i="1" l="1"/>
  <c r="CD117" i="1"/>
  <c r="CD119" i="1" s="1"/>
  <c r="CV90" i="1"/>
  <c r="BX127" i="1"/>
  <c r="BT124" i="1"/>
  <c r="BS125" i="1"/>
  <c r="BS139" i="1" s="1"/>
  <c r="BP73" i="1"/>
  <c r="BO76" i="1"/>
  <c r="BR115" i="1"/>
  <c r="BO93" i="1"/>
  <c r="BN94" i="1"/>
  <c r="BN98" i="1" s="1"/>
  <c r="DF72" i="1" l="1"/>
  <c r="CE117" i="1"/>
  <c r="CE119" i="1" s="1"/>
  <c r="CW90" i="1"/>
  <c r="BY127" i="1"/>
  <c r="BT125" i="1"/>
  <c r="BT139" i="1" s="1"/>
  <c r="BU124" i="1"/>
  <c r="BQ73" i="1"/>
  <c r="BP76" i="1"/>
  <c r="BS115" i="1"/>
  <c r="BP93" i="1"/>
  <c r="BO94" i="1"/>
  <c r="BO98" i="1" s="1"/>
  <c r="DG72" i="1" l="1"/>
  <c r="CF117" i="1"/>
  <c r="CF119" i="1" s="1"/>
  <c r="CX90" i="1"/>
  <c r="BZ127" i="1"/>
  <c r="BV124" i="1"/>
  <c r="BU125" i="1"/>
  <c r="BU139" i="1" s="1"/>
  <c r="BR73" i="1"/>
  <c r="BQ76" i="1"/>
  <c r="BT115" i="1"/>
  <c r="BQ93" i="1"/>
  <c r="BP94" i="1"/>
  <c r="BP98" i="1" s="1"/>
  <c r="CG117" i="1" l="1"/>
  <c r="CG119" i="1" s="1"/>
  <c r="CY90" i="1"/>
  <c r="CA127" i="1"/>
  <c r="BV125" i="1"/>
  <c r="BV139" i="1" s="1"/>
  <c r="BW124" i="1"/>
  <c r="BS73" i="1"/>
  <c r="BR76" i="1"/>
  <c r="BU115" i="1"/>
  <c r="BR93" i="1"/>
  <c r="BQ94" i="1"/>
  <c r="BQ98" i="1" s="1"/>
  <c r="CH117" i="1" l="1"/>
  <c r="CH119" i="1" s="1"/>
  <c r="CZ90" i="1"/>
  <c r="CB127" i="1"/>
  <c r="BX124" i="1"/>
  <c r="BW125" i="1"/>
  <c r="BW139" i="1" s="1"/>
  <c r="BT73" i="1"/>
  <c r="BS76" i="1"/>
  <c r="BV115" i="1"/>
  <c r="BS93" i="1"/>
  <c r="BR94" i="1"/>
  <c r="BR98" i="1" s="1"/>
  <c r="CI117" i="1" l="1"/>
  <c r="CI119" i="1" s="1"/>
  <c r="DA90" i="1"/>
  <c r="CC127" i="1"/>
  <c r="BX125" i="1"/>
  <c r="BX139" i="1" s="1"/>
  <c r="BY124" i="1"/>
  <c r="BU73" i="1"/>
  <c r="BT76" i="1"/>
  <c r="BW115" i="1"/>
  <c r="BT93" i="1"/>
  <c r="BS94" i="1"/>
  <c r="BS98" i="1" s="1"/>
  <c r="CJ117" i="1" l="1"/>
  <c r="CJ119" i="1" s="1"/>
  <c r="DB90" i="1"/>
  <c r="CD127" i="1"/>
  <c r="BY125" i="1"/>
  <c r="BY139" i="1" s="1"/>
  <c r="BZ124" i="1"/>
  <c r="BV73" i="1"/>
  <c r="BU76" i="1"/>
  <c r="BX115" i="1"/>
  <c r="BU93" i="1"/>
  <c r="BT94" i="1"/>
  <c r="BT98" i="1" s="1"/>
  <c r="CK117" i="1" l="1"/>
  <c r="CK119" i="1" s="1"/>
  <c r="DC90" i="1"/>
  <c r="CE127" i="1"/>
  <c r="BZ125" i="1"/>
  <c r="BZ139" i="1" s="1"/>
  <c r="CA124" i="1"/>
  <c r="BW73" i="1"/>
  <c r="BX73" i="1" s="1"/>
  <c r="BV76" i="1"/>
  <c r="BY115" i="1"/>
  <c r="BV93" i="1"/>
  <c r="BU94" i="1"/>
  <c r="BU98" i="1" s="1"/>
  <c r="CL117" i="1" l="1"/>
  <c r="CL119" i="1" s="1"/>
  <c r="DD90" i="1"/>
  <c r="CF127" i="1"/>
  <c r="CB124" i="1"/>
  <c r="CA125" i="1"/>
  <c r="CA139" i="1" s="1"/>
  <c r="BW76" i="1"/>
  <c r="BZ115" i="1"/>
  <c r="BW93" i="1"/>
  <c r="BV94" i="1"/>
  <c r="BV98" i="1" s="1"/>
  <c r="CM117" i="1" l="1"/>
  <c r="CM119" i="1" s="1"/>
  <c r="DE90" i="1"/>
  <c r="CG127" i="1"/>
  <c r="CB125" i="1"/>
  <c r="CB139" i="1" s="1"/>
  <c r="CC124" i="1"/>
  <c r="BY73" i="1"/>
  <c r="BX76" i="1"/>
  <c r="CA115" i="1"/>
  <c r="BX93" i="1"/>
  <c r="BW94" i="1"/>
  <c r="BW98" i="1" s="1"/>
  <c r="CN117" i="1" l="1"/>
  <c r="CN119" i="1" s="1"/>
  <c r="DF90" i="1"/>
  <c r="CH127" i="1"/>
  <c r="CD124" i="1"/>
  <c r="CC125" i="1"/>
  <c r="CC139" i="1" s="1"/>
  <c r="BZ73" i="1"/>
  <c r="BY76" i="1"/>
  <c r="CB115" i="1"/>
  <c r="BY93" i="1"/>
  <c r="BX94" i="1"/>
  <c r="BX98" i="1" s="1"/>
  <c r="CO117" i="1" l="1"/>
  <c r="CO119" i="1" s="1"/>
  <c r="DG90" i="1"/>
  <c r="CI127" i="1"/>
  <c r="CD125" i="1"/>
  <c r="CD139" i="1" s="1"/>
  <c r="CE124" i="1"/>
  <c r="CA73" i="1"/>
  <c r="BZ76" i="1"/>
  <c r="CC115" i="1"/>
  <c r="BZ93" i="1"/>
  <c r="BY94" i="1"/>
  <c r="BY98" i="1" s="1"/>
  <c r="CP117" i="1" l="1"/>
  <c r="CP119" i="1" s="1"/>
  <c r="CJ127" i="1"/>
  <c r="CF124" i="1"/>
  <c r="CE125" i="1"/>
  <c r="CE139" i="1" s="1"/>
  <c r="CB73" i="1"/>
  <c r="CA76" i="1"/>
  <c r="CD115" i="1"/>
  <c r="CA93" i="1"/>
  <c r="BZ94" i="1"/>
  <c r="BZ98" i="1" s="1"/>
  <c r="CQ117" i="1" l="1"/>
  <c r="CQ119" i="1" s="1"/>
  <c r="CK127" i="1"/>
  <c r="CF125" i="1"/>
  <c r="CF139" i="1" s="1"/>
  <c r="CG124" i="1"/>
  <c r="CC73" i="1"/>
  <c r="CB76" i="1"/>
  <c r="CE115" i="1"/>
  <c r="CB93" i="1"/>
  <c r="CA94" i="1"/>
  <c r="CA98" i="1" s="1"/>
  <c r="CR117" i="1" l="1"/>
  <c r="CR119" i="1" s="1"/>
  <c r="CL127" i="1"/>
  <c r="CG125" i="1"/>
  <c r="CG139" i="1" s="1"/>
  <c r="CH124" i="1"/>
  <c r="CD73" i="1"/>
  <c r="CC76" i="1"/>
  <c r="CF115" i="1"/>
  <c r="CC93" i="1"/>
  <c r="CB94" i="1"/>
  <c r="CB98" i="1" s="1"/>
  <c r="CS117" i="1" l="1"/>
  <c r="CS119" i="1" s="1"/>
  <c r="CM127" i="1"/>
  <c r="CH125" i="1"/>
  <c r="CH139" i="1" s="1"/>
  <c r="CI124" i="1"/>
  <c r="CE73" i="1"/>
  <c r="CD76" i="1"/>
  <c r="CG115" i="1"/>
  <c r="CD93" i="1"/>
  <c r="CC94" i="1"/>
  <c r="CC98" i="1" s="1"/>
  <c r="CT117" i="1" l="1"/>
  <c r="CT119" i="1" s="1"/>
  <c r="CN127" i="1"/>
  <c r="CI125" i="1"/>
  <c r="CI139" i="1" s="1"/>
  <c r="CJ124" i="1"/>
  <c r="CF73" i="1"/>
  <c r="CE76" i="1"/>
  <c r="CH115" i="1"/>
  <c r="CE93" i="1"/>
  <c r="CD94" i="1"/>
  <c r="CD98" i="1" s="1"/>
  <c r="CU117" i="1" l="1"/>
  <c r="CU119" i="1" s="1"/>
  <c r="CO127" i="1"/>
  <c r="CJ125" i="1"/>
  <c r="CJ139" i="1" s="1"/>
  <c r="CK124" i="1"/>
  <c r="CG73" i="1"/>
  <c r="CF76" i="1"/>
  <c r="CI115" i="1"/>
  <c r="CF93" i="1"/>
  <c r="CE94" i="1"/>
  <c r="CE98" i="1" s="1"/>
  <c r="CV117" i="1" l="1"/>
  <c r="CV119" i="1" s="1"/>
  <c r="CP127" i="1"/>
  <c r="CL124" i="1"/>
  <c r="CK125" i="1"/>
  <c r="CK139" i="1" s="1"/>
  <c r="CH73" i="1"/>
  <c r="CG76" i="1"/>
  <c r="CJ115" i="1"/>
  <c r="CG93" i="1"/>
  <c r="CF94" i="1"/>
  <c r="CF98" i="1" s="1"/>
  <c r="CW117" i="1" l="1"/>
  <c r="CW119" i="1" s="1"/>
  <c r="CX117" i="1"/>
  <c r="CX119" i="1" s="1"/>
  <c r="CQ127" i="1"/>
  <c r="CM124" i="1"/>
  <c r="CL125" i="1"/>
  <c r="CL139" i="1" s="1"/>
  <c r="CI73" i="1"/>
  <c r="CJ73" i="1" s="1"/>
  <c r="CH76" i="1"/>
  <c r="CK115" i="1"/>
  <c r="CH93" i="1"/>
  <c r="CG94" i="1"/>
  <c r="CG98" i="1" s="1"/>
  <c r="CY117" i="1" l="1"/>
  <c r="CY119" i="1" s="1"/>
  <c r="CR127" i="1"/>
  <c r="CN124" i="1"/>
  <c r="CM125" i="1"/>
  <c r="CM139" i="1" s="1"/>
  <c r="CI76" i="1"/>
  <c r="CL115" i="1"/>
  <c r="CI93" i="1"/>
  <c r="CH94" i="1"/>
  <c r="CH98" i="1" s="1"/>
  <c r="CZ117" i="1" l="1"/>
  <c r="CZ119" i="1" s="1"/>
  <c r="CS127" i="1"/>
  <c r="CN125" i="1"/>
  <c r="CN139" i="1" s="1"/>
  <c r="CO124" i="1"/>
  <c r="CK73" i="1"/>
  <c r="CJ76" i="1"/>
  <c r="CM115" i="1"/>
  <c r="CJ93" i="1"/>
  <c r="CI94" i="1"/>
  <c r="CI98" i="1" s="1"/>
  <c r="DA117" i="1" l="1"/>
  <c r="DA119" i="1" s="1"/>
  <c r="CT127" i="1"/>
  <c r="CP124" i="1"/>
  <c r="CO125" i="1"/>
  <c r="CO139" i="1" s="1"/>
  <c r="CL73" i="1"/>
  <c r="CK76" i="1"/>
  <c r="CN115" i="1"/>
  <c r="CK93" i="1"/>
  <c r="CJ94" i="1"/>
  <c r="CJ98" i="1" s="1"/>
  <c r="DB117" i="1" l="1"/>
  <c r="DB119" i="1" s="1"/>
  <c r="CU127" i="1"/>
  <c r="CP125" i="1"/>
  <c r="CP139" i="1" s="1"/>
  <c r="CQ124" i="1"/>
  <c r="CM73" i="1"/>
  <c r="CL76" i="1"/>
  <c r="CO115" i="1"/>
  <c r="CL93" i="1"/>
  <c r="CK94" i="1"/>
  <c r="CK98" i="1" s="1"/>
  <c r="DC117" i="1" l="1"/>
  <c r="DC119" i="1" s="1"/>
  <c r="CV127" i="1"/>
  <c r="CR124" i="1"/>
  <c r="CQ125" i="1"/>
  <c r="CQ139" i="1" s="1"/>
  <c r="CN73" i="1"/>
  <c r="CM76" i="1"/>
  <c r="CP115" i="1"/>
  <c r="CM93" i="1"/>
  <c r="CL94" i="1"/>
  <c r="CL98" i="1" s="1"/>
  <c r="DD117" i="1" l="1"/>
  <c r="DD119" i="1" s="1"/>
  <c r="CW127" i="1"/>
  <c r="CR125" i="1"/>
  <c r="CR139" i="1" s="1"/>
  <c r="CS124" i="1"/>
  <c r="CO73" i="1"/>
  <c r="CN76" i="1"/>
  <c r="CQ115" i="1"/>
  <c r="CN93" i="1"/>
  <c r="CM94" i="1"/>
  <c r="CM98" i="1" s="1"/>
  <c r="DE117" i="1" l="1"/>
  <c r="DE119" i="1" s="1"/>
  <c r="CX127" i="1"/>
  <c r="CT124" i="1"/>
  <c r="CS125" i="1"/>
  <c r="CS139" i="1" s="1"/>
  <c r="CP73" i="1"/>
  <c r="CO76" i="1"/>
  <c r="CR115" i="1"/>
  <c r="CO93" i="1"/>
  <c r="CN94" i="1"/>
  <c r="CN98" i="1" s="1"/>
  <c r="DF117" i="1" l="1"/>
  <c r="DF119" i="1" s="1"/>
  <c r="CY127" i="1"/>
  <c r="CU124" i="1"/>
  <c r="CT125" i="1"/>
  <c r="CT139" i="1" s="1"/>
  <c r="CQ73" i="1"/>
  <c r="CP76" i="1"/>
  <c r="CS115" i="1"/>
  <c r="CP93" i="1"/>
  <c r="CO94" i="1"/>
  <c r="CO98" i="1" s="1"/>
  <c r="DG117" i="1" l="1"/>
  <c r="DG119" i="1" s="1"/>
  <c r="CZ127" i="1"/>
  <c r="CV124" i="1"/>
  <c r="CU125" i="1"/>
  <c r="CU139" i="1" s="1"/>
  <c r="CR73" i="1"/>
  <c r="CQ76" i="1"/>
  <c r="CT115" i="1"/>
  <c r="CQ93" i="1"/>
  <c r="CP94" i="1"/>
  <c r="CP98" i="1" s="1"/>
  <c r="DA127" i="1" l="1"/>
  <c r="CW124" i="1"/>
  <c r="CV125" i="1"/>
  <c r="CV139" i="1" s="1"/>
  <c r="CS73" i="1"/>
  <c r="CR76" i="1"/>
  <c r="CU115" i="1"/>
  <c r="CR93" i="1"/>
  <c r="CQ94" i="1"/>
  <c r="CQ98" i="1" s="1"/>
  <c r="DB127" i="1" l="1"/>
  <c r="CW125" i="1"/>
  <c r="CW139" i="1" s="1"/>
  <c r="CX124" i="1"/>
  <c r="CT73" i="1"/>
  <c r="CS76" i="1"/>
  <c r="CV115" i="1"/>
  <c r="CS93" i="1"/>
  <c r="CR94" i="1"/>
  <c r="CR98" i="1" s="1"/>
  <c r="DC127" i="1" l="1"/>
  <c r="CX125" i="1"/>
  <c r="CX139" i="1" s="1"/>
  <c r="CY124" i="1"/>
  <c r="CU73" i="1"/>
  <c r="CV73" i="1" s="1"/>
  <c r="CT76" i="1"/>
  <c r="CW115" i="1"/>
  <c r="CT93" i="1"/>
  <c r="CS94" i="1"/>
  <c r="CS98" i="1" s="1"/>
  <c r="DD127" i="1" l="1"/>
  <c r="CY125" i="1"/>
  <c r="CY139" i="1" s="1"/>
  <c r="CZ124" i="1"/>
  <c r="CU76" i="1"/>
  <c r="CX115" i="1"/>
  <c r="CU93" i="1"/>
  <c r="CT94" i="1"/>
  <c r="CT98" i="1" s="1"/>
  <c r="DE127" i="1" l="1"/>
  <c r="CZ125" i="1"/>
  <c r="CZ139" i="1" s="1"/>
  <c r="DA124" i="1"/>
  <c r="CW73" i="1"/>
  <c r="CV76" i="1"/>
  <c r="CY115" i="1"/>
  <c r="CV93" i="1"/>
  <c r="CU94" i="1"/>
  <c r="CU98" i="1" s="1"/>
  <c r="DF127" i="1" l="1"/>
  <c r="DB124" i="1"/>
  <c r="DA125" i="1"/>
  <c r="DA139" i="1" s="1"/>
  <c r="CX73" i="1"/>
  <c r="CW76" i="1"/>
  <c r="CZ115" i="1"/>
  <c r="CW93" i="1"/>
  <c r="CV94" i="1"/>
  <c r="CV98" i="1" s="1"/>
  <c r="DG127" i="1" l="1"/>
  <c r="DB125" i="1"/>
  <c r="DB139" i="1" s="1"/>
  <c r="DC124" i="1"/>
  <c r="CY73" i="1"/>
  <c r="CX76" i="1"/>
  <c r="DA115" i="1"/>
  <c r="CX93" i="1"/>
  <c r="CW94" i="1"/>
  <c r="CW98" i="1" s="1"/>
  <c r="DC125" i="1" l="1"/>
  <c r="DC139" i="1" s="1"/>
  <c r="DD124" i="1"/>
  <c r="CZ73" i="1"/>
  <c r="CY76" i="1"/>
  <c r="DB115" i="1"/>
  <c r="CY93" i="1"/>
  <c r="CX94" i="1"/>
  <c r="CX98" i="1" s="1"/>
  <c r="DD125" i="1" l="1"/>
  <c r="DD139" i="1" s="1"/>
  <c r="DE124" i="1"/>
  <c r="DA73" i="1"/>
  <c r="CZ76" i="1"/>
  <c r="DC115" i="1"/>
  <c r="CZ93" i="1"/>
  <c r="CY94" i="1"/>
  <c r="CY98" i="1" s="1"/>
  <c r="DE125" i="1" l="1"/>
  <c r="DE139" i="1" s="1"/>
  <c r="DF124" i="1"/>
  <c r="DB73" i="1"/>
  <c r="DA76" i="1"/>
  <c r="DD115" i="1"/>
  <c r="DA93" i="1"/>
  <c r="CZ94" i="1"/>
  <c r="CZ98" i="1" s="1"/>
  <c r="DF125" i="1" l="1"/>
  <c r="DF139" i="1" s="1"/>
  <c r="DG124" i="1"/>
  <c r="DG125" i="1" s="1"/>
  <c r="DC73" i="1"/>
  <c r="DB76" i="1"/>
  <c r="DE115" i="1"/>
  <c r="DB93" i="1"/>
  <c r="DA94" i="1"/>
  <c r="DA98" i="1" s="1"/>
  <c r="DG139" i="1" l="1"/>
  <c r="DD73" i="1"/>
  <c r="DC76" i="1"/>
  <c r="DF115" i="1"/>
  <c r="DC93" i="1"/>
  <c r="DB94" i="1"/>
  <c r="DB98" i="1" s="1"/>
  <c r="DE73" i="1" l="1"/>
  <c r="DD76" i="1"/>
  <c r="DG115" i="1"/>
  <c r="DD93" i="1"/>
  <c r="DC94" i="1"/>
  <c r="DC98" i="1" s="1"/>
  <c r="DF73" i="1" l="1"/>
  <c r="DE76" i="1"/>
  <c r="DE93" i="1"/>
  <c r="DD94" i="1"/>
  <c r="DD98" i="1" s="1"/>
  <c r="DG73" i="1" l="1"/>
  <c r="DF76" i="1"/>
  <c r="E14" i="5"/>
  <c r="DF93" i="1"/>
  <c r="DE94" i="1"/>
  <c r="DE98" i="1" s="1"/>
  <c r="DG76" i="1" l="1"/>
  <c r="DG93" i="1"/>
  <c r="DG94" i="1" s="1"/>
  <c r="DG98" i="1" s="1"/>
  <c r="DF94" i="1"/>
  <c r="DF98" i="1" s="1"/>
  <c r="F31" i="5" l="1"/>
  <c r="G31" i="5"/>
  <c r="H31" i="5"/>
  <c r="I31" i="5"/>
  <c r="J31" i="5"/>
  <c r="K31" i="5"/>
  <c r="L31" i="5"/>
  <c r="O144" i="1"/>
  <c r="Q144" i="1"/>
  <c r="R144" i="1"/>
  <c r="S144" i="1"/>
  <c r="T144" i="1"/>
  <c r="U144" i="1"/>
  <c r="V144" i="1"/>
  <c r="X144" i="1"/>
  <c r="Y144" i="1"/>
  <c r="Z144" i="1"/>
  <c r="AD144" i="1"/>
  <c r="L138" i="1"/>
  <c r="M138" i="1"/>
  <c r="K137" i="1"/>
  <c r="L137" i="1"/>
  <c r="M137" i="1"/>
  <c r="E148" i="1"/>
  <c r="M140" i="1" l="1"/>
  <c r="L140" i="1"/>
  <c r="M144" i="1" l="1"/>
  <c r="M146" i="1" s="1"/>
  <c r="N144" i="1"/>
  <c r="E6" i="1" l="1"/>
  <c r="F6" i="1"/>
  <c r="G6" i="1"/>
  <c r="H6" i="1"/>
  <c r="I6" i="1"/>
  <c r="J6" i="1"/>
  <c r="E7" i="1"/>
  <c r="F7" i="1"/>
  <c r="G7" i="1"/>
  <c r="H7" i="1"/>
  <c r="I7" i="1"/>
  <c r="E8" i="1"/>
  <c r="F8" i="1"/>
  <c r="G8" i="1"/>
  <c r="H8" i="1"/>
  <c r="I8" i="1"/>
  <c r="E10" i="1"/>
  <c r="F10" i="1"/>
  <c r="G10" i="1"/>
  <c r="H10" i="1"/>
  <c r="I10" i="1"/>
  <c r="E13" i="1"/>
  <c r="D13" i="6" s="1"/>
  <c r="F13" i="1"/>
  <c r="E13" i="6" s="1"/>
  <c r="G13" i="1"/>
  <c r="F13" i="6" s="1"/>
  <c r="H13" i="1"/>
  <c r="G13" i="6" s="1"/>
  <c r="I13" i="1"/>
  <c r="H13" i="6" s="1"/>
  <c r="J13" i="1"/>
  <c r="I13" i="6" s="1"/>
  <c r="E73" i="1"/>
  <c r="F73" i="1"/>
  <c r="G73" i="1"/>
  <c r="H73" i="1"/>
  <c r="I73" i="1"/>
  <c r="E75" i="1"/>
  <c r="E89" i="1" s="1"/>
  <c r="F75" i="1"/>
  <c r="F89" i="1" s="1"/>
  <c r="G75" i="1"/>
  <c r="G89" i="1" s="1"/>
  <c r="H75" i="1"/>
  <c r="H89" i="1" s="1"/>
  <c r="I75" i="1"/>
  <c r="I89" i="1" s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81" i="1"/>
  <c r="F81" i="1"/>
  <c r="G81" i="1"/>
  <c r="H81" i="1"/>
  <c r="I81" i="1"/>
  <c r="E93" i="1"/>
  <c r="E94" i="1" s="1"/>
  <c r="F93" i="1"/>
  <c r="F94" i="1" s="1"/>
  <c r="G93" i="1"/>
  <c r="G94" i="1" s="1"/>
  <c r="H93" i="1"/>
  <c r="H94" i="1" s="1"/>
  <c r="I93" i="1"/>
  <c r="I94" i="1" s="1"/>
  <c r="J93" i="1"/>
  <c r="J94" i="1" s="1"/>
  <c r="E106" i="1"/>
  <c r="F106" i="1"/>
  <c r="G106" i="1"/>
  <c r="H106" i="1"/>
  <c r="I106" i="1"/>
  <c r="E107" i="1"/>
  <c r="F107" i="1"/>
  <c r="G107" i="1"/>
  <c r="H107" i="1"/>
  <c r="I107" i="1"/>
  <c r="E108" i="1"/>
  <c r="F108" i="1"/>
  <c r="G108" i="1"/>
  <c r="H108" i="1"/>
  <c r="I108" i="1"/>
  <c r="E109" i="1"/>
  <c r="F109" i="1"/>
  <c r="G109" i="1"/>
  <c r="H109" i="1"/>
  <c r="I109" i="1"/>
  <c r="E113" i="1"/>
  <c r="F113" i="1"/>
  <c r="G113" i="1"/>
  <c r="H113" i="1"/>
  <c r="I113" i="1"/>
  <c r="E127" i="1"/>
  <c r="F127" i="1"/>
  <c r="G127" i="1"/>
  <c r="H127" i="1"/>
  <c r="I127" i="1"/>
  <c r="E128" i="1"/>
  <c r="F128" i="1"/>
  <c r="G128" i="1"/>
  <c r="H128" i="1"/>
  <c r="I128" i="1"/>
  <c r="E129" i="1"/>
  <c r="F129" i="1"/>
  <c r="G129" i="1"/>
  <c r="H129" i="1"/>
  <c r="I129" i="1"/>
  <c r="D130" i="1"/>
  <c r="D129" i="1"/>
  <c r="D128" i="1"/>
  <c r="D127" i="1"/>
  <c r="D113" i="1"/>
  <c r="D109" i="1"/>
  <c r="D108" i="1"/>
  <c r="D107" i="1"/>
  <c r="D106" i="1"/>
  <c r="D93" i="1"/>
  <c r="D94" i="1" s="1"/>
  <c r="D98" i="1" s="1"/>
  <c r="D81" i="1"/>
  <c r="D78" i="1"/>
  <c r="D77" i="1"/>
  <c r="D76" i="1"/>
  <c r="D75" i="1"/>
  <c r="D73" i="1"/>
  <c r="D13" i="1"/>
  <c r="D14" i="5" s="1"/>
  <c r="D10" i="1"/>
  <c r="D8" i="1"/>
  <c r="D7" i="1"/>
  <c r="D6" i="1"/>
  <c r="J143" i="1" l="1"/>
  <c r="D84" i="1"/>
  <c r="D86" i="1" s="1"/>
  <c r="F84" i="1"/>
  <c r="F86" i="1" s="1"/>
  <c r="E84" i="1"/>
  <c r="E86" i="1" s="1"/>
  <c r="C21" i="6"/>
  <c r="J84" i="1"/>
  <c r="I84" i="1"/>
  <c r="I86" i="1" s="1"/>
  <c r="H84" i="1"/>
  <c r="H86" i="1" s="1"/>
  <c r="G84" i="1"/>
  <c r="G86" i="1" s="1"/>
  <c r="I98" i="1"/>
  <c r="H26" i="6" s="1"/>
  <c r="H98" i="1"/>
  <c r="G26" i="6" s="1"/>
  <c r="G98" i="1"/>
  <c r="F26" i="6" s="1"/>
  <c r="F98" i="1"/>
  <c r="J98" i="1"/>
  <c r="I26" i="6" s="1"/>
  <c r="E98" i="1"/>
  <c r="D26" i="6" s="1"/>
  <c r="C26" i="6"/>
  <c r="C13" i="6"/>
  <c r="D131" i="1"/>
  <c r="D132" i="1" s="1"/>
  <c r="H114" i="1"/>
  <c r="I114" i="1"/>
  <c r="G114" i="1"/>
  <c r="F114" i="1"/>
  <c r="J114" i="1"/>
  <c r="K115" i="1"/>
  <c r="D114" i="1"/>
  <c r="D138" i="1" s="1"/>
  <c r="E114" i="1"/>
  <c r="F143" i="1"/>
  <c r="F144" i="1" s="1"/>
  <c r="E143" i="1"/>
  <c r="E12" i="1"/>
  <c r="H111" i="1"/>
  <c r="I111" i="1"/>
  <c r="I143" i="1"/>
  <c r="H143" i="1"/>
  <c r="G143" i="1"/>
  <c r="F12" i="1"/>
  <c r="H12" i="1"/>
  <c r="G12" i="1"/>
  <c r="F111" i="1"/>
  <c r="D12" i="1"/>
  <c r="G111" i="1"/>
  <c r="E111" i="1"/>
  <c r="J12" i="1"/>
  <c r="D111" i="1"/>
  <c r="I12" i="1"/>
  <c r="L47" i="1" l="1"/>
  <c r="L46" i="1"/>
  <c r="J86" i="1"/>
  <c r="D24" i="5"/>
  <c r="D26" i="5" s="1"/>
  <c r="G120" i="1"/>
  <c r="G121" i="1" s="1"/>
  <c r="K138" i="1"/>
  <c r="K140" i="1" s="1"/>
  <c r="J138" i="1"/>
  <c r="E26" i="6"/>
  <c r="P26" i="6" s="1"/>
  <c r="H120" i="1"/>
  <c r="H121" i="1" s="1"/>
  <c r="I120" i="1"/>
  <c r="I121" i="1" s="1"/>
  <c r="I14" i="1"/>
  <c r="I32" i="1" s="1"/>
  <c r="H12" i="6"/>
  <c r="H16" i="6" s="1"/>
  <c r="F14" i="1"/>
  <c r="F32" i="1" s="1"/>
  <c r="E12" i="6"/>
  <c r="E16" i="6" s="1"/>
  <c r="G14" i="1"/>
  <c r="G32" i="1" s="1"/>
  <c r="F12" i="6"/>
  <c r="F16" i="6" s="1"/>
  <c r="H14" i="1"/>
  <c r="H32" i="1" s="1"/>
  <c r="G12" i="6"/>
  <c r="G16" i="6" s="1"/>
  <c r="J14" i="1"/>
  <c r="J32" i="1" s="1"/>
  <c r="I12" i="6"/>
  <c r="I16" i="6" s="1"/>
  <c r="E14" i="1"/>
  <c r="E32" i="1" s="1"/>
  <c r="D12" i="6"/>
  <c r="D16" i="6" s="1"/>
  <c r="H138" i="1"/>
  <c r="D14" i="1"/>
  <c r="C12" i="6"/>
  <c r="C16" i="6" s="1"/>
  <c r="J120" i="1"/>
  <c r="J121" i="1" s="1"/>
  <c r="E120" i="1"/>
  <c r="E121" i="1" s="1"/>
  <c r="E138" i="1"/>
  <c r="F138" i="1"/>
  <c r="I138" i="1"/>
  <c r="G138" i="1"/>
  <c r="F120" i="1"/>
  <c r="F121" i="1" s="1"/>
  <c r="D120" i="1"/>
  <c r="D150" i="1"/>
  <c r="E144" i="1"/>
  <c r="D121" i="1" l="1"/>
  <c r="D133" i="1" s="1"/>
  <c r="H63" i="1"/>
  <c r="H88" i="1" s="1"/>
  <c r="H99" i="1" s="1"/>
  <c r="H137" i="1" s="1"/>
  <c r="H140" i="1" s="1"/>
  <c r="I48" i="1"/>
  <c r="D63" i="1"/>
  <c r="D88" i="1" s="1"/>
  <c r="D99" i="1" s="1"/>
  <c r="D137" i="1" s="1"/>
  <c r="D140" i="1" s="1"/>
  <c r="D146" i="1" s="1"/>
  <c r="E48" i="1"/>
  <c r="E63" i="1"/>
  <c r="F63" i="1"/>
  <c r="G48" i="1"/>
  <c r="G63" i="1"/>
  <c r="G88" i="1" s="1"/>
  <c r="G99" i="1" s="1"/>
  <c r="G137" i="1" s="1"/>
  <c r="G140" i="1" s="1"/>
  <c r="J63" i="1"/>
  <c r="J88" i="1" s="1"/>
  <c r="J99" i="1" s="1"/>
  <c r="J137" i="1" s="1"/>
  <c r="J140" i="1" s="1"/>
  <c r="K48" i="1"/>
  <c r="I63" i="1"/>
  <c r="I88" i="1" s="1"/>
  <c r="I99" i="1" s="1"/>
  <c r="I137" i="1" s="1"/>
  <c r="I140" i="1" s="1"/>
  <c r="J48" i="1"/>
  <c r="J115" i="1"/>
  <c r="I115" i="1"/>
  <c r="F115" i="1"/>
  <c r="G115" i="1"/>
  <c r="F17" i="6"/>
  <c r="D17" i="6"/>
  <c r="E17" i="6"/>
  <c r="E115" i="1"/>
  <c r="I17" i="6"/>
  <c r="H17" i="6"/>
  <c r="C23" i="6"/>
  <c r="C24" i="6" s="1"/>
  <c r="C17" i="6"/>
  <c r="H115" i="1"/>
  <c r="G17" i="6"/>
  <c r="F48" i="1" l="1"/>
  <c r="Q53" i="1"/>
  <c r="H48" i="1"/>
  <c r="Q54" i="1"/>
  <c r="E88" i="1"/>
  <c r="E99" i="1" s="1"/>
  <c r="E130" i="1" s="1"/>
  <c r="E131" i="1" s="1"/>
  <c r="E132" i="1" s="1"/>
  <c r="E133" i="1" s="1"/>
  <c r="F88" i="1"/>
  <c r="F99" i="1" s="1"/>
  <c r="F137" i="1" s="1"/>
  <c r="F140" i="1" s="1"/>
  <c r="F146" i="1" s="1"/>
  <c r="C27" i="6"/>
  <c r="C28" i="6" s="1"/>
  <c r="D19" i="6" l="1"/>
  <c r="D19" i="15"/>
  <c r="E137" i="1"/>
  <c r="E140" i="1" s="1"/>
  <c r="E146" i="1" s="1"/>
  <c r="E149" i="1" s="1"/>
  <c r="F130" i="1"/>
  <c r="E150" i="1" l="1"/>
  <c r="D30" i="6"/>
  <c r="D31" i="6" s="1"/>
  <c r="E19" i="15"/>
  <c r="E19" i="6"/>
  <c r="E21" i="6" s="1"/>
  <c r="E23" i="6" s="1"/>
  <c r="F148" i="1"/>
  <c r="F149" i="1" s="1"/>
  <c r="E30" i="6" s="1"/>
  <c r="G130" i="1"/>
  <c r="F131" i="1"/>
  <c r="F132" i="1" s="1"/>
  <c r="F133" i="1" s="1"/>
  <c r="D21" i="6"/>
  <c r="D23" i="6" s="1"/>
  <c r="G144" i="1"/>
  <c r="G146" i="1" s="1"/>
  <c r="E31" i="6" l="1"/>
  <c r="F19" i="6"/>
  <c r="F19" i="15"/>
  <c r="F150" i="1"/>
  <c r="G148" i="1"/>
  <c r="G149" i="1" s="1"/>
  <c r="F30" i="6" s="1"/>
  <c r="F31" i="6" s="1"/>
  <c r="G131" i="1"/>
  <c r="G132" i="1" s="1"/>
  <c r="G133" i="1" s="1"/>
  <c r="H130" i="1"/>
  <c r="D27" i="6"/>
  <c r="D28" i="6" s="1"/>
  <c r="D24" i="6"/>
  <c r="E24" i="6"/>
  <c r="E27" i="6"/>
  <c r="E28" i="6" s="1"/>
  <c r="H144" i="1"/>
  <c r="H146" i="1" s="1"/>
  <c r="G19" i="6" l="1"/>
  <c r="G21" i="6" s="1"/>
  <c r="G23" i="6" s="1"/>
  <c r="G19" i="15"/>
  <c r="I130" i="1"/>
  <c r="H131" i="1"/>
  <c r="H132" i="1" s="1"/>
  <c r="H133" i="1" s="1"/>
  <c r="H148" i="1"/>
  <c r="H149" i="1" s="1"/>
  <c r="G30" i="6" s="1"/>
  <c r="G31" i="6" s="1"/>
  <c r="G150" i="1"/>
  <c r="F21" i="6"/>
  <c r="F23" i="6" s="1"/>
  <c r="I144" i="1"/>
  <c r="I146" i="1" s="1"/>
  <c r="H19" i="15" l="1"/>
  <c r="H19" i="6"/>
  <c r="H21" i="6" s="1"/>
  <c r="H23" i="6" s="1"/>
  <c r="J130" i="1"/>
  <c r="I131" i="1"/>
  <c r="I132" i="1" s="1"/>
  <c r="I133" i="1" s="1"/>
  <c r="F24" i="6"/>
  <c r="F27" i="6"/>
  <c r="F28" i="6" s="1"/>
  <c r="G24" i="6"/>
  <c r="G27" i="6"/>
  <c r="G28" i="6" s="1"/>
  <c r="H150" i="1"/>
  <c r="I148" i="1"/>
  <c r="I149" i="1" s="1"/>
  <c r="H30" i="6" s="1"/>
  <c r="H31" i="6" s="1"/>
  <c r="J144" i="1"/>
  <c r="J146" i="1" s="1"/>
  <c r="I19" i="6" l="1"/>
  <c r="I21" i="6" s="1"/>
  <c r="I23" i="6" s="1"/>
  <c r="I19" i="15"/>
  <c r="K130" i="1"/>
  <c r="J131" i="1"/>
  <c r="J132" i="1" s="1"/>
  <c r="J133" i="1" s="1"/>
  <c r="H24" i="6"/>
  <c r="H27" i="6"/>
  <c r="H28" i="6" s="1"/>
  <c r="I150" i="1"/>
  <c r="J148" i="1"/>
  <c r="J149" i="1" s="1"/>
  <c r="I30" i="6" s="1"/>
  <c r="I31" i="6" s="1"/>
  <c r="K144" i="1"/>
  <c r="K146" i="1" s="1"/>
  <c r="J19" i="6" l="1"/>
  <c r="J21" i="6" s="1"/>
  <c r="J23" i="6" s="1"/>
  <c r="J19" i="15"/>
  <c r="K131" i="1"/>
  <c r="K132" i="1" s="1"/>
  <c r="K133" i="1" s="1"/>
  <c r="L130" i="1"/>
  <c r="I24" i="6"/>
  <c r="I27" i="6"/>
  <c r="I28" i="6" s="1"/>
  <c r="J150" i="1"/>
  <c r="K148" i="1"/>
  <c r="K149" i="1" s="1"/>
  <c r="J30" i="6" s="1"/>
  <c r="J31" i="6" s="1"/>
  <c r="L144" i="1"/>
  <c r="L146" i="1" s="1"/>
  <c r="K19" i="15" l="1"/>
  <c r="K19" i="6"/>
  <c r="K21" i="6" s="1"/>
  <c r="K23" i="6" s="1"/>
  <c r="J27" i="6"/>
  <c r="J28" i="6" s="1"/>
  <c r="J24" i="6"/>
  <c r="L131" i="1"/>
  <c r="L132" i="1" s="1"/>
  <c r="L133" i="1" s="1"/>
  <c r="M130" i="1"/>
  <c r="M131" i="1" s="1"/>
  <c r="M132" i="1" s="1"/>
  <c r="M133" i="1" s="1"/>
  <c r="L148" i="1"/>
  <c r="L149" i="1" s="1"/>
  <c r="K30" i="6" s="1"/>
  <c r="K31" i="6" s="1"/>
  <c r="K150" i="1"/>
  <c r="K27" i="6" l="1"/>
  <c r="K28" i="6" s="1"/>
  <c r="K24" i="6"/>
  <c r="L19" i="6"/>
  <c r="L21" i="6" s="1"/>
  <c r="L23" i="6" s="1"/>
  <c r="L19" i="15"/>
  <c r="M148" i="1"/>
  <c r="M149" i="1" s="1"/>
  <c r="L30" i="6" s="1"/>
  <c r="L31" i="6" s="1"/>
  <c r="L150" i="1"/>
  <c r="M19" i="6" l="1"/>
  <c r="M21" i="6" s="1"/>
  <c r="M19" i="15"/>
  <c r="L27" i="6"/>
  <c r="L28" i="6" s="1"/>
  <c r="L24" i="6"/>
  <c r="N148" i="1"/>
  <c r="M150" i="1"/>
  <c r="D23" i="25" l="1"/>
  <c r="D24" i="25" s="1"/>
  <c r="C22" i="20" l="1"/>
  <c r="C23" i="20" s="1"/>
  <c r="E23" i="25"/>
  <c r="E24" i="25" s="1"/>
  <c r="F23" i="25" l="1"/>
  <c r="F24" i="25" s="1"/>
  <c r="G23" i="25" l="1"/>
  <c r="G24" i="25" s="1"/>
  <c r="AL78" i="1" l="1"/>
  <c r="AM78" i="1" l="1"/>
  <c r="AN78" i="1" l="1"/>
  <c r="AO78" i="1" l="1"/>
  <c r="AP78" i="1" l="1"/>
  <c r="AQ78" i="1" l="1"/>
  <c r="AR78" i="1" l="1"/>
  <c r="AS78" i="1" l="1"/>
  <c r="AT78" i="1" l="1"/>
  <c r="AU78" i="1" l="1"/>
  <c r="AV78" i="1" l="1"/>
  <c r="AW78" i="1" l="1"/>
  <c r="AX78" i="1" l="1"/>
  <c r="AY78" i="1" l="1"/>
  <c r="AZ78" i="1" l="1"/>
  <c r="BA78" i="1" l="1"/>
  <c r="BB78" i="1" l="1"/>
  <c r="BC78" i="1" l="1"/>
  <c r="BD78" i="1" l="1"/>
  <c r="BE78" i="1" l="1"/>
  <c r="BF78" i="1" l="1"/>
  <c r="BG78" i="1" l="1"/>
  <c r="BH78" i="1" l="1"/>
  <c r="BI78" i="1" l="1"/>
  <c r="BJ78" i="1" l="1"/>
  <c r="BK78" i="1" l="1"/>
  <c r="BL78" i="1" l="1"/>
  <c r="BM78" i="1" l="1"/>
  <c r="BN78" i="1" l="1"/>
  <c r="BO78" i="1" l="1"/>
  <c r="BP78" i="1" l="1"/>
  <c r="BQ78" i="1" l="1"/>
  <c r="BR78" i="1" l="1"/>
  <c r="BS78" i="1" l="1"/>
  <c r="BT78" i="1" l="1"/>
  <c r="BU78" i="1" l="1"/>
  <c r="BV78" i="1" l="1"/>
  <c r="BW78" i="1" l="1"/>
  <c r="BX78" i="1" l="1"/>
  <c r="BY78" i="1" l="1"/>
  <c r="BZ78" i="1" l="1"/>
  <c r="CA78" i="1" l="1"/>
  <c r="CB78" i="1" l="1"/>
  <c r="CC78" i="1" l="1"/>
  <c r="CD78" i="1" l="1"/>
  <c r="CE78" i="1" l="1"/>
  <c r="CF78" i="1" l="1"/>
  <c r="CG78" i="1" l="1"/>
  <c r="CH78" i="1" l="1"/>
  <c r="CI78" i="1" l="1"/>
  <c r="CJ78" i="1" l="1"/>
  <c r="CK78" i="1" l="1"/>
  <c r="CL78" i="1" l="1"/>
  <c r="CM78" i="1" l="1"/>
  <c r="CN78" i="1" l="1"/>
  <c r="CO78" i="1" l="1"/>
  <c r="CP78" i="1" l="1"/>
  <c r="CQ78" i="1" l="1"/>
  <c r="CR78" i="1" l="1"/>
  <c r="CS78" i="1" l="1"/>
  <c r="CT78" i="1" l="1"/>
  <c r="CU78" i="1" l="1"/>
  <c r="CV78" i="1" l="1"/>
  <c r="CW78" i="1" l="1"/>
  <c r="CX78" i="1" l="1"/>
  <c r="CY78" i="1" l="1"/>
  <c r="CZ78" i="1" l="1"/>
  <c r="DA78" i="1" l="1"/>
  <c r="DB78" i="1" l="1"/>
  <c r="DC78" i="1" l="1"/>
  <c r="DD78" i="1" l="1"/>
  <c r="DE78" i="1" l="1"/>
  <c r="DF78" i="1" l="1"/>
  <c r="DG78" i="1" l="1"/>
  <c r="N14" i="1" l="1"/>
  <c r="M12" i="6"/>
  <c r="N32" i="1" l="1"/>
  <c r="N41" i="1"/>
  <c r="N115" i="1"/>
  <c r="R52" i="1"/>
  <c r="M14" i="6"/>
  <c r="M16" i="6" s="1"/>
  <c r="N63" i="1"/>
  <c r="N88" i="1" s="1"/>
  <c r="N42" i="1" l="1"/>
  <c r="N99" i="1"/>
  <c r="N137" i="1" s="1"/>
  <c r="N43" i="1"/>
  <c r="N48" i="1"/>
  <c r="N138" i="1"/>
  <c r="M23" i="6"/>
  <c r="M17" i="6"/>
  <c r="N44" i="1" l="1"/>
  <c r="N46" i="1" s="1"/>
  <c r="N47" i="1"/>
  <c r="N130" i="1"/>
  <c r="N131" i="1" s="1"/>
  <c r="N132" i="1" s="1"/>
  <c r="M24" i="6"/>
  <c r="M27" i="6"/>
  <c r="M28" i="6" s="1"/>
  <c r="N140" i="1"/>
  <c r="N146" i="1" s="1"/>
  <c r="N149" i="1" l="1"/>
  <c r="M30" i="6" s="1"/>
  <c r="M31" i="6" s="1"/>
  <c r="N150" i="1" l="1"/>
  <c r="O148" i="1"/>
  <c r="N120" i="1"/>
  <c r="N121" i="1" s="1"/>
  <c r="N133" i="1" s="1"/>
  <c r="D13" i="5" l="1"/>
  <c r="D15" i="5" s="1"/>
  <c r="N12" i="6"/>
  <c r="O14" i="1"/>
  <c r="D20" i="5" l="1"/>
  <c r="D21" i="5" s="1"/>
  <c r="O32" i="1"/>
  <c r="O41" i="1"/>
  <c r="R53" i="1"/>
  <c r="O63" i="1"/>
  <c r="P12" i="6"/>
  <c r="P14" i="6" s="1"/>
  <c r="P16" i="6" s="1"/>
  <c r="N14" i="6"/>
  <c r="N16" i="6" s="1"/>
  <c r="D28" i="5" l="1"/>
  <c r="O42" i="1"/>
  <c r="R51" i="1"/>
  <c r="R55" i="1" s="1"/>
  <c r="O48" i="1"/>
  <c r="O88" i="1"/>
  <c r="P17" i="6"/>
  <c r="N17" i="6"/>
  <c r="D32" i="5" l="1"/>
  <c r="D33" i="5" s="1"/>
  <c r="D29" i="5"/>
  <c r="O99" i="1"/>
  <c r="O137" i="1" s="1"/>
  <c r="O43" i="1"/>
  <c r="R56" i="1"/>
  <c r="O130" i="1" l="1"/>
  <c r="O131" i="1" s="1"/>
  <c r="O132" i="1" s="1"/>
  <c r="O44" i="1"/>
  <c r="O46" i="1" s="1"/>
  <c r="P44" i="1"/>
  <c r="P46" i="1" s="1"/>
  <c r="O47" i="1"/>
  <c r="O115" i="1" l="1"/>
  <c r="O114" i="1"/>
  <c r="O120" i="1" s="1"/>
  <c r="O121" i="1" s="1"/>
  <c r="O133" i="1" s="1"/>
  <c r="O138" i="1" l="1"/>
  <c r="O140" i="1" s="1"/>
  <c r="O146" i="1" s="1"/>
  <c r="O149" i="1" l="1"/>
  <c r="N30" i="6" s="1"/>
  <c r="N31" i="6" s="1"/>
  <c r="P148" i="1" l="1"/>
  <c r="O150" i="1"/>
  <c r="C12" i="15" l="1"/>
  <c r="C14" i="15" l="1"/>
  <c r="C16" i="15" s="1"/>
  <c r="C20" i="15"/>
  <c r="C22" i="15" l="1"/>
  <c r="C17" i="15"/>
  <c r="P132" i="1"/>
  <c r="C26" i="15" l="1"/>
  <c r="C27" i="15" s="1"/>
  <c r="C23" i="15"/>
  <c r="D20" i="15" l="1"/>
  <c r="P115" i="1" l="1"/>
  <c r="P114" i="1"/>
  <c r="P120" i="1" l="1"/>
  <c r="P121" i="1" s="1"/>
  <c r="P133" i="1" s="1"/>
  <c r="P138" i="1"/>
  <c r="P140" i="1" s="1"/>
  <c r="Q138" i="1"/>
  <c r="P146" i="1" l="1"/>
  <c r="Q115" i="1"/>
  <c r="D12" i="15"/>
  <c r="Q63" i="1"/>
  <c r="Q88" i="1" l="1"/>
  <c r="Q43" i="1" s="1"/>
  <c r="Q44" i="1" s="1"/>
  <c r="Q46" i="1" s="1"/>
  <c r="Q64" i="1"/>
  <c r="Q99" i="1"/>
  <c r="Q130" i="1" s="1"/>
  <c r="R130" i="1" s="1"/>
  <c r="R131" i="1" s="1"/>
  <c r="R132" i="1" s="1"/>
  <c r="R133" i="1" s="1"/>
  <c r="P149" i="1"/>
  <c r="C30" i="15"/>
  <c r="E12" i="15"/>
  <c r="E14" i="15" s="1"/>
  <c r="E16" i="15" s="1"/>
  <c r="D14" i="15"/>
  <c r="D16" i="15" s="1"/>
  <c r="Q89" i="1" l="1"/>
  <c r="Q47" i="1"/>
  <c r="R44" i="1"/>
  <c r="R46" i="1" s="1"/>
  <c r="S44" i="1"/>
  <c r="S46" i="1" s="1"/>
  <c r="S130" i="1"/>
  <c r="S131" i="1" s="1"/>
  <c r="S132" i="1" s="1"/>
  <c r="S133" i="1" s="1"/>
  <c r="Q137" i="1"/>
  <c r="Q140" i="1" s="1"/>
  <c r="Q146" i="1" s="1"/>
  <c r="Q131" i="1"/>
  <c r="Q132" i="1" s="1"/>
  <c r="Q133" i="1" s="1"/>
  <c r="P150" i="1"/>
  <c r="C29" i="15"/>
  <c r="Q148" i="1"/>
  <c r="E17" i="15"/>
  <c r="D17" i="15"/>
  <c r="D22" i="15"/>
  <c r="R138" i="1"/>
  <c r="Q149" i="1" l="1"/>
  <c r="T130" i="1"/>
  <c r="U130" i="1" s="1"/>
  <c r="D30" i="15"/>
  <c r="R137" i="1"/>
  <c r="R140" i="1" s="1"/>
  <c r="R146" i="1" s="1"/>
  <c r="F20" i="15"/>
  <c r="D26" i="15"/>
  <c r="D27" i="15" s="1"/>
  <c r="D23" i="15"/>
  <c r="E20" i="15"/>
  <c r="E22" i="15" s="1"/>
  <c r="Q150" i="1" l="1"/>
  <c r="R148" i="1"/>
  <c r="R149" i="1" s="1"/>
  <c r="D29" i="15"/>
  <c r="T131" i="1"/>
  <c r="T132" i="1" s="1"/>
  <c r="T133" i="1" s="1"/>
  <c r="V130" i="1"/>
  <c r="W130" i="1" s="1"/>
  <c r="U131" i="1"/>
  <c r="U132" i="1" s="1"/>
  <c r="U133" i="1" s="1"/>
  <c r="G20" i="15"/>
  <c r="E23" i="15"/>
  <c r="E26" i="15"/>
  <c r="E27" i="15" s="1"/>
  <c r="E30" i="15"/>
  <c r="W131" i="1" l="1"/>
  <c r="W132" i="1" s="1"/>
  <c r="W133" i="1" s="1"/>
  <c r="X130" i="1"/>
  <c r="Y130" i="1" s="1"/>
  <c r="Y131" i="1" s="1"/>
  <c r="Y132" i="1" s="1"/>
  <c r="Y133" i="1" s="1"/>
  <c r="V131" i="1"/>
  <c r="V132" i="1" s="1"/>
  <c r="V133" i="1" s="1"/>
  <c r="R150" i="1"/>
  <c r="S148" i="1"/>
  <c r="E29" i="15"/>
  <c r="H20" i="15"/>
  <c r="X131" i="1" l="1"/>
  <c r="X132" i="1" s="1"/>
  <c r="X133" i="1" s="1"/>
  <c r="I20" i="15"/>
  <c r="J20" i="15" l="1"/>
  <c r="K20" i="15" l="1"/>
  <c r="L20" i="15" l="1"/>
  <c r="M20" i="15" l="1"/>
  <c r="E25" i="5" l="1"/>
  <c r="F25" i="5"/>
  <c r="G25" i="5"/>
  <c r="H25" i="5"/>
  <c r="I25" i="5"/>
  <c r="J25" i="5"/>
  <c r="K25" i="5"/>
  <c r="L25" i="5"/>
  <c r="S138" i="1"/>
  <c r="F12" i="15"/>
  <c r="F14" i="15" s="1"/>
  <c r="F16" i="15" s="1"/>
  <c r="S137" i="1" l="1"/>
  <c r="S140" i="1" s="1"/>
  <c r="S146" i="1" s="1"/>
  <c r="G12" i="15"/>
  <c r="G14" i="15" s="1"/>
  <c r="G16" i="15" s="1"/>
  <c r="F17" i="15"/>
  <c r="F22" i="15"/>
  <c r="I12" i="15" l="1"/>
  <c r="I14" i="15" s="1"/>
  <c r="I16" i="15" s="1"/>
  <c r="G17" i="15"/>
  <c r="G22" i="15"/>
  <c r="S149" i="1"/>
  <c r="F30" i="15"/>
  <c r="F26" i="15"/>
  <c r="F27" i="15" s="1"/>
  <c r="F23" i="15"/>
  <c r="T137" i="1" l="1"/>
  <c r="G23" i="15"/>
  <c r="G26" i="15"/>
  <c r="G27" i="15" s="1"/>
  <c r="F29" i="15"/>
  <c r="S150" i="1"/>
  <c r="T148" i="1"/>
  <c r="H12" i="15"/>
  <c r="I17" i="15"/>
  <c r="I22" i="15"/>
  <c r="T138" i="1"/>
  <c r="I26" i="15" l="1"/>
  <c r="I27" i="15" s="1"/>
  <c r="I23" i="15"/>
  <c r="V137" i="1"/>
  <c r="H14" i="15"/>
  <c r="H16" i="15" s="1"/>
  <c r="V138" i="1"/>
  <c r="T140" i="1"/>
  <c r="T146" i="1" s="1"/>
  <c r="T149" i="1" l="1"/>
  <c r="V140" i="1"/>
  <c r="V146" i="1" s="1"/>
  <c r="U137" i="1"/>
  <c r="U138" i="1"/>
  <c r="G30" i="15"/>
  <c r="H17" i="15"/>
  <c r="H22" i="15"/>
  <c r="U148" i="1" l="1"/>
  <c r="G29" i="15"/>
  <c r="I30" i="15"/>
  <c r="H26" i="15"/>
  <c r="H27" i="15" s="1"/>
  <c r="H23" i="15"/>
  <c r="U140" i="1"/>
  <c r="U146" i="1" s="1"/>
  <c r="T150" i="1"/>
  <c r="H30" i="15" l="1"/>
  <c r="U149" i="1"/>
  <c r="H29" i="15" l="1"/>
  <c r="U150" i="1"/>
  <c r="V148" i="1"/>
  <c r="V149" i="1" s="1"/>
  <c r="W148" i="1" s="1"/>
  <c r="W149" i="1" s="1"/>
  <c r="W150" i="1" s="1"/>
  <c r="V150" i="1" l="1"/>
  <c r="I29" i="15"/>
  <c r="G51" i="1" l="1"/>
  <c r="G56" i="1" s="1"/>
  <c r="G55" i="1" l="1"/>
  <c r="J12" i="15"/>
  <c r="K12" i="15" l="1"/>
  <c r="K14" i="15" s="1"/>
  <c r="K16" i="15" s="1"/>
  <c r="J14" i="15"/>
  <c r="J16" i="15" s="1"/>
  <c r="X138" i="1" l="1"/>
  <c r="K22" i="15"/>
  <c r="K17" i="15"/>
  <c r="S43" i="23"/>
  <c r="J17" i="15"/>
  <c r="J22" i="15"/>
  <c r="X43" i="1" l="1"/>
  <c r="X137" i="1"/>
  <c r="X140" i="1" s="1"/>
  <c r="X146" i="1" s="1"/>
  <c r="K26" i="15"/>
  <c r="K27" i="15" s="1"/>
  <c r="K23" i="15"/>
  <c r="S49" i="23"/>
  <c r="J23" i="15"/>
  <c r="J26" i="15"/>
  <c r="J27" i="15" s="1"/>
  <c r="J30" i="15"/>
  <c r="Y44" i="1" l="1"/>
  <c r="Y46" i="1" s="1"/>
  <c r="X44" i="1"/>
  <c r="X46" i="1" s="1"/>
  <c r="X47" i="1"/>
  <c r="K30" i="15"/>
  <c r="J29" i="15"/>
  <c r="X148" i="1"/>
  <c r="X149" i="1" s="1"/>
  <c r="X150" i="1" l="1"/>
  <c r="K29" i="15"/>
  <c r="Y148" i="1"/>
  <c r="Q51" i="1" l="1"/>
  <c r="Q56" i="1" s="1"/>
  <c r="Q55" i="1" l="1"/>
  <c r="L12" i="15" l="1"/>
  <c r="L14" i="15" l="1"/>
  <c r="L16" i="15" s="1"/>
  <c r="Y138" i="1" l="1"/>
  <c r="L22" i="15"/>
  <c r="L17" i="15"/>
  <c r="Y137" i="1" l="1"/>
  <c r="Y140" i="1" s="1"/>
  <c r="Y146" i="1" s="1"/>
  <c r="L26" i="15"/>
  <c r="L27" i="15" s="1"/>
  <c r="L23" i="15"/>
  <c r="L30" i="15" l="1"/>
  <c r="Y149" i="1"/>
  <c r="N12" i="15"/>
  <c r="Y150" i="1" l="1"/>
  <c r="L29" i="15"/>
  <c r="Z148" i="1"/>
  <c r="N14" i="15"/>
  <c r="N16" i="15" s="1"/>
  <c r="N17" i="15" l="1"/>
  <c r="H51" i="1" l="1"/>
  <c r="H55" i="1" s="1"/>
  <c r="M51" i="1" l="1"/>
  <c r="M55" i="1" s="1"/>
  <c r="L51" i="1"/>
  <c r="L55" i="1" s="1"/>
  <c r="N51" i="1"/>
  <c r="N55" i="1" s="1"/>
  <c r="J51" i="1"/>
  <c r="J55" i="1" s="1"/>
  <c r="I51" i="1"/>
  <c r="I55" i="1" s="1"/>
  <c r="K51" i="1"/>
  <c r="K55" i="1" s="1"/>
  <c r="H56" i="1"/>
  <c r="L56" i="1" l="1"/>
  <c r="M56" i="1"/>
  <c r="I56" i="1"/>
  <c r="J56" i="1"/>
  <c r="K56" i="1"/>
  <c r="N56" i="1"/>
  <c r="Z114" i="1" l="1"/>
  <c r="AA138" i="1" s="1"/>
  <c r="AA140" i="1" s="1"/>
  <c r="AA146" i="1" s="1"/>
  <c r="Z138" i="1" l="1"/>
  <c r="E13" i="5"/>
  <c r="E15" i="5" s="1"/>
  <c r="E20" i="5" s="1"/>
  <c r="E21" i="5" s="1"/>
  <c r="M12" i="15"/>
  <c r="P12" i="15" s="1"/>
  <c r="P14" i="15" s="1"/>
  <c r="P16" i="15" s="1"/>
  <c r="Z14" i="1"/>
  <c r="Z32" i="1" s="1"/>
  <c r="Z115" i="1" l="1"/>
  <c r="V16" i="23"/>
  <c r="V43" i="23" s="1"/>
  <c r="V49" i="23" s="1"/>
  <c r="M14" i="15"/>
  <c r="M16" i="15" s="1"/>
  <c r="M22" i="15" s="1"/>
  <c r="M26" i="15" s="1"/>
  <c r="M27" i="15" s="1"/>
  <c r="E17" i="5"/>
  <c r="P17" i="15"/>
  <c r="V23" i="23"/>
  <c r="Z63" i="1"/>
  <c r="Z64" i="1" s="1"/>
  <c r="Z41" i="1"/>
  <c r="Z88" i="1" l="1"/>
  <c r="Z89" i="1" s="1"/>
  <c r="Z42" i="1"/>
  <c r="M17" i="15"/>
  <c r="M23" i="15"/>
  <c r="Z99" i="1" l="1"/>
  <c r="Z137" i="1" s="1"/>
  <c r="Z140" i="1" s="1"/>
  <c r="Z146" i="1" s="1"/>
  <c r="Z43" i="1"/>
  <c r="Z47" i="1" s="1"/>
  <c r="Z130" i="1" l="1"/>
  <c r="AA130" i="1" s="1"/>
  <c r="AA131" i="1" s="1"/>
  <c r="AA132" i="1" s="1"/>
  <c r="Z44" i="1"/>
  <c r="Z46" i="1" s="1"/>
  <c r="M30" i="15"/>
  <c r="Z149" i="1"/>
  <c r="AA148" i="1" s="1"/>
  <c r="AA149" i="1" s="1"/>
  <c r="AB148" i="1" s="1"/>
  <c r="Z131" i="1" l="1"/>
  <c r="Z132" i="1" s="1"/>
  <c r="AA120" i="1"/>
  <c r="AA121" i="1" s="1"/>
  <c r="AA133" i="1" s="1"/>
  <c r="AA150" i="1"/>
  <c r="Z120" i="1"/>
  <c r="Z121" i="1" s="1"/>
  <c r="M29" i="15"/>
  <c r="Z150" i="1"/>
  <c r="Z133" i="1" l="1"/>
  <c r="S54" i="1"/>
  <c r="S52" i="1" l="1"/>
  <c r="S53" i="1" l="1"/>
  <c r="S51" i="1" l="1"/>
  <c r="S55" i="1" s="1"/>
  <c r="S56" i="1" l="1"/>
  <c r="AL48" i="1" l="1"/>
  <c r="AM48" i="1" l="1"/>
  <c r="AN48" i="1" l="1"/>
  <c r="AO48" i="1" l="1"/>
  <c r="AP48" i="1" l="1"/>
  <c r="AQ48" i="1" l="1"/>
  <c r="T54" i="1"/>
  <c r="AR48" i="1" l="1"/>
  <c r="AS48" i="1" l="1"/>
  <c r="AT48" i="1" l="1"/>
  <c r="T52" i="1"/>
  <c r="AU48" i="1" l="1"/>
  <c r="AV48" i="1" l="1"/>
  <c r="T53" i="1"/>
  <c r="T51" i="1" l="1"/>
  <c r="T55" i="1" s="1"/>
  <c r="T56" i="1" l="1"/>
  <c r="AW48" i="1" l="1"/>
  <c r="AX48" i="1" l="1"/>
  <c r="AY48" i="1" l="1"/>
  <c r="AZ48" i="1" l="1"/>
  <c r="BA48" i="1" l="1"/>
  <c r="BB48" i="1" l="1"/>
  <c r="BC48" i="1" l="1"/>
  <c r="U54" i="1"/>
  <c r="BD48" i="1" l="1"/>
  <c r="BE48" i="1" l="1"/>
  <c r="BF48" i="1" l="1"/>
  <c r="U52" i="1"/>
  <c r="BG48" i="1" l="1"/>
  <c r="BH48" i="1" l="1"/>
  <c r="U53" i="1"/>
  <c r="U51" i="1" l="1"/>
  <c r="U55" i="1" s="1"/>
  <c r="U56" i="1" l="1"/>
  <c r="BI48" i="1"/>
  <c r="BJ48" i="1" l="1"/>
  <c r="BK48" i="1" l="1"/>
  <c r="BL48" i="1" l="1"/>
  <c r="BM48" i="1" l="1"/>
  <c r="BN48" i="1" l="1"/>
  <c r="BO48" i="1" l="1"/>
  <c r="V54" i="1"/>
  <c r="BP48" i="1" l="1"/>
  <c r="BQ48" i="1" l="1"/>
  <c r="BR48" i="1" l="1"/>
  <c r="V52" i="1"/>
  <c r="BS48" i="1" l="1"/>
  <c r="BT48" i="1" l="1"/>
  <c r="V53" i="1"/>
  <c r="V51" i="1" l="1"/>
  <c r="V55" i="1" s="1"/>
  <c r="BU48" i="1" l="1"/>
  <c r="V56" i="1"/>
  <c r="BV48" i="1" l="1"/>
  <c r="BW48" i="1" l="1"/>
  <c r="BX48" i="1" l="1"/>
  <c r="BY48" i="1" l="1"/>
  <c r="BZ48" i="1" l="1"/>
  <c r="CA48" i="1" l="1"/>
  <c r="W54" i="1"/>
  <c r="Y54" i="1"/>
  <c r="X54" i="1"/>
  <c r="CB48" i="1" l="1"/>
  <c r="CC48" i="1" l="1"/>
  <c r="CD48" i="1" l="1"/>
  <c r="Y52" i="1"/>
  <c r="X52" i="1"/>
  <c r="W52" i="1"/>
  <c r="CE48" i="1" l="1"/>
  <c r="CF48" i="1" l="1"/>
  <c r="Y53" i="1"/>
  <c r="W53" i="1"/>
  <c r="X53" i="1"/>
  <c r="X51" i="1" l="1"/>
  <c r="X55" i="1" s="1"/>
  <c r="Y51" i="1"/>
  <c r="Y55" i="1" s="1"/>
  <c r="W51" i="1"/>
  <c r="W55" i="1" s="1"/>
  <c r="CG48" i="1" l="1"/>
  <c r="W56" i="1"/>
  <c r="Y56" i="1"/>
  <c r="X56" i="1"/>
  <c r="CH48" i="1" l="1"/>
  <c r="CI48" i="1" l="1"/>
  <c r="CJ48" i="1" l="1"/>
  <c r="CK48" i="1" l="1"/>
  <c r="CL48" i="1" l="1"/>
  <c r="CM48" i="1" l="1"/>
  <c r="Z54" i="1"/>
  <c r="CN48" i="1" l="1"/>
  <c r="CO48" i="1" l="1"/>
  <c r="CP48" i="1" l="1"/>
  <c r="Z52" i="1"/>
  <c r="CQ48" i="1" l="1"/>
  <c r="CR48" i="1" l="1"/>
  <c r="Z53" i="1"/>
  <c r="CS48" i="1" l="1"/>
  <c r="Z51" i="1"/>
  <c r="Z55" i="1" s="1"/>
  <c r="Z56" i="1" l="1"/>
  <c r="CT48" i="1" l="1"/>
  <c r="CU48" i="1" l="1"/>
  <c r="CV48" i="1" l="1"/>
  <c r="CW48" i="1" l="1"/>
  <c r="CX48" i="1" l="1"/>
  <c r="CY48" i="1" l="1"/>
  <c r="CZ48" i="1" l="1"/>
  <c r="DA48" i="1" l="1"/>
  <c r="DB48" i="1" l="1"/>
  <c r="DC48" i="1" l="1"/>
  <c r="DD48" i="1" l="1"/>
  <c r="DE48" i="1" l="1"/>
  <c r="DF48" i="1" l="1"/>
  <c r="DG48" i="1" l="1"/>
  <c r="E15" i="25" l="1"/>
  <c r="AC138" i="1" l="1"/>
  <c r="D14" i="25"/>
  <c r="C12" i="20"/>
  <c r="C14" i="20" s="1"/>
  <c r="C18" i="20" l="1"/>
  <c r="C19" i="20" s="1"/>
  <c r="D19" i="25"/>
  <c r="D26" i="25" s="1"/>
  <c r="E12" i="25"/>
  <c r="F15" i="25"/>
  <c r="C25" i="20" l="1"/>
  <c r="D20" i="25"/>
  <c r="AC137" i="1"/>
  <c r="AC140" i="1" s="1"/>
  <c r="AC146" i="1" s="1"/>
  <c r="D33" i="27" s="1"/>
  <c r="E14" i="25"/>
  <c r="E19" i="25" s="1"/>
  <c r="D30" i="25"/>
  <c r="D31" i="25" s="1"/>
  <c r="D27" i="25"/>
  <c r="C26" i="20" l="1"/>
  <c r="C35" i="20"/>
  <c r="C29" i="20"/>
  <c r="C30" i="20" s="1"/>
  <c r="E26" i="25"/>
  <c r="E20" i="25"/>
  <c r="AD138" i="1"/>
  <c r="E27" i="25" l="1"/>
  <c r="E30" i="25"/>
  <c r="E31" i="25" s="1"/>
  <c r="F12" i="25"/>
  <c r="AD137" i="1"/>
  <c r="AD140" i="1" s="1"/>
  <c r="AD146" i="1" s="1"/>
  <c r="E33" i="27" l="1"/>
  <c r="F14" i="25"/>
  <c r="F19" i="25" s="1"/>
  <c r="E37" i="25"/>
  <c r="G15" i="25"/>
  <c r="F20" i="25" l="1"/>
  <c r="F26" i="25"/>
  <c r="F30" i="25" l="1"/>
  <c r="F31" i="25" s="1"/>
  <c r="F27" i="25"/>
  <c r="G12" i="25" l="1"/>
  <c r="F37" i="25"/>
  <c r="H15" i="25"/>
  <c r="G14" i="25" l="1"/>
  <c r="G19" i="25" s="1"/>
  <c r="G20" i="25" l="1"/>
  <c r="G26" i="25"/>
  <c r="H10" i="24"/>
  <c r="H13" i="24" s="1"/>
  <c r="H14" i="24" s="1"/>
  <c r="D12" i="20" l="1"/>
  <c r="D14" i="20" s="1"/>
  <c r="D18" i="20" s="1"/>
  <c r="D22" i="20"/>
  <c r="D23" i="20" s="1"/>
  <c r="H23" i="25"/>
  <c r="H24" i="25" s="1"/>
  <c r="G27" i="25"/>
  <c r="G30" i="25"/>
  <c r="G31" i="25" s="1"/>
  <c r="I15" i="25" l="1"/>
  <c r="H12" i="25"/>
  <c r="H14" i="25" s="1"/>
  <c r="E12" i="20"/>
  <c r="E22" i="20"/>
  <c r="E23" i="20" s="1"/>
  <c r="D19" i="20"/>
  <c r="E19" i="20" s="1"/>
  <c r="E14" i="20"/>
  <c r="G37" i="25"/>
  <c r="H19" i="25" l="1"/>
  <c r="H20" i="25" s="1"/>
  <c r="I13" i="24"/>
  <c r="E18" i="20"/>
  <c r="D25" i="20"/>
  <c r="D36" i="20" l="1"/>
  <c r="D35" i="20"/>
  <c r="H26" i="25"/>
  <c r="H30" i="25" s="1"/>
  <c r="H31" i="25" s="1"/>
  <c r="I14" i="24"/>
  <c r="D26" i="20"/>
  <c r="E26" i="20" s="1"/>
  <c r="D29" i="20"/>
  <c r="E25" i="20"/>
  <c r="E36" i="20" s="1"/>
  <c r="E35" i="20" l="1"/>
  <c r="H27" i="25"/>
  <c r="I18" i="25"/>
  <c r="J15" i="25"/>
  <c r="H37" i="25"/>
  <c r="I12" i="25"/>
  <c r="I14" i="25" s="1"/>
  <c r="E29" i="20"/>
  <c r="D30" i="20"/>
  <c r="E30" i="20" s="1"/>
  <c r="I19" i="25" l="1"/>
  <c r="I20" i="25" s="1"/>
  <c r="I23" i="25"/>
  <c r="I24" i="25" s="1"/>
  <c r="J13" i="24"/>
  <c r="I26" i="25" l="1"/>
  <c r="I30" i="25" s="1"/>
  <c r="I31" i="25" s="1"/>
  <c r="J14" i="24"/>
  <c r="I27" i="25" l="1"/>
  <c r="J13" i="25"/>
  <c r="K15" i="25"/>
  <c r="F15" i="20"/>
  <c r="G15" i="20" s="1"/>
  <c r="J12" i="25"/>
  <c r="I33" i="25" l="1"/>
  <c r="J14" i="25"/>
  <c r="J23" i="25"/>
  <c r="J24" i="25" s="1"/>
  <c r="K10" i="24"/>
  <c r="K13" i="24" s="1"/>
  <c r="AF27" i="23" s="1"/>
  <c r="AT27" i="23" l="1"/>
  <c r="AS27" i="23"/>
  <c r="AF28" i="23"/>
  <c r="AJ45" i="1"/>
  <c r="J18" i="25"/>
  <c r="J19" i="25" s="1"/>
  <c r="J26" i="25" s="1"/>
  <c r="K14" i="24"/>
  <c r="I37" i="25"/>
  <c r="AS28" i="23" l="1"/>
  <c r="AF29" i="23"/>
  <c r="AT28" i="23"/>
  <c r="AF43" i="23"/>
  <c r="AJ43" i="1"/>
  <c r="AJ44" i="1" s="1"/>
  <c r="AJ46" i="1" s="1"/>
  <c r="J27" i="25"/>
  <c r="J30" i="25"/>
  <c r="J31" i="25" s="1"/>
  <c r="J20" i="25"/>
  <c r="L15" i="25"/>
  <c r="F12" i="20"/>
  <c r="G12" i="20" s="1"/>
  <c r="K12" i="25"/>
  <c r="AJ47" i="1" l="1"/>
  <c r="AS29" i="23"/>
  <c r="AT29" i="23"/>
  <c r="AS43" i="23"/>
  <c r="AF44" i="23"/>
  <c r="AF49" i="23"/>
  <c r="AT43" i="23"/>
  <c r="F17" i="20"/>
  <c r="G17" i="20" s="1"/>
  <c r="K18" i="25"/>
  <c r="K13" i="25"/>
  <c r="K14" i="25" s="1"/>
  <c r="F13" i="20"/>
  <c r="G13" i="20" s="1"/>
  <c r="L16" i="25"/>
  <c r="AL20" i="1"/>
  <c r="L10" i="24"/>
  <c r="L13" i="24" s="1"/>
  <c r="AK61" i="1" s="1"/>
  <c r="AK62" i="1" s="1"/>
  <c r="AK63" i="1" l="1"/>
  <c r="AK91" i="1"/>
  <c r="AT49" i="23"/>
  <c r="AS49" i="23"/>
  <c r="AT44" i="23"/>
  <c r="AS44" i="23"/>
  <c r="AJ137" i="1"/>
  <c r="AJ140" i="1" s="1"/>
  <c r="F22" i="20"/>
  <c r="F23" i="20" s="1"/>
  <c r="K23" i="25"/>
  <c r="K24" i="25" s="1"/>
  <c r="K19" i="25"/>
  <c r="K20" i="25" s="1"/>
  <c r="L14" i="24"/>
  <c r="F14" i="20"/>
  <c r="J33" i="25"/>
  <c r="AL18" i="1"/>
  <c r="AL17" i="1" s="1"/>
  <c r="AK64" i="1" l="1"/>
  <c r="AK88" i="1"/>
  <c r="AJ143" i="1"/>
  <c r="G22" i="20"/>
  <c r="G23" i="20" s="1"/>
  <c r="K26" i="25"/>
  <c r="K30" i="25" s="1"/>
  <c r="K31" i="25" s="1"/>
  <c r="F18" i="20"/>
  <c r="G18" i="20" s="1"/>
  <c r="AK45" i="1"/>
  <c r="G14" i="20"/>
  <c r="J37" i="25"/>
  <c r="M15" i="25"/>
  <c r="AL40" i="1"/>
  <c r="L12" i="25"/>
  <c r="AL25" i="1"/>
  <c r="AL21" i="1" s="1"/>
  <c r="AK99" i="1" l="1"/>
  <c r="AK89" i="1"/>
  <c r="AJ144" i="1"/>
  <c r="AJ146" i="1" s="1"/>
  <c r="K33" i="27" s="1"/>
  <c r="AF48" i="23"/>
  <c r="K27" i="25"/>
  <c r="F19" i="20"/>
  <c r="G19" i="20" s="1"/>
  <c r="F25" i="20"/>
  <c r="L18" i="25"/>
  <c r="L13" i="25"/>
  <c r="L14" i="25" s="1"/>
  <c r="AK138" i="1"/>
  <c r="M10" i="24"/>
  <c r="M13" i="24" s="1"/>
  <c r="AL29" i="1"/>
  <c r="AL9" i="1" s="1"/>
  <c r="AM20" i="1"/>
  <c r="AL28" i="1"/>
  <c r="AL8" i="1" s="1"/>
  <c r="AL31" i="1"/>
  <c r="AL27" i="1"/>
  <c r="M16" i="25"/>
  <c r="AL30" i="1"/>
  <c r="AL10" i="1" s="1"/>
  <c r="F26" i="20" l="1"/>
  <c r="G26" i="20" s="1"/>
  <c r="F36" i="20"/>
  <c r="F35" i="20"/>
  <c r="AK128" i="1"/>
  <c r="AS48" i="23"/>
  <c r="AT48" i="23"/>
  <c r="G25" i="20"/>
  <c r="F29" i="20"/>
  <c r="F30" i="20" s="1"/>
  <c r="G30" i="20" s="1"/>
  <c r="L23" i="25"/>
  <c r="L24" i="25" s="1"/>
  <c r="K37" i="25"/>
  <c r="L19" i="25"/>
  <c r="L20" i="25" s="1"/>
  <c r="M14" i="24"/>
  <c r="AL61" i="1"/>
  <c r="K33" i="25"/>
  <c r="F33" i="20"/>
  <c r="G33" i="20" s="1"/>
  <c r="AM18" i="1"/>
  <c r="AM17" i="1" s="1"/>
  <c r="F16" i="5" s="1"/>
  <c r="AL7" i="1"/>
  <c r="AL12" i="1" s="1"/>
  <c r="AL13" i="1" s="1"/>
  <c r="AK137" i="1" l="1"/>
  <c r="AK140" i="1" s="1"/>
  <c r="AK43" i="1"/>
  <c r="G29" i="20"/>
  <c r="L26" i="25"/>
  <c r="L27" i="25" s="1"/>
  <c r="AK143" i="1"/>
  <c r="AK144" i="1" s="1"/>
  <c r="AL62" i="1"/>
  <c r="AL91" i="1" s="1"/>
  <c r="AL45" i="1" s="1"/>
  <c r="M13" i="25"/>
  <c r="M12" i="25"/>
  <c r="AL80" i="1"/>
  <c r="AL84" i="1" s="1"/>
  <c r="N15" i="25"/>
  <c r="H15" i="20"/>
  <c r="I15" i="20" s="1"/>
  <c r="AM40" i="1"/>
  <c r="AL14" i="1"/>
  <c r="AL32" i="1" s="1"/>
  <c r="AK146" i="1" l="1"/>
  <c r="AK111" i="1" s="1"/>
  <c r="AK120" i="1" s="1"/>
  <c r="AK121" i="1" s="1"/>
  <c r="AK44" i="1"/>
  <c r="AK46" i="1" s="1"/>
  <c r="AK47" i="1"/>
  <c r="L30" i="25"/>
  <c r="L31" i="25" s="1"/>
  <c r="L33" i="25"/>
  <c r="M18" i="25"/>
  <c r="AL63" i="1"/>
  <c r="AL64" i="1" s="1"/>
  <c r="AM29" i="1"/>
  <c r="AM9" i="1" s="1"/>
  <c r="AM21" i="1"/>
  <c r="N16" i="25" s="1"/>
  <c r="M14" i="25"/>
  <c r="N10" i="24"/>
  <c r="N13" i="24" s="1"/>
  <c r="AL87" i="1"/>
  <c r="M23" i="25"/>
  <c r="M24" i="25" s="1"/>
  <c r="AL86" i="1"/>
  <c r="AN20" i="1"/>
  <c r="AN18" i="1" s="1"/>
  <c r="AN17" i="1" s="1"/>
  <c r="AN25" i="1" s="1"/>
  <c r="AN29" i="1" s="1"/>
  <c r="AN9" i="1" s="1"/>
  <c r="AM28" i="1"/>
  <c r="AM8" i="1" s="1"/>
  <c r="AM30" i="1"/>
  <c r="AM10" i="1" s="1"/>
  <c r="AM31" i="1"/>
  <c r="AM27" i="1"/>
  <c r="AL113" i="1"/>
  <c r="AL114" i="1" s="1"/>
  <c r="AL138" i="1" s="1"/>
  <c r="AL41" i="1"/>
  <c r="AL42" i="1" s="1"/>
  <c r="L37" i="25" l="1"/>
  <c r="N14" i="24"/>
  <c r="AM61" i="1"/>
  <c r="M19" i="25"/>
  <c r="M20" i="25" s="1"/>
  <c r="AL88" i="1"/>
  <c r="AL43" i="1" s="1"/>
  <c r="AL44" i="1" s="1"/>
  <c r="AL46" i="1" s="1"/>
  <c r="AM7" i="1"/>
  <c r="AM12" i="1" s="1"/>
  <c r="AM13" i="1" s="1"/>
  <c r="AN40" i="1"/>
  <c r="AN27" i="1"/>
  <c r="AN28" i="1"/>
  <c r="AN8" i="1" s="1"/>
  <c r="AN30" i="1"/>
  <c r="AN10" i="1" s="1"/>
  <c r="AN31" i="1"/>
  <c r="O10" i="24"/>
  <c r="O13" i="24" s="1"/>
  <c r="AN21" i="1"/>
  <c r="M26" i="25" l="1"/>
  <c r="M27" i="25" s="1"/>
  <c r="O14" i="24"/>
  <c r="AN61" i="1"/>
  <c r="AM62" i="1"/>
  <c r="AM91" i="1" s="1"/>
  <c r="AM45" i="1" s="1"/>
  <c r="AL47" i="1"/>
  <c r="AL99" i="1"/>
  <c r="AL137" i="1" s="1"/>
  <c r="AL140" i="1" s="1"/>
  <c r="AL89" i="1"/>
  <c r="N13" i="25"/>
  <c r="P13" i="25" s="1"/>
  <c r="F14" i="5"/>
  <c r="H13" i="20"/>
  <c r="H12" i="20"/>
  <c r="K12" i="20" s="1"/>
  <c r="AM80" i="1"/>
  <c r="AM84" i="1" s="1"/>
  <c r="AM14" i="1"/>
  <c r="AM32" i="1" s="1"/>
  <c r="N12" i="25"/>
  <c r="AN7" i="1"/>
  <c r="AN12" i="1" s="1"/>
  <c r="AN13" i="1" s="1"/>
  <c r="AO20" i="1"/>
  <c r="N18" i="25" l="1"/>
  <c r="P18" i="25" s="1"/>
  <c r="H17" i="20"/>
  <c r="K17" i="20" s="1"/>
  <c r="M30" i="25"/>
  <c r="M31" i="25" s="1"/>
  <c r="AM63" i="1"/>
  <c r="AM64" i="1" s="1"/>
  <c r="AN62" i="1"/>
  <c r="AN91" i="1" s="1"/>
  <c r="AN45" i="1" s="1"/>
  <c r="AL128" i="1"/>
  <c r="M33" i="25" s="1"/>
  <c r="N14" i="25"/>
  <c r="I12" i="20"/>
  <c r="H14" i="20"/>
  <c r="I13" i="20"/>
  <c r="K13" i="20"/>
  <c r="K14" i="20" s="1"/>
  <c r="AN14" i="1"/>
  <c r="AN80" i="1"/>
  <c r="AN84" i="1" s="1"/>
  <c r="AM87" i="1"/>
  <c r="AM86" i="1"/>
  <c r="N23" i="25"/>
  <c r="AM113" i="1"/>
  <c r="AM114" i="1" s="1"/>
  <c r="AM138" i="1" s="1"/>
  <c r="AM41" i="1"/>
  <c r="AM42" i="1" s="1"/>
  <c r="AO18" i="1"/>
  <c r="AO17" i="1" s="1"/>
  <c r="K18" i="20" l="1"/>
  <c r="K19" i="20" s="1"/>
  <c r="H18" i="20"/>
  <c r="H19" i="20" s="1"/>
  <c r="I19" i="20" s="1"/>
  <c r="N19" i="25"/>
  <c r="N20" i="25" s="1"/>
  <c r="I14" i="20"/>
  <c r="AN63" i="1"/>
  <c r="AN64" i="1" s="1"/>
  <c r="AL143" i="1"/>
  <c r="AL144" i="1" s="1"/>
  <c r="AL146" i="1" s="1"/>
  <c r="AL111" i="1" s="1"/>
  <c r="AN41" i="1"/>
  <c r="AN42" i="1" s="1"/>
  <c r="AN32" i="1"/>
  <c r="AN113" i="1"/>
  <c r="AN114" i="1" s="1"/>
  <c r="AN138" i="1" s="1"/>
  <c r="AM88" i="1"/>
  <c r="AM89" i="1" s="1"/>
  <c r="AN87" i="1"/>
  <c r="AN86" i="1"/>
  <c r="N24" i="25"/>
  <c r="P23" i="25"/>
  <c r="P24" i="25" s="1"/>
  <c r="AO40" i="1"/>
  <c r="AO25" i="1"/>
  <c r="AO29" i="1" s="1"/>
  <c r="AO9" i="1" s="1"/>
  <c r="N26" i="25" l="1"/>
  <c r="N27" i="25" s="1"/>
  <c r="I18" i="20"/>
  <c r="M37" i="25"/>
  <c r="AM43" i="1"/>
  <c r="AM47" i="1" s="1"/>
  <c r="AM99" i="1"/>
  <c r="AM137" i="1" s="1"/>
  <c r="AM140" i="1" s="1"/>
  <c r="AN88" i="1"/>
  <c r="AN89" i="1" s="1"/>
  <c r="P10" i="24"/>
  <c r="P13" i="24" s="1"/>
  <c r="AO28" i="1"/>
  <c r="AO8" i="1" s="1"/>
  <c r="AO27" i="1"/>
  <c r="AO31" i="1"/>
  <c r="AO30" i="1"/>
  <c r="AO10" i="1" s="1"/>
  <c r="AP20" i="1"/>
  <c r="AO21" i="1"/>
  <c r="N30" i="25" l="1"/>
  <c r="N31" i="25" s="1"/>
  <c r="AM44" i="1"/>
  <c r="AM46" i="1" s="1"/>
  <c r="P14" i="24"/>
  <c r="AO61" i="1"/>
  <c r="AM128" i="1"/>
  <c r="N33" i="25" s="1"/>
  <c r="P33" i="25" s="1"/>
  <c r="AN43" i="1"/>
  <c r="AN44" i="1" s="1"/>
  <c r="AN46" i="1" s="1"/>
  <c r="AN99" i="1"/>
  <c r="AN130" i="1" s="1"/>
  <c r="AO7" i="1"/>
  <c r="AO12" i="1" s="1"/>
  <c r="AO13" i="1" s="1"/>
  <c r="AO62" i="1" l="1"/>
  <c r="AO91" i="1" s="1"/>
  <c r="AO45" i="1" s="1"/>
  <c r="AN137" i="1"/>
  <c r="AN140" i="1" s="1"/>
  <c r="AN47" i="1"/>
  <c r="AM143" i="1"/>
  <c r="AM144" i="1" s="1"/>
  <c r="AM146" i="1" s="1"/>
  <c r="AN128" i="1"/>
  <c r="AN143" i="1" s="1"/>
  <c r="AN144" i="1" s="1"/>
  <c r="AO14" i="1"/>
  <c r="AO80" i="1"/>
  <c r="AO84" i="1" s="1"/>
  <c r="AP18" i="1"/>
  <c r="AP17" i="1" s="1"/>
  <c r="AO63" i="1" l="1"/>
  <c r="AO64" i="1" s="1"/>
  <c r="AO113" i="1"/>
  <c r="AO114" i="1" s="1"/>
  <c r="AO138" i="1" s="1"/>
  <c r="AO32" i="1"/>
  <c r="AM111" i="1"/>
  <c r="H33" i="20"/>
  <c r="AN146" i="1"/>
  <c r="N37" i="25"/>
  <c r="AO41" i="1"/>
  <c r="AO42" i="1" s="1"/>
  <c r="AO86" i="1"/>
  <c r="AO87" i="1"/>
  <c r="AP40" i="1"/>
  <c r="AP25" i="1"/>
  <c r="AP29" i="1" s="1"/>
  <c r="AP9" i="1" s="1"/>
  <c r="AO88" i="1" l="1"/>
  <c r="AO89" i="1" s="1"/>
  <c r="Q10" i="24"/>
  <c r="Q13" i="24" s="1"/>
  <c r="AP28" i="1"/>
  <c r="AP8" i="1" s="1"/>
  <c r="AP31" i="1"/>
  <c r="AP27" i="1"/>
  <c r="AP30" i="1"/>
  <c r="AP10" i="1" s="1"/>
  <c r="AQ20" i="1"/>
  <c r="AP21" i="1"/>
  <c r="Q14" i="24" l="1"/>
  <c r="AP61" i="1"/>
  <c r="AO99" i="1"/>
  <c r="AO128" i="1" s="1"/>
  <c r="AO43" i="1"/>
  <c r="AO44" i="1" s="1"/>
  <c r="AO46" i="1" s="1"/>
  <c r="AP7" i="1"/>
  <c r="AP12" i="1" s="1"/>
  <c r="AP13" i="1" s="1"/>
  <c r="AP62" i="1" l="1"/>
  <c r="AP91" i="1" s="1"/>
  <c r="AP45" i="1" s="1"/>
  <c r="AO47" i="1"/>
  <c r="AO137" i="1"/>
  <c r="AO140" i="1" s="1"/>
  <c r="AP14" i="1"/>
  <c r="AP80" i="1"/>
  <c r="AP84" i="1" s="1"/>
  <c r="AO143" i="1"/>
  <c r="AO144" i="1" s="1"/>
  <c r="AQ18" i="1"/>
  <c r="AQ17" i="1" s="1"/>
  <c r="AP63" i="1" l="1"/>
  <c r="AP64" i="1" s="1"/>
  <c r="AP32" i="1"/>
  <c r="AO146" i="1"/>
  <c r="AP86" i="1"/>
  <c r="AP87" i="1"/>
  <c r="AP41" i="1"/>
  <c r="AP42" i="1" s="1"/>
  <c r="AP113" i="1"/>
  <c r="AP114" i="1" s="1"/>
  <c r="AP138" i="1" s="1"/>
  <c r="AQ40" i="1"/>
  <c r="AQ25" i="1"/>
  <c r="AQ29" i="1" s="1"/>
  <c r="AQ9" i="1" s="1"/>
  <c r="AP88" i="1" l="1"/>
  <c r="AP43" i="1" s="1"/>
  <c r="AP44" i="1" s="1"/>
  <c r="AP46" i="1" s="1"/>
  <c r="AQ30" i="1"/>
  <c r="AQ10" i="1" s="1"/>
  <c r="AQ31" i="1"/>
  <c r="AQ28" i="1"/>
  <c r="AQ8" i="1" s="1"/>
  <c r="AQ27" i="1"/>
  <c r="R10" i="24"/>
  <c r="R13" i="24" s="1"/>
  <c r="AR20" i="1"/>
  <c r="AQ21" i="1"/>
  <c r="R14" i="24" l="1"/>
  <c r="AQ61" i="1"/>
  <c r="AP99" i="1"/>
  <c r="AP137" i="1" s="1"/>
  <c r="AP140" i="1" s="1"/>
  <c r="AP47" i="1"/>
  <c r="AP89" i="1"/>
  <c r="AQ7" i="1"/>
  <c r="AQ12" i="1" s="1"/>
  <c r="AQ13" i="1" s="1"/>
  <c r="AQ62" i="1" l="1"/>
  <c r="AQ91" i="1" s="1"/>
  <c r="AQ45" i="1" s="1"/>
  <c r="AP128" i="1"/>
  <c r="AP143" i="1" s="1"/>
  <c r="AP144" i="1" s="1"/>
  <c r="AP146" i="1" s="1"/>
  <c r="AQ14" i="1"/>
  <c r="AQ80" i="1"/>
  <c r="AQ84" i="1" s="1"/>
  <c r="AR18" i="1"/>
  <c r="AR17" i="1" s="1"/>
  <c r="AQ63" i="1" l="1"/>
  <c r="AQ64" i="1" s="1"/>
  <c r="AQ113" i="1"/>
  <c r="AQ114" i="1" s="1"/>
  <c r="AQ138" i="1" s="1"/>
  <c r="AQ32" i="1"/>
  <c r="AQ41" i="1"/>
  <c r="AQ42" i="1" s="1"/>
  <c r="AQ86" i="1"/>
  <c r="AQ87" i="1"/>
  <c r="AR25" i="1"/>
  <c r="AR29" i="1" s="1"/>
  <c r="AR9" i="1" s="1"/>
  <c r="AR40" i="1"/>
  <c r="AQ88" i="1" l="1"/>
  <c r="AQ89" i="1" s="1"/>
  <c r="S10" i="24"/>
  <c r="S13" i="24" s="1"/>
  <c r="AR28" i="1"/>
  <c r="AR8" i="1" s="1"/>
  <c r="AR30" i="1"/>
  <c r="AR10" i="1" s="1"/>
  <c r="AR27" i="1"/>
  <c r="AR31" i="1"/>
  <c r="AS20" i="1"/>
  <c r="AR21" i="1"/>
  <c r="S14" i="24" l="1"/>
  <c r="AR61" i="1"/>
  <c r="AQ43" i="1"/>
  <c r="AQ47" i="1" s="1"/>
  <c r="AQ99" i="1"/>
  <c r="AQ137" i="1" s="1"/>
  <c r="AQ140" i="1" s="1"/>
  <c r="AR7" i="1"/>
  <c r="AR12" i="1" s="1"/>
  <c r="AR13" i="1" s="1"/>
  <c r="AR62" i="1" l="1"/>
  <c r="AR91" i="1" s="1"/>
  <c r="AR45" i="1" s="1"/>
  <c r="AQ128" i="1"/>
  <c r="AQ143" i="1" s="1"/>
  <c r="AQ144" i="1" s="1"/>
  <c r="AQ146" i="1" s="1"/>
  <c r="AQ44" i="1"/>
  <c r="AQ46" i="1" s="1"/>
  <c r="AR14" i="1"/>
  <c r="AR80" i="1"/>
  <c r="AR84" i="1" s="1"/>
  <c r="AS18" i="1"/>
  <c r="AS17" i="1" s="1"/>
  <c r="AR63" i="1" l="1"/>
  <c r="AR64" i="1" s="1"/>
  <c r="AR32" i="1"/>
  <c r="AR113" i="1"/>
  <c r="AR114" i="1" s="1"/>
  <c r="AR138" i="1" s="1"/>
  <c r="AR41" i="1"/>
  <c r="AR42" i="1" s="1"/>
  <c r="AR86" i="1"/>
  <c r="AR87" i="1"/>
  <c r="AS25" i="1"/>
  <c r="AS29" i="1" s="1"/>
  <c r="AS9" i="1" s="1"/>
  <c r="AS40" i="1"/>
  <c r="AR88" i="1" l="1"/>
  <c r="AR99" i="1" s="1"/>
  <c r="AR128" i="1" s="1"/>
  <c r="AR143" i="1" s="1"/>
  <c r="AR144" i="1" s="1"/>
  <c r="T10" i="24"/>
  <c r="T13" i="24" s="1"/>
  <c r="AS31" i="1"/>
  <c r="AS30" i="1"/>
  <c r="AS10" i="1" s="1"/>
  <c r="AS27" i="1"/>
  <c r="AS28" i="1"/>
  <c r="AS8" i="1" s="1"/>
  <c r="AT20" i="1"/>
  <c r="AS21" i="1"/>
  <c r="T14" i="24" l="1"/>
  <c r="AS61" i="1"/>
  <c r="AR89" i="1"/>
  <c r="AR43" i="1"/>
  <c r="AR47" i="1" s="1"/>
  <c r="AR137" i="1"/>
  <c r="AR140" i="1" s="1"/>
  <c r="AR146" i="1" s="1"/>
  <c r="AS7" i="1"/>
  <c r="AS62" i="1" l="1"/>
  <c r="AS91" i="1" s="1"/>
  <c r="AS45" i="1" s="1"/>
  <c r="AR44" i="1"/>
  <c r="AR46" i="1" s="1"/>
  <c r="AS12" i="1"/>
  <c r="AS13" i="1" s="1"/>
  <c r="AT18" i="1"/>
  <c r="AT17" i="1" s="1"/>
  <c r="AS14" i="1" l="1"/>
  <c r="AS63" i="1" s="1"/>
  <c r="AS64" i="1" s="1"/>
  <c r="AS80" i="1"/>
  <c r="AS84" i="1" s="1"/>
  <c r="AT40" i="1"/>
  <c r="AT25" i="1"/>
  <c r="AT29" i="1" s="1"/>
  <c r="AT9" i="1" s="1"/>
  <c r="AS41" i="1" l="1"/>
  <c r="AS42" i="1" s="1"/>
  <c r="AS32" i="1"/>
  <c r="AS113" i="1"/>
  <c r="AS114" i="1" s="1"/>
  <c r="AS138" i="1" s="1"/>
  <c r="AS86" i="1"/>
  <c r="AS87" i="1"/>
  <c r="AU20" i="1"/>
  <c r="U10" i="24"/>
  <c r="U13" i="24" s="1"/>
  <c r="AT30" i="1"/>
  <c r="AT10" i="1" s="1"/>
  <c r="AT28" i="1"/>
  <c r="AT8" i="1" s="1"/>
  <c r="AT27" i="1"/>
  <c r="AT31" i="1"/>
  <c r="AT21" i="1"/>
  <c r="U14" i="24" l="1"/>
  <c r="AT61" i="1"/>
  <c r="AS88" i="1"/>
  <c r="AT7" i="1"/>
  <c r="AT12" i="1" s="1"/>
  <c r="AT13" i="1" s="1"/>
  <c r="AT62" i="1" l="1"/>
  <c r="AT91" i="1" s="1"/>
  <c r="AT45" i="1" s="1"/>
  <c r="AT14" i="1"/>
  <c r="AT80" i="1"/>
  <c r="AT84" i="1" s="1"/>
  <c r="AS89" i="1"/>
  <c r="AS99" i="1"/>
  <c r="AS43" i="1"/>
  <c r="AU18" i="1"/>
  <c r="AU17" i="1" s="1"/>
  <c r="AT63" i="1" l="1"/>
  <c r="AT64" i="1" s="1"/>
  <c r="AT41" i="1"/>
  <c r="AT42" i="1" s="1"/>
  <c r="AT32" i="1"/>
  <c r="AT113" i="1"/>
  <c r="AT114" i="1" s="1"/>
  <c r="AT138" i="1" s="1"/>
  <c r="AS47" i="1"/>
  <c r="AS44" i="1"/>
  <c r="AS46" i="1" s="1"/>
  <c r="AS137" i="1"/>
  <c r="AS140" i="1" s="1"/>
  <c r="AS128" i="1"/>
  <c r="AS143" i="1" s="1"/>
  <c r="AS144" i="1" s="1"/>
  <c r="AT87" i="1"/>
  <c r="AT86" i="1"/>
  <c r="AU25" i="1"/>
  <c r="AU29" i="1" s="1"/>
  <c r="AU9" i="1" s="1"/>
  <c r="AU40" i="1"/>
  <c r="AS146" i="1" l="1"/>
  <c r="AT88" i="1"/>
  <c r="V10" i="24"/>
  <c r="V13" i="24" s="1"/>
  <c r="AU31" i="1"/>
  <c r="AU28" i="1"/>
  <c r="AU8" i="1" s="1"/>
  <c r="AU27" i="1"/>
  <c r="AU30" i="1"/>
  <c r="AU10" i="1" s="1"/>
  <c r="AV20" i="1"/>
  <c r="AU21" i="1"/>
  <c r="V14" i="24" l="1"/>
  <c r="AU61" i="1"/>
  <c r="AT89" i="1"/>
  <c r="AT99" i="1"/>
  <c r="AT43" i="1"/>
  <c r="AU7" i="1"/>
  <c r="AU12" i="1" s="1"/>
  <c r="AU13" i="1" s="1"/>
  <c r="AU62" i="1" l="1"/>
  <c r="AU91" i="1" s="1"/>
  <c r="AU45" i="1" s="1"/>
  <c r="AU14" i="1"/>
  <c r="AU80" i="1"/>
  <c r="AU84" i="1" s="1"/>
  <c r="AT137" i="1"/>
  <c r="AT140" i="1" s="1"/>
  <c r="AT128" i="1"/>
  <c r="AT143" i="1" s="1"/>
  <c r="AT144" i="1" s="1"/>
  <c r="AT47" i="1"/>
  <c r="AT44" i="1"/>
  <c r="AT46" i="1" s="1"/>
  <c r="AV18" i="1"/>
  <c r="AV17" i="1" s="1"/>
  <c r="AU63" i="1" l="1"/>
  <c r="AU64" i="1" s="1"/>
  <c r="AU32" i="1"/>
  <c r="AT146" i="1"/>
  <c r="AU41" i="1"/>
  <c r="AU42" i="1" s="1"/>
  <c r="AU113" i="1"/>
  <c r="AU114" i="1" s="1"/>
  <c r="AU138" i="1" s="1"/>
  <c r="AU86" i="1"/>
  <c r="AU87" i="1"/>
  <c r="AV40" i="1"/>
  <c r="AV25" i="1"/>
  <c r="AV29" i="1" s="1"/>
  <c r="AV9" i="1" s="1"/>
  <c r="AU88" i="1" l="1"/>
  <c r="AU89" i="1" s="1"/>
  <c r="AW20" i="1"/>
  <c r="W10" i="24"/>
  <c r="W13" i="24" s="1"/>
  <c r="AV31" i="1"/>
  <c r="AV30" i="1"/>
  <c r="AV10" i="1" s="1"/>
  <c r="AV28" i="1"/>
  <c r="AV8" i="1" s="1"/>
  <c r="AV27" i="1"/>
  <c r="AV21" i="1"/>
  <c r="W14" i="24" l="1"/>
  <c r="AV61" i="1"/>
  <c r="AU43" i="1"/>
  <c r="AU47" i="1" s="1"/>
  <c r="AU99" i="1"/>
  <c r="AU137" i="1" s="1"/>
  <c r="AU140" i="1" s="1"/>
  <c r="AV7" i="1"/>
  <c r="AV12" i="1" s="1"/>
  <c r="AV13" i="1" s="1"/>
  <c r="AV62" i="1" l="1"/>
  <c r="AV91" i="1" s="1"/>
  <c r="AV45" i="1" s="1"/>
  <c r="AU128" i="1"/>
  <c r="AU143" i="1" s="1"/>
  <c r="AU144" i="1" s="1"/>
  <c r="AU146" i="1" s="1"/>
  <c r="AU44" i="1"/>
  <c r="AU46" i="1" s="1"/>
  <c r="AV14" i="1"/>
  <c r="AV80" i="1"/>
  <c r="AV84" i="1" s="1"/>
  <c r="AW18" i="1"/>
  <c r="AW17" i="1" s="1"/>
  <c r="AV63" i="1" l="1"/>
  <c r="AV64" i="1" s="1"/>
  <c r="AV32" i="1"/>
  <c r="AV113" i="1"/>
  <c r="AV114" i="1" s="1"/>
  <c r="AV138" i="1" s="1"/>
  <c r="AV41" i="1"/>
  <c r="AV42" i="1" s="1"/>
  <c r="AV87" i="1"/>
  <c r="AV86" i="1"/>
  <c r="AW40" i="1"/>
  <c r="AW25" i="1"/>
  <c r="AW29" i="1" s="1"/>
  <c r="AW9" i="1" s="1"/>
  <c r="AV88" i="1" l="1"/>
  <c r="X10" i="24"/>
  <c r="X13" i="24" s="1"/>
  <c r="AW30" i="1"/>
  <c r="AW10" i="1" s="1"/>
  <c r="AW28" i="1"/>
  <c r="AW8" i="1" s="1"/>
  <c r="AW27" i="1"/>
  <c r="AW31" i="1"/>
  <c r="AX20" i="1"/>
  <c r="AW21" i="1"/>
  <c r="X14" i="24" l="1"/>
  <c r="AW61" i="1"/>
  <c r="AV89" i="1"/>
  <c r="AV99" i="1"/>
  <c r="AV43" i="1"/>
  <c r="AW7" i="1"/>
  <c r="AW12" i="1" s="1"/>
  <c r="AW13" i="1" s="1"/>
  <c r="AW62" i="1" l="1"/>
  <c r="AW91" i="1" s="1"/>
  <c r="AW45" i="1" s="1"/>
  <c r="AW14" i="1"/>
  <c r="AW80" i="1"/>
  <c r="AW84" i="1" s="1"/>
  <c r="AV44" i="1"/>
  <c r="AV46" i="1" s="1"/>
  <c r="AV47" i="1"/>
  <c r="AV137" i="1"/>
  <c r="AV140" i="1" s="1"/>
  <c r="AV128" i="1"/>
  <c r="AV143" i="1" s="1"/>
  <c r="AV144" i="1" s="1"/>
  <c r="AX18" i="1"/>
  <c r="AX17" i="1" s="1"/>
  <c r="AW63" i="1" l="1"/>
  <c r="AW64" i="1" s="1"/>
  <c r="AW113" i="1"/>
  <c r="AW114" i="1" s="1"/>
  <c r="AW138" i="1" s="1"/>
  <c r="AW32" i="1"/>
  <c r="AV146" i="1"/>
  <c r="AW41" i="1"/>
  <c r="AW42" i="1" s="1"/>
  <c r="AW86" i="1"/>
  <c r="AW87" i="1"/>
  <c r="AX25" i="1"/>
  <c r="AX29" i="1" s="1"/>
  <c r="AX9" i="1" s="1"/>
  <c r="AX40" i="1"/>
  <c r="AW88" i="1" l="1"/>
  <c r="AW99" i="1" s="1"/>
  <c r="Y10" i="24"/>
  <c r="Y13" i="24" s="1"/>
  <c r="AX28" i="1"/>
  <c r="AX8" i="1" s="1"/>
  <c r="AX27" i="1"/>
  <c r="AX31" i="1"/>
  <c r="AX30" i="1"/>
  <c r="AX10" i="1" s="1"/>
  <c r="AY20" i="1"/>
  <c r="AX21" i="1"/>
  <c r="Y14" i="24" l="1"/>
  <c r="AX61" i="1"/>
  <c r="AW137" i="1"/>
  <c r="AW140" i="1" s="1"/>
  <c r="AW128" i="1"/>
  <c r="AW143" i="1" s="1"/>
  <c r="AW144" i="1" s="1"/>
  <c r="AW43" i="1"/>
  <c r="AW89" i="1"/>
  <c r="AX7" i="1"/>
  <c r="AX12" i="1" s="1"/>
  <c r="AX13" i="1" s="1"/>
  <c r="AY18" i="1"/>
  <c r="AX62" i="1" l="1"/>
  <c r="AX91" i="1" s="1"/>
  <c r="AX45" i="1" s="1"/>
  <c r="AW146" i="1"/>
  <c r="AW44" i="1"/>
  <c r="AW46" i="1" s="1"/>
  <c r="AW47" i="1"/>
  <c r="AX14" i="1"/>
  <c r="AX113" i="1" s="1"/>
  <c r="AX114" i="1" s="1"/>
  <c r="AX138" i="1" s="1"/>
  <c r="AX80" i="1"/>
  <c r="AX84" i="1" s="1"/>
  <c r="AY17" i="1"/>
  <c r="G16" i="5" s="1"/>
  <c r="AX63" i="1" l="1"/>
  <c r="AX64" i="1" s="1"/>
  <c r="AX41" i="1"/>
  <c r="AX42" i="1" s="1"/>
  <c r="AX32" i="1"/>
  <c r="AX86" i="1"/>
  <c r="AX87" i="1"/>
  <c r="AY25" i="1"/>
  <c r="AY27" i="1" s="1"/>
  <c r="AX88" i="1" l="1"/>
  <c r="AY21" i="1"/>
  <c r="AY31" i="1"/>
  <c r="AY7" i="1" s="1"/>
  <c r="AY28" i="1"/>
  <c r="AY8" i="1" s="1"/>
  <c r="AY30" i="1"/>
  <c r="AY10" i="1" s="1"/>
  <c r="Z10" i="24"/>
  <c r="Z13" i="24" s="1"/>
  <c r="AY29" i="1"/>
  <c r="AY9" i="1" s="1"/>
  <c r="AY40" i="1"/>
  <c r="AZ20" i="1"/>
  <c r="Z14" i="24" l="1"/>
  <c r="AY61" i="1"/>
  <c r="AX89" i="1"/>
  <c r="AX99" i="1"/>
  <c r="AX43" i="1"/>
  <c r="AZ18" i="1"/>
  <c r="AZ17" i="1" s="1"/>
  <c r="AZ40" i="1" s="1"/>
  <c r="AY12" i="1"/>
  <c r="AY13" i="1" s="1"/>
  <c r="AY62" i="1" l="1"/>
  <c r="AY91" i="1" s="1"/>
  <c r="AY45" i="1" s="1"/>
  <c r="AY14" i="1"/>
  <c r="AY80" i="1"/>
  <c r="AY84" i="1" s="1"/>
  <c r="AX47" i="1"/>
  <c r="AX44" i="1"/>
  <c r="AX46" i="1" s="1"/>
  <c r="AX128" i="1"/>
  <c r="AX143" i="1" s="1"/>
  <c r="AX144" i="1" s="1"/>
  <c r="AX137" i="1"/>
  <c r="AX140" i="1" s="1"/>
  <c r="AZ25" i="1"/>
  <c r="AZ29" i="1" s="1"/>
  <c r="AZ9" i="1" s="1"/>
  <c r="BA20" i="1"/>
  <c r="AY63" i="1" l="1"/>
  <c r="AY64" i="1" s="1"/>
  <c r="AY32" i="1"/>
  <c r="AX146" i="1"/>
  <c r="AY87" i="1"/>
  <c r="AY86" i="1"/>
  <c r="AY41" i="1"/>
  <c r="AY42" i="1" s="1"/>
  <c r="AY113" i="1"/>
  <c r="AY114" i="1" s="1"/>
  <c r="AY138" i="1" s="1"/>
  <c r="AZ31" i="1"/>
  <c r="AZ27" i="1"/>
  <c r="AZ30" i="1"/>
  <c r="AZ10" i="1" s="1"/>
  <c r="AZ28" i="1"/>
  <c r="AZ8" i="1" s="1"/>
  <c r="AA10" i="24"/>
  <c r="AA13" i="24" s="1"/>
  <c r="AZ21" i="1"/>
  <c r="AA14" i="24" l="1"/>
  <c r="AZ61" i="1"/>
  <c r="AY88" i="1"/>
  <c r="AY89" i="1" s="1"/>
  <c r="AZ7" i="1"/>
  <c r="AZ12" i="1" s="1"/>
  <c r="AZ13" i="1" s="1"/>
  <c r="BA18" i="1"/>
  <c r="BA17" i="1" s="1"/>
  <c r="AZ62" i="1" l="1"/>
  <c r="AZ91" i="1" s="1"/>
  <c r="AZ45" i="1" s="1"/>
  <c r="AY43" i="1"/>
  <c r="AY47" i="1" s="1"/>
  <c r="AY99" i="1"/>
  <c r="AY137" i="1" s="1"/>
  <c r="AY140" i="1" s="1"/>
  <c r="AZ14" i="1"/>
  <c r="AZ80" i="1"/>
  <c r="AZ84" i="1" s="1"/>
  <c r="BA25" i="1"/>
  <c r="BA29" i="1" s="1"/>
  <c r="BA9" i="1" s="1"/>
  <c r="BA40" i="1"/>
  <c r="AZ63" i="1" l="1"/>
  <c r="AZ64" i="1" s="1"/>
  <c r="AZ32" i="1"/>
  <c r="AY44" i="1"/>
  <c r="AY46" i="1" s="1"/>
  <c r="AY128" i="1"/>
  <c r="AY143" i="1" s="1"/>
  <c r="AY144" i="1" s="1"/>
  <c r="AY146" i="1" s="1"/>
  <c r="AZ41" i="1"/>
  <c r="AZ42" i="1" s="1"/>
  <c r="AZ113" i="1"/>
  <c r="AZ114" i="1" s="1"/>
  <c r="AZ138" i="1" s="1"/>
  <c r="AZ87" i="1"/>
  <c r="AZ86" i="1"/>
  <c r="AB10" i="24"/>
  <c r="AB13" i="24" s="1"/>
  <c r="BA30" i="1"/>
  <c r="BA10" i="1" s="1"/>
  <c r="BA28" i="1"/>
  <c r="BA8" i="1" s="1"/>
  <c r="BA31" i="1"/>
  <c r="BA27" i="1"/>
  <c r="BB20" i="1"/>
  <c r="BA21" i="1"/>
  <c r="AB14" i="24" l="1"/>
  <c r="BA61" i="1"/>
  <c r="AZ88" i="1"/>
  <c r="BA7" i="1"/>
  <c r="BA12" i="1" s="1"/>
  <c r="BA13" i="1" s="1"/>
  <c r="BB18" i="1"/>
  <c r="BB17" i="1" s="1"/>
  <c r="BA62" i="1" l="1"/>
  <c r="BA91" i="1" s="1"/>
  <c r="BA45" i="1" s="1"/>
  <c r="BA14" i="1"/>
  <c r="BA80" i="1"/>
  <c r="BA84" i="1" s="1"/>
  <c r="AZ89" i="1"/>
  <c r="AZ43" i="1"/>
  <c r="AZ99" i="1"/>
  <c r="BB25" i="1"/>
  <c r="BB29" i="1" s="1"/>
  <c r="BB9" i="1" s="1"/>
  <c r="BB40" i="1"/>
  <c r="BA63" i="1" l="1"/>
  <c r="BA64" i="1" s="1"/>
  <c r="BA113" i="1"/>
  <c r="BA114" i="1" s="1"/>
  <c r="BA138" i="1" s="1"/>
  <c r="BA32" i="1"/>
  <c r="BA41" i="1"/>
  <c r="BA42" i="1" s="1"/>
  <c r="AZ130" i="1"/>
  <c r="AZ128" i="1"/>
  <c r="AZ143" i="1" s="1"/>
  <c r="AZ144" i="1" s="1"/>
  <c r="AZ137" i="1"/>
  <c r="AZ140" i="1" s="1"/>
  <c r="AZ44" i="1"/>
  <c r="AZ46" i="1" s="1"/>
  <c r="AZ47" i="1"/>
  <c r="BA87" i="1"/>
  <c r="BA86" i="1"/>
  <c r="AC10" i="24"/>
  <c r="AC13" i="24" s="1"/>
  <c r="BB30" i="1"/>
  <c r="BB10" i="1" s="1"/>
  <c r="BB27" i="1"/>
  <c r="BB31" i="1"/>
  <c r="BB28" i="1"/>
  <c r="BB8" i="1" s="1"/>
  <c r="BC20" i="1"/>
  <c r="BB21" i="1"/>
  <c r="AC14" i="24" l="1"/>
  <c r="BB61" i="1"/>
  <c r="AZ146" i="1"/>
  <c r="BA88" i="1"/>
  <c r="BA89" i="1" s="1"/>
  <c r="BB7" i="1"/>
  <c r="BB12" i="1" s="1"/>
  <c r="BB13" i="1" s="1"/>
  <c r="BC18" i="1"/>
  <c r="BC17" i="1" s="1"/>
  <c r="BB62" i="1" l="1"/>
  <c r="BB91" i="1" s="1"/>
  <c r="BB45" i="1" s="1"/>
  <c r="BA99" i="1"/>
  <c r="BA137" i="1" s="1"/>
  <c r="BA140" i="1" s="1"/>
  <c r="BA43" i="1"/>
  <c r="BA44" i="1" s="1"/>
  <c r="BA46" i="1" s="1"/>
  <c r="BB14" i="1"/>
  <c r="BB80" i="1"/>
  <c r="BB84" i="1" s="1"/>
  <c r="BC25" i="1"/>
  <c r="BC29" i="1" s="1"/>
  <c r="BC9" i="1" s="1"/>
  <c r="BC40" i="1"/>
  <c r="BB63" i="1" l="1"/>
  <c r="BB64" i="1" s="1"/>
  <c r="BB113" i="1"/>
  <c r="BB114" i="1" s="1"/>
  <c r="BB138" i="1" s="1"/>
  <c r="BB32" i="1"/>
  <c r="BB41" i="1"/>
  <c r="BB42" i="1" s="1"/>
  <c r="BA47" i="1"/>
  <c r="BA128" i="1"/>
  <c r="BA143" i="1" s="1"/>
  <c r="BA144" i="1" s="1"/>
  <c r="BA146" i="1" s="1"/>
  <c r="BB86" i="1"/>
  <c r="BB87" i="1"/>
  <c r="AD10" i="24"/>
  <c r="AD13" i="24" s="1"/>
  <c r="BC28" i="1"/>
  <c r="BC8" i="1" s="1"/>
  <c r="BC27" i="1"/>
  <c r="BC31" i="1"/>
  <c r="BC30" i="1"/>
  <c r="BC10" i="1" s="1"/>
  <c r="BD20" i="1"/>
  <c r="BC21" i="1"/>
  <c r="AD14" i="24" l="1"/>
  <c r="BC61" i="1"/>
  <c r="BB88" i="1"/>
  <c r="BB89" i="1" s="1"/>
  <c r="BC7" i="1"/>
  <c r="BC12" i="1" s="1"/>
  <c r="BC13" i="1" s="1"/>
  <c r="BD18" i="1"/>
  <c r="BD17" i="1" s="1"/>
  <c r="BC62" i="1" l="1"/>
  <c r="BC91" i="1" s="1"/>
  <c r="BC45" i="1" s="1"/>
  <c r="BB43" i="1"/>
  <c r="BB44" i="1" s="1"/>
  <c r="BB46" i="1" s="1"/>
  <c r="BB99" i="1"/>
  <c r="BB137" i="1" s="1"/>
  <c r="BB140" i="1" s="1"/>
  <c r="BC14" i="1"/>
  <c r="BC80" i="1"/>
  <c r="BC84" i="1" s="1"/>
  <c r="BD25" i="1"/>
  <c r="BD29" i="1" s="1"/>
  <c r="BD9" i="1" s="1"/>
  <c r="BD40" i="1"/>
  <c r="BC63" i="1" l="1"/>
  <c r="BC64" i="1" s="1"/>
  <c r="BC32" i="1"/>
  <c r="BB128" i="1"/>
  <c r="BB143" i="1" s="1"/>
  <c r="BB144" i="1" s="1"/>
  <c r="BB146" i="1" s="1"/>
  <c r="BB47" i="1"/>
  <c r="BC113" i="1"/>
  <c r="BC114" i="1" s="1"/>
  <c r="BC138" i="1" s="1"/>
  <c r="BC41" i="1"/>
  <c r="BC42" i="1" s="1"/>
  <c r="BC86" i="1"/>
  <c r="BC87" i="1"/>
  <c r="AE10" i="24"/>
  <c r="AE13" i="24" s="1"/>
  <c r="BD27" i="1"/>
  <c r="BD30" i="1"/>
  <c r="BD10" i="1" s="1"/>
  <c r="BD28" i="1"/>
  <c r="BD8" i="1" s="1"/>
  <c r="BD31" i="1"/>
  <c r="BE20" i="1"/>
  <c r="BD21" i="1"/>
  <c r="AE14" i="24" l="1"/>
  <c r="BD61" i="1"/>
  <c r="BC88" i="1"/>
  <c r="BC89" i="1" s="1"/>
  <c r="BD7" i="1"/>
  <c r="BD12" i="1" s="1"/>
  <c r="BD13" i="1" s="1"/>
  <c r="BD62" i="1" l="1"/>
  <c r="BD91" i="1" s="1"/>
  <c r="BD45" i="1" s="1"/>
  <c r="BC43" i="1"/>
  <c r="BC44" i="1" s="1"/>
  <c r="BC46" i="1" s="1"/>
  <c r="BC99" i="1"/>
  <c r="BC137" i="1" s="1"/>
  <c r="BC140" i="1" s="1"/>
  <c r="BD14" i="1"/>
  <c r="BD80" i="1"/>
  <c r="BD84" i="1" s="1"/>
  <c r="BE18" i="1"/>
  <c r="BE17" i="1" s="1"/>
  <c r="BD63" i="1" l="1"/>
  <c r="BD64" i="1" s="1"/>
  <c r="BD32" i="1"/>
  <c r="BC47" i="1"/>
  <c r="BC128" i="1"/>
  <c r="BC143" i="1" s="1"/>
  <c r="BC144" i="1" s="1"/>
  <c r="BC146" i="1" s="1"/>
  <c r="BD113" i="1"/>
  <c r="BD114" i="1" s="1"/>
  <c r="BD138" i="1" s="1"/>
  <c r="BD41" i="1"/>
  <c r="BD42" i="1" s="1"/>
  <c r="BD87" i="1"/>
  <c r="BD86" i="1"/>
  <c r="BE40" i="1"/>
  <c r="BE25" i="1"/>
  <c r="BE29" i="1" s="1"/>
  <c r="BE9" i="1" s="1"/>
  <c r="BD88" i="1" l="1"/>
  <c r="BD89" i="1" s="1"/>
  <c r="AF10" i="24"/>
  <c r="AF13" i="24" s="1"/>
  <c r="BE27" i="1"/>
  <c r="BE30" i="1"/>
  <c r="BE10" i="1" s="1"/>
  <c r="BE28" i="1"/>
  <c r="BE8" i="1" s="1"/>
  <c r="BE31" i="1"/>
  <c r="BF20" i="1"/>
  <c r="BE21" i="1"/>
  <c r="AF14" i="24" l="1"/>
  <c r="BE61" i="1"/>
  <c r="BD43" i="1"/>
  <c r="BD44" i="1" s="1"/>
  <c r="BD46" i="1" s="1"/>
  <c r="BD99" i="1"/>
  <c r="BD137" i="1" s="1"/>
  <c r="BD140" i="1" s="1"/>
  <c r="BE7" i="1"/>
  <c r="BE12" i="1" s="1"/>
  <c r="BE13" i="1" s="1"/>
  <c r="BF18" i="1"/>
  <c r="BF17" i="1" s="1"/>
  <c r="BE62" i="1" l="1"/>
  <c r="BE91" i="1" s="1"/>
  <c r="BE45" i="1" s="1"/>
  <c r="BD47" i="1"/>
  <c r="BD128" i="1"/>
  <c r="BD143" i="1" s="1"/>
  <c r="BD144" i="1" s="1"/>
  <c r="BD146" i="1" s="1"/>
  <c r="BE14" i="1"/>
  <c r="BE80" i="1"/>
  <c r="BE84" i="1" s="1"/>
  <c r="BF25" i="1"/>
  <c r="BF29" i="1" s="1"/>
  <c r="BF9" i="1" s="1"/>
  <c r="BF40" i="1"/>
  <c r="BE63" i="1" l="1"/>
  <c r="BE64" i="1" s="1"/>
  <c r="BE113" i="1"/>
  <c r="BE114" i="1" s="1"/>
  <c r="BE138" i="1" s="1"/>
  <c r="BE32" i="1"/>
  <c r="BE86" i="1"/>
  <c r="BE87" i="1"/>
  <c r="BE41" i="1"/>
  <c r="BE42" i="1" s="1"/>
  <c r="AG10" i="24"/>
  <c r="AG13" i="24" s="1"/>
  <c r="BF28" i="1"/>
  <c r="BF8" i="1" s="1"/>
  <c r="BF30" i="1"/>
  <c r="BF10" i="1" s="1"/>
  <c r="BF31" i="1"/>
  <c r="BF27" i="1"/>
  <c r="BG20" i="1"/>
  <c r="BF21" i="1"/>
  <c r="AG14" i="24" l="1"/>
  <c r="BF61" i="1"/>
  <c r="BE88" i="1"/>
  <c r="BF7" i="1"/>
  <c r="BF12" i="1" s="1"/>
  <c r="BF13" i="1" s="1"/>
  <c r="BG18" i="1"/>
  <c r="BG17" i="1" s="1"/>
  <c r="BF62" i="1" l="1"/>
  <c r="BF91" i="1" s="1"/>
  <c r="BF45" i="1" s="1"/>
  <c r="BF14" i="1"/>
  <c r="BF80" i="1"/>
  <c r="BF84" i="1" s="1"/>
  <c r="BE89" i="1"/>
  <c r="BE99" i="1"/>
  <c r="BE43" i="1"/>
  <c r="BG25" i="1"/>
  <c r="BG29" i="1" s="1"/>
  <c r="BG9" i="1" s="1"/>
  <c r="BG40" i="1"/>
  <c r="BF63" i="1" l="1"/>
  <c r="BF64" i="1" s="1"/>
  <c r="BF32" i="1"/>
  <c r="BF87" i="1"/>
  <c r="BF86" i="1"/>
  <c r="BF113" i="1"/>
  <c r="BF114" i="1" s="1"/>
  <c r="BF138" i="1" s="1"/>
  <c r="BF41" i="1"/>
  <c r="BF42" i="1" s="1"/>
  <c r="BE44" i="1"/>
  <c r="BE46" i="1" s="1"/>
  <c r="BE47" i="1"/>
  <c r="BE137" i="1"/>
  <c r="BE140" i="1" s="1"/>
  <c r="BE128" i="1"/>
  <c r="BE143" i="1" s="1"/>
  <c r="BE144" i="1" s="1"/>
  <c r="AH10" i="24"/>
  <c r="AH13" i="24" s="1"/>
  <c r="BG27" i="1"/>
  <c r="BG28" i="1"/>
  <c r="BG8" i="1" s="1"/>
  <c r="BG31" i="1"/>
  <c r="BG30" i="1"/>
  <c r="BG10" i="1" s="1"/>
  <c r="BH20" i="1"/>
  <c r="BG21" i="1"/>
  <c r="AH14" i="24" l="1"/>
  <c r="BG61" i="1"/>
  <c r="BE146" i="1"/>
  <c r="BF88" i="1"/>
  <c r="BG7" i="1"/>
  <c r="BG12" i="1" s="1"/>
  <c r="BG13" i="1" s="1"/>
  <c r="BG62" i="1" l="1"/>
  <c r="BG91" i="1" s="1"/>
  <c r="BG45" i="1" s="1"/>
  <c r="BG14" i="1"/>
  <c r="BG80" i="1"/>
  <c r="BG84" i="1" s="1"/>
  <c r="BF89" i="1"/>
  <c r="BF99" i="1"/>
  <c r="BF43" i="1"/>
  <c r="BH18" i="1"/>
  <c r="BH17" i="1" s="1"/>
  <c r="BG63" i="1" l="1"/>
  <c r="BG64" i="1" s="1"/>
  <c r="BG41" i="1"/>
  <c r="BG42" i="1" s="1"/>
  <c r="BG32" i="1"/>
  <c r="BG113" i="1"/>
  <c r="BG114" i="1" s="1"/>
  <c r="BG138" i="1" s="1"/>
  <c r="BF47" i="1"/>
  <c r="BF44" i="1"/>
  <c r="BF46" i="1" s="1"/>
  <c r="BF137" i="1"/>
  <c r="BF140" i="1" s="1"/>
  <c r="BF128" i="1"/>
  <c r="BF143" i="1" s="1"/>
  <c r="BF144" i="1" s="1"/>
  <c r="BG87" i="1"/>
  <c r="BG86" i="1"/>
  <c r="BH25" i="1"/>
  <c r="BH29" i="1" s="1"/>
  <c r="BH9" i="1" s="1"/>
  <c r="BH40" i="1"/>
  <c r="BF146" i="1" l="1"/>
  <c r="BG88" i="1"/>
  <c r="AI10" i="24"/>
  <c r="AI13" i="24" s="1"/>
  <c r="BH27" i="1"/>
  <c r="BH28" i="1"/>
  <c r="BH8" i="1" s="1"/>
  <c r="BH30" i="1"/>
  <c r="BH10" i="1" s="1"/>
  <c r="BH31" i="1"/>
  <c r="BI20" i="1"/>
  <c r="BH21" i="1"/>
  <c r="AI14" i="24" l="1"/>
  <c r="BH61" i="1"/>
  <c r="BG89" i="1"/>
  <c r="BG43" i="1"/>
  <c r="BG99" i="1"/>
  <c r="BH7" i="1"/>
  <c r="BH12" i="1" s="1"/>
  <c r="BH13" i="1" s="1"/>
  <c r="BH62" i="1" l="1"/>
  <c r="BH91" i="1" s="1"/>
  <c r="BH45" i="1" s="1"/>
  <c r="BH14" i="1"/>
  <c r="BH80" i="1"/>
  <c r="BH84" i="1" s="1"/>
  <c r="BG137" i="1"/>
  <c r="BG140" i="1" s="1"/>
  <c r="BG128" i="1"/>
  <c r="BG143" i="1" s="1"/>
  <c r="BG144" i="1" s="1"/>
  <c r="BG47" i="1"/>
  <c r="BG44" i="1"/>
  <c r="BG46" i="1" s="1"/>
  <c r="BI18" i="1"/>
  <c r="BI17" i="1" s="1"/>
  <c r="BH63" i="1" l="1"/>
  <c r="BH64" i="1" s="1"/>
  <c r="BH32" i="1"/>
  <c r="BG146" i="1"/>
  <c r="BH41" i="1"/>
  <c r="BH42" i="1" s="1"/>
  <c r="BH113" i="1"/>
  <c r="BH114" i="1" s="1"/>
  <c r="BH138" i="1" s="1"/>
  <c r="BH87" i="1"/>
  <c r="BH86" i="1"/>
  <c r="BI25" i="1"/>
  <c r="BI29" i="1" s="1"/>
  <c r="BI9" i="1" s="1"/>
  <c r="BI40" i="1"/>
  <c r="BH88" i="1" l="1"/>
  <c r="AJ10" i="24"/>
  <c r="AJ13" i="24" s="1"/>
  <c r="BI28" i="1"/>
  <c r="BI8" i="1" s="1"/>
  <c r="BI27" i="1"/>
  <c r="BI30" i="1"/>
  <c r="BI10" i="1" s="1"/>
  <c r="BI31" i="1"/>
  <c r="BJ20" i="1"/>
  <c r="BI21" i="1"/>
  <c r="AJ14" i="24" l="1"/>
  <c r="BI61" i="1"/>
  <c r="BH89" i="1"/>
  <c r="BH43" i="1"/>
  <c r="BH99" i="1"/>
  <c r="BI7" i="1"/>
  <c r="BI12" i="1" s="1"/>
  <c r="BI13" i="1" s="1"/>
  <c r="BJ18" i="1"/>
  <c r="BJ17" i="1" s="1"/>
  <c r="BI62" i="1" l="1"/>
  <c r="BI91" i="1" s="1"/>
  <c r="BI45" i="1" s="1"/>
  <c r="BI14" i="1"/>
  <c r="BI80" i="1"/>
  <c r="BI84" i="1" s="1"/>
  <c r="BH137" i="1"/>
  <c r="BH140" i="1" s="1"/>
  <c r="BH128" i="1"/>
  <c r="BH143" i="1" s="1"/>
  <c r="BH144" i="1" s="1"/>
  <c r="BH47" i="1"/>
  <c r="BH44" i="1"/>
  <c r="BH46" i="1" s="1"/>
  <c r="BJ40" i="1"/>
  <c r="BJ25" i="1"/>
  <c r="BJ29" i="1" s="1"/>
  <c r="BJ9" i="1" s="1"/>
  <c r="BI63" i="1" l="1"/>
  <c r="BI64" i="1" s="1"/>
  <c r="BI32" i="1"/>
  <c r="BH146" i="1"/>
  <c r="BI41" i="1"/>
  <c r="BI42" i="1" s="1"/>
  <c r="BI113" i="1"/>
  <c r="BI114" i="1" s="1"/>
  <c r="BI138" i="1" s="1"/>
  <c r="BI86" i="1"/>
  <c r="BI87" i="1"/>
  <c r="AK10" i="24"/>
  <c r="AK13" i="24" s="1"/>
  <c r="BJ31" i="1"/>
  <c r="BJ30" i="1"/>
  <c r="BJ10" i="1" s="1"/>
  <c r="BJ28" i="1"/>
  <c r="BJ8" i="1" s="1"/>
  <c r="BJ27" i="1"/>
  <c r="BK20" i="1"/>
  <c r="BJ21" i="1"/>
  <c r="AK14" i="24" l="1"/>
  <c r="BJ61" i="1"/>
  <c r="BI88" i="1"/>
  <c r="BJ7" i="1"/>
  <c r="BJ12" i="1" s="1"/>
  <c r="BJ13" i="1" s="1"/>
  <c r="BK18" i="1"/>
  <c r="BK17" i="1" s="1"/>
  <c r="BJ62" i="1" l="1"/>
  <c r="BJ91" i="1" s="1"/>
  <c r="BJ45" i="1" s="1"/>
  <c r="BJ14" i="1"/>
  <c r="BJ80" i="1"/>
  <c r="BJ84" i="1" s="1"/>
  <c r="BI89" i="1"/>
  <c r="BI43" i="1"/>
  <c r="BI99" i="1"/>
  <c r="BK40" i="1"/>
  <c r="H16" i="5"/>
  <c r="BK25" i="1"/>
  <c r="BK29" i="1" s="1"/>
  <c r="BK9" i="1" s="1"/>
  <c r="BJ63" i="1" l="1"/>
  <c r="BJ64" i="1" s="1"/>
  <c r="BJ41" i="1"/>
  <c r="BJ42" i="1" s="1"/>
  <c r="BJ32" i="1"/>
  <c r="BJ113" i="1"/>
  <c r="BJ114" i="1" s="1"/>
  <c r="BJ138" i="1" s="1"/>
  <c r="BI128" i="1"/>
  <c r="BI143" i="1" s="1"/>
  <c r="BI144" i="1" s="1"/>
  <c r="BI137" i="1"/>
  <c r="BI140" i="1" s="1"/>
  <c r="BI44" i="1"/>
  <c r="BI46" i="1" s="1"/>
  <c r="BI47" i="1"/>
  <c r="BJ86" i="1"/>
  <c r="BJ87" i="1"/>
  <c r="AL10" i="24"/>
  <c r="AL13" i="24" s="1"/>
  <c r="BK27" i="1"/>
  <c r="BK30" i="1"/>
  <c r="BK10" i="1" s="1"/>
  <c r="BK31" i="1"/>
  <c r="BK28" i="1"/>
  <c r="BK8" i="1" s="1"/>
  <c r="BL20" i="1"/>
  <c r="BK21" i="1"/>
  <c r="AL14" i="24" l="1"/>
  <c r="BK61" i="1"/>
  <c r="BJ88" i="1"/>
  <c r="BI146" i="1"/>
  <c r="BK7" i="1"/>
  <c r="BK12" i="1" s="1"/>
  <c r="BK13" i="1" s="1"/>
  <c r="BL18" i="1"/>
  <c r="BL17" i="1" s="1"/>
  <c r="BK62" i="1" l="1"/>
  <c r="BK91" i="1" s="1"/>
  <c r="BK45" i="1" s="1"/>
  <c r="BK14" i="1"/>
  <c r="BK80" i="1"/>
  <c r="BK84" i="1" s="1"/>
  <c r="BJ89" i="1"/>
  <c r="BJ43" i="1"/>
  <c r="BJ99" i="1"/>
  <c r="BL25" i="1"/>
  <c r="BL29" i="1" s="1"/>
  <c r="BL9" i="1" s="1"/>
  <c r="BL40" i="1"/>
  <c r="BK63" i="1" l="1"/>
  <c r="BK64" i="1" s="1"/>
  <c r="BK32" i="1"/>
  <c r="BK41" i="1"/>
  <c r="BK42" i="1" s="1"/>
  <c r="BK113" i="1"/>
  <c r="BK114" i="1" s="1"/>
  <c r="BK138" i="1" s="1"/>
  <c r="BJ137" i="1"/>
  <c r="BJ140" i="1" s="1"/>
  <c r="BJ128" i="1"/>
  <c r="BJ143" i="1" s="1"/>
  <c r="BJ144" i="1" s="1"/>
  <c r="BJ47" i="1"/>
  <c r="BJ44" i="1"/>
  <c r="BJ46" i="1" s="1"/>
  <c r="BK87" i="1"/>
  <c r="BK86" i="1"/>
  <c r="AM10" i="24"/>
  <c r="AM13" i="24" s="1"/>
  <c r="BL30" i="1"/>
  <c r="BL10" i="1" s="1"/>
  <c r="BL31" i="1"/>
  <c r="BL28" i="1"/>
  <c r="BL8" i="1" s="1"/>
  <c r="BL27" i="1"/>
  <c r="BM20" i="1"/>
  <c r="BL21" i="1"/>
  <c r="AM14" i="24" l="1"/>
  <c r="BL61" i="1"/>
  <c r="BJ146" i="1"/>
  <c r="BK88" i="1"/>
  <c r="BL7" i="1"/>
  <c r="BL12" i="1" s="1"/>
  <c r="BL13" i="1" s="1"/>
  <c r="BL62" i="1" l="1"/>
  <c r="BL91" i="1" s="1"/>
  <c r="BL45" i="1" s="1"/>
  <c r="BL14" i="1"/>
  <c r="BL80" i="1"/>
  <c r="BL84" i="1" s="1"/>
  <c r="BK89" i="1"/>
  <c r="BK43" i="1"/>
  <c r="BK99" i="1"/>
  <c r="BM18" i="1"/>
  <c r="BM17" i="1" s="1"/>
  <c r="BL63" i="1" l="1"/>
  <c r="BL64" i="1" s="1"/>
  <c r="BL41" i="1"/>
  <c r="BL42" i="1" s="1"/>
  <c r="BL32" i="1"/>
  <c r="BL113" i="1"/>
  <c r="BL114" i="1" s="1"/>
  <c r="BL138" i="1" s="1"/>
  <c r="BL87" i="1"/>
  <c r="BL86" i="1"/>
  <c r="BK128" i="1"/>
  <c r="BK143" i="1" s="1"/>
  <c r="BK144" i="1" s="1"/>
  <c r="BK137" i="1"/>
  <c r="BK140" i="1" s="1"/>
  <c r="BK47" i="1"/>
  <c r="BK44" i="1"/>
  <c r="BK46" i="1" s="1"/>
  <c r="BM40" i="1"/>
  <c r="BM25" i="1"/>
  <c r="BM29" i="1" s="1"/>
  <c r="BM9" i="1" s="1"/>
  <c r="BL88" i="1" l="1"/>
  <c r="BL89" i="1" s="1"/>
  <c r="BK146" i="1"/>
  <c r="AN10" i="24"/>
  <c r="AN13" i="24" s="1"/>
  <c r="BM28" i="1"/>
  <c r="BM8" i="1" s="1"/>
  <c r="BM27" i="1"/>
  <c r="BM30" i="1"/>
  <c r="BM10" i="1" s="1"/>
  <c r="BM31" i="1"/>
  <c r="BN20" i="1"/>
  <c r="BM21" i="1"/>
  <c r="AN14" i="24" l="1"/>
  <c r="BM61" i="1"/>
  <c r="BL99" i="1"/>
  <c r="BL130" i="1" s="1"/>
  <c r="BL43" i="1"/>
  <c r="BL47" i="1" s="1"/>
  <c r="BM7" i="1"/>
  <c r="BM12" i="1" s="1"/>
  <c r="BM13" i="1" s="1"/>
  <c r="BM62" i="1" l="1"/>
  <c r="BM91" i="1" s="1"/>
  <c r="BM45" i="1" s="1"/>
  <c r="BL137" i="1"/>
  <c r="BL140" i="1" s="1"/>
  <c r="BL128" i="1"/>
  <c r="BL143" i="1" s="1"/>
  <c r="BL144" i="1" s="1"/>
  <c r="BL44" i="1"/>
  <c r="BL46" i="1" s="1"/>
  <c r="BM14" i="1"/>
  <c r="BM80" i="1"/>
  <c r="BM84" i="1" s="1"/>
  <c r="BN18" i="1"/>
  <c r="BN17" i="1" s="1"/>
  <c r="BM63" i="1" l="1"/>
  <c r="BM64" i="1" s="1"/>
  <c r="BM32" i="1"/>
  <c r="BL146" i="1"/>
  <c r="BM41" i="1"/>
  <c r="BM42" i="1" s="1"/>
  <c r="BM113" i="1"/>
  <c r="BM114" i="1" s="1"/>
  <c r="BM138" i="1" s="1"/>
  <c r="BM86" i="1"/>
  <c r="BM87" i="1"/>
  <c r="BN25" i="1"/>
  <c r="BN29" i="1" s="1"/>
  <c r="BN9" i="1" s="1"/>
  <c r="BN40" i="1"/>
  <c r="BM88" i="1" l="1"/>
  <c r="BM89" i="1" s="1"/>
  <c r="AO10" i="24"/>
  <c r="AO13" i="24" s="1"/>
  <c r="BN27" i="1"/>
  <c r="BN28" i="1"/>
  <c r="BN8" i="1" s="1"/>
  <c r="BN30" i="1"/>
  <c r="BN10" i="1" s="1"/>
  <c r="BN31" i="1"/>
  <c r="BO20" i="1"/>
  <c r="BN21" i="1"/>
  <c r="AO14" i="24" l="1"/>
  <c r="BN61" i="1"/>
  <c r="BM43" i="1"/>
  <c r="BM47" i="1" s="1"/>
  <c r="BM99" i="1"/>
  <c r="BM137" i="1" s="1"/>
  <c r="BM140" i="1" s="1"/>
  <c r="BN7" i="1"/>
  <c r="BN12" i="1" s="1"/>
  <c r="BN13" i="1" s="1"/>
  <c r="BO18" i="1"/>
  <c r="BO17" i="1" s="1"/>
  <c r="BN62" i="1" l="1"/>
  <c r="BN91" i="1" s="1"/>
  <c r="BN45" i="1" s="1"/>
  <c r="BM44" i="1"/>
  <c r="BM46" i="1" s="1"/>
  <c r="BM128" i="1"/>
  <c r="BM143" i="1" s="1"/>
  <c r="BM144" i="1" s="1"/>
  <c r="BM146" i="1" s="1"/>
  <c r="BN14" i="1"/>
  <c r="BN80" i="1"/>
  <c r="BN84" i="1" s="1"/>
  <c r="BO25" i="1"/>
  <c r="BO29" i="1" s="1"/>
  <c r="BO9" i="1" s="1"/>
  <c r="BO40" i="1"/>
  <c r="BN63" i="1" l="1"/>
  <c r="BN64" i="1" s="1"/>
  <c r="BN113" i="1"/>
  <c r="BN114" i="1" s="1"/>
  <c r="BN138" i="1" s="1"/>
  <c r="BN32" i="1"/>
  <c r="BN41" i="1"/>
  <c r="BN42" i="1" s="1"/>
  <c r="BN86" i="1"/>
  <c r="BN87" i="1"/>
  <c r="AP10" i="24"/>
  <c r="AP13" i="24" s="1"/>
  <c r="BO30" i="1"/>
  <c r="BO10" i="1" s="1"/>
  <c r="BO31" i="1"/>
  <c r="BO27" i="1"/>
  <c r="BO28" i="1"/>
  <c r="BO8" i="1" s="1"/>
  <c r="BP20" i="1"/>
  <c r="BO21" i="1"/>
  <c r="AP14" i="24" l="1"/>
  <c r="BO61" i="1"/>
  <c r="BN88" i="1"/>
  <c r="BN89" i="1" s="1"/>
  <c r="BO7" i="1"/>
  <c r="BO12" i="1" s="1"/>
  <c r="BO13" i="1" s="1"/>
  <c r="BP18" i="1"/>
  <c r="BP17" i="1" s="1"/>
  <c r="BO62" i="1" l="1"/>
  <c r="BO91" i="1" s="1"/>
  <c r="BO45" i="1" s="1"/>
  <c r="BN99" i="1"/>
  <c r="BN137" i="1" s="1"/>
  <c r="BN140" i="1" s="1"/>
  <c r="BN43" i="1"/>
  <c r="BN44" i="1" s="1"/>
  <c r="BN46" i="1" s="1"/>
  <c r="BO14" i="1"/>
  <c r="BO41" i="1" s="1"/>
  <c r="BO80" i="1"/>
  <c r="BO84" i="1" s="1"/>
  <c r="BP25" i="1"/>
  <c r="BP29" i="1" s="1"/>
  <c r="BP9" i="1" s="1"/>
  <c r="BP40" i="1"/>
  <c r="BO113" i="1" l="1"/>
  <c r="BO114" i="1" s="1"/>
  <c r="BO138" i="1" s="1"/>
  <c r="BO63" i="1"/>
  <c r="BO64" i="1" s="1"/>
  <c r="BO32" i="1"/>
  <c r="BN47" i="1"/>
  <c r="BN128" i="1"/>
  <c r="BN143" i="1" s="1"/>
  <c r="BN144" i="1" s="1"/>
  <c r="BN146" i="1" s="1"/>
  <c r="BO86" i="1"/>
  <c r="BO87" i="1"/>
  <c r="AQ10" i="24"/>
  <c r="AQ13" i="24" s="1"/>
  <c r="BP31" i="1"/>
  <c r="BP30" i="1"/>
  <c r="BP10" i="1" s="1"/>
  <c r="BP27" i="1"/>
  <c r="BP28" i="1"/>
  <c r="BP8" i="1" s="1"/>
  <c r="BQ20" i="1"/>
  <c r="BO42" i="1"/>
  <c r="BP21" i="1"/>
  <c r="AQ14" i="24" l="1"/>
  <c r="BP61" i="1"/>
  <c r="BO88" i="1"/>
  <c r="BO89" i="1" s="1"/>
  <c r="BP7" i="1"/>
  <c r="BP12" i="1" s="1"/>
  <c r="BP13" i="1" s="1"/>
  <c r="BP62" i="1" l="1"/>
  <c r="BP91" i="1" s="1"/>
  <c r="BP45" i="1" s="1"/>
  <c r="BO99" i="1"/>
  <c r="BO137" i="1" s="1"/>
  <c r="BO140" i="1" s="1"/>
  <c r="BO43" i="1"/>
  <c r="BO47" i="1" s="1"/>
  <c r="BP14" i="1"/>
  <c r="BP41" i="1" s="1"/>
  <c r="BP80" i="1"/>
  <c r="BP84" i="1" s="1"/>
  <c r="BQ18" i="1"/>
  <c r="BQ17" i="1" s="1"/>
  <c r="BP63" i="1" l="1"/>
  <c r="BP64" i="1" s="1"/>
  <c r="BP113" i="1"/>
  <c r="BP114" i="1" s="1"/>
  <c r="BP138" i="1" s="1"/>
  <c r="BP32" i="1"/>
  <c r="BO44" i="1"/>
  <c r="BO46" i="1" s="1"/>
  <c r="BO128" i="1"/>
  <c r="BO143" i="1" s="1"/>
  <c r="BO144" i="1" s="1"/>
  <c r="BO146" i="1" s="1"/>
  <c r="BP86" i="1"/>
  <c r="BP87" i="1"/>
  <c r="BQ40" i="1"/>
  <c r="BP42" i="1"/>
  <c r="BQ25" i="1"/>
  <c r="BQ29" i="1" s="1"/>
  <c r="BQ9" i="1" s="1"/>
  <c r="BP88" i="1" l="1"/>
  <c r="BP89" i="1" s="1"/>
  <c r="AR10" i="24"/>
  <c r="AR13" i="24" s="1"/>
  <c r="BQ31" i="1"/>
  <c r="BQ30" i="1"/>
  <c r="BQ10" i="1" s="1"/>
  <c r="BQ27" i="1"/>
  <c r="BQ28" i="1"/>
  <c r="BQ8" i="1" s="1"/>
  <c r="BR20" i="1"/>
  <c r="BQ21" i="1"/>
  <c r="AR14" i="24" l="1"/>
  <c r="BQ61" i="1"/>
  <c r="BP99" i="1"/>
  <c r="BP137" i="1" s="1"/>
  <c r="BP140" i="1" s="1"/>
  <c r="BP43" i="1"/>
  <c r="BP47" i="1" s="1"/>
  <c r="BQ7" i="1"/>
  <c r="BQ12" i="1" s="1"/>
  <c r="BQ13" i="1" s="1"/>
  <c r="BR18" i="1"/>
  <c r="BR17" i="1" s="1"/>
  <c r="BQ62" i="1" l="1"/>
  <c r="BQ91" i="1" s="1"/>
  <c r="BQ45" i="1" s="1"/>
  <c r="BP44" i="1"/>
  <c r="BP46" i="1" s="1"/>
  <c r="BP128" i="1"/>
  <c r="BP143" i="1" s="1"/>
  <c r="BP144" i="1" s="1"/>
  <c r="BP146" i="1" s="1"/>
  <c r="BQ14" i="1"/>
  <c r="BQ80" i="1"/>
  <c r="BQ84" i="1" s="1"/>
  <c r="BR25" i="1"/>
  <c r="BR29" i="1" s="1"/>
  <c r="BR9" i="1" s="1"/>
  <c r="BR40" i="1"/>
  <c r="BQ63" i="1" l="1"/>
  <c r="BQ64" i="1" s="1"/>
  <c r="BQ41" i="1"/>
  <c r="BQ42" i="1" s="1"/>
  <c r="BQ32" i="1"/>
  <c r="BQ113" i="1"/>
  <c r="BQ114" i="1" s="1"/>
  <c r="BQ138" i="1" s="1"/>
  <c r="BQ86" i="1"/>
  <c r="BQ87" i="1"/>
  <c r="AS10" i="24"/>
  <c r="AS13" i="24" s="1"/>
  <c r="BR28" i="1"/>
  <c r="BR8" i="1" s="1"/>
  <c r="BR27" i="1"/>
  <c r="BR31" i="1"/>
  <c r="BR30" i="1"/>
  <c r="BR10" i="1" s="1"/>
  <c r="BS20" i="1"/>
  <c r="BR21" i="1"/>
  <c r="AS14" i="24" l="1"/>
  <c r="BR61" i="1"/>
  <c r="BQ88" i="1"/>
  <c r="BR7" i="1"/>
  <c r="BR12" i="1" s="1"/>
  <c r="BR13" i="1" s="1"/>
  <c r="BR62" i="1" l="1"/>
  <c r="BR91" i="1" s="1"/>
  <c r="BR45" i="1" s="1"/>
  <c r="BR14" i="1"/>
  <c r="BR80" i="1"/>
  <c r="BR84" i="1" s="1"/>
  <c r="BQ89" i="1"/>
  <c r="BQ43" i="1"/>
  <c r="BQ99" i="1"/>
  <c r="BS18" i="1"/>
  <c r="BS17" i="1" s="1"/>
  <c r="BR63" i="1" l="1"/>
  <c r="BR64" i="1" s="1"/>
  <c r="BR32" i="1"/>
  <c r="BR41" i="1"/>
  <c r="BR42" i="1" s="1"/>
  <c r="BR113" i="1"/>
  <c r="BR114" i="1" s="1"/>
  <c r="BR138" i="1" s="1"/>
  <c r="BQ47" i="1"/>
  <c r="BQ44" i="1"/>
  <c r="BQ46" i="1" s="1"/>
  <c r="BR86" i="1"/>
  <c r="BR87" i="1"/>
  <c r="BQ137" i="1"/>
  <c r="BQ140" i="1" s="1"/>
  <c r="BQ128" i="1"/>
  <c r="BQ143" i="1" s="1"/>
  <c r="BQ144" i="1" s="1"/>
  <c r="BS40" i="1"/>
  <c r="BS25" i="1"/>
  <c r="BS29" i="1" s="1"/>
  <c r="BS9" i="1" s="1"/>
  <c r="BQ146" i="1" l="1"/>
  <c r="BR88" i="1"/>
  <c r="BT20" i="1"/>
  <c r="AT10" i="24"/>
  <c r="AT13" i="24" s="1"/>
  <c r="BS28" i="1"/>
  <c r="BS8" i="1" s="1"/>
  <c r="BS31" i="1"/>
  <c r="BS27" i="1"/>
  <c r="BS30" i="1"/>
  <c r="BS10" i="1" s="1"/>
  <c r="BS21" i="1"/>
  <c r="AT14" i="24" l="1"/>
  <c r="BS61" i="1"/>
  <c r="BR89" i="1"/>
  <c r="BR43" i="1"/>
  <c r="BR99" i="1"/>
  <c r="BS7" i="1"/>
  <c r="BS12" i="1" s="1"/>
  <c r="BS13" i="1" s="1"/>
  <c r="BS62" i="1" l="1"/>
  <c r="BS91" i="1" s="1"/>
  <c r="BS45" i="1" s="1"/>
  <c r="BS14" i="1"/>
  <c r="BS80" i="1"/>
  <c r="BS84" i="1" s="1"/>
  <c r="BR128" i="1"/>
  <c r="BR143" i="1" s="1"/>
  <c r="BR144" i="1" s="1"/>
  <c r="BR137" i="1"/>
  <c r="BR140" i="1" s="1"/>
  <c r="BR44" i="1"/>
  <c r="BR46" i="1" s="1"/>
  <c r="BR47" i="1"/>
  <c r="BT18" i="1"/>
  <c r="BT17" i="1" s="1"/>
  <c r="BS63" i="1" l="1"/>
  <c r="BS64" i="1" s="1"/>
  <c r="BS32" i="1"/>
  <c r="BS113" i="1"/>
  <c r="BS114" i="1" s="1"/>
  <c r="BS138" i="1" s="1"/>
  <c r="BS41" i="1"/>
  <c r="BS42" i="1" s="1"/>
  <c r="BR146" i="1"/>
  <c r="BS87" i="1"/>
  <c r="BS86" i="1"/>
  <c r="BT25" i="1"/>
  <c r="BT29" i="1" s="1"/>
  <c r="BT9" i="1" s="1"/>
  <c r="BT40" i="1"/>
  <c r="BS88" i="1" l="1"/>
  <c r="AU10" i="24"/>
  <c r="AU13" i="24" s="1"/>
  <c r="BT28" i="1"/>
  <c r="BT8" i="1" s="1"/>
  <c r="BT30" i="1"/>
  <c r="BT10" i="1" s="1"/>
  <c r="BT27" i="1"/>
  <c r="BT31" i="1"/>
  <c r="BU20" i="1"/>
  <c r="BT21" i="1"/>
  <c r="AU14" i="24" l="1"/>
  <c r="BT61" i="1"/>
  <c r="BS89" i="1"/>
  <c r="BS43" i="1"/>
  <c r="BS99" i="1"/>
  <c r="BT7" i="1"/>
  <c r="BT12" i="1" s="1"/>
  <c r="BT13" i="1" s="1"/>
  <c r="BT62" i="1" l="1"/>
  <c r="BT91" i="1" s="1"/>
  <c r="BT45" i="1" s="1"/>
  <c r="BT14" i="1"/>
  <c r="BT80" i="1"/>
  <c r="BT84" i="1" s="1"/>
  <c r="BS137" i="1"/>
  <c r="BS140" i="1" s="1"/>
  <c r="BS128" i="1"/>
  <c r="BS143" i="1" s="1"/>
  <c r="BS144" i="1" s="1"/>
  <c r="BS44" i="1"/>
  <c r="BS46" i="1" s="1"/>
  <c r="BS47" i="1"/>
  <c r="BU18" i="1"/>
  <c r="BU17" i="1" s="1"/>
  <c r="BT63" i="1" l="1"/>
  <c r="BT64" i="1" s="1"/>
  <c r="BT32" i="1"/>
  <c r="BS146" i="1"/>
  <c r="BT113" i="1"/>
  <c r="BT114" i="1" s="1"/>
  <c r="BT138" i="1" s="1"/>
  <c r="BT41" i="1"/>
  <c r="BT42" i="1" s="1"/>
  <c r="BT86" i="1"/>
  <c r="BT87" i="1"/>
  <c r="BU40" i="1"/>
  <c r="BU25" i="1"/>
  <c r="BU29" i="1" s="1"/>
  <c r="BU9" i="1" s="1"/>
  <c r="BT88" i="1" l="1"/>
  <c r="AV10" i="24"/>
  <c r="AV13" i="24" s="1"/>
  <c r="BU27" i="1"/>
  <c r="BU28" i="1"/>
  <c r="BU8" i="1" s="1"/>
  <c r="BU31" i="1"/>
  <c r="BU30" i="1"/>
  <c r="BU10" i="1" s="1"/>
  <c r="BV20" i="1"/>
  <c r="BU21" i="1"/>
  <c r="AV14" i="24" l="1"/>
  <c r="BU61" i="1"/>
  <c r="BT89" i="1"/>
  <c r="BT99" i="1"/>
  <c r="BT43" i="1"/>
  <c r="BU7" i="1"/>
  <c r="BU12" i="1" s="1"/>
  <c r="BU13" i="1" s="1"/>
  <c r="BU62" i="1" l="1"/>
  <c r="BU91" i="1" s="1"/>
  <c r="BU45" i="1" s="1"/>
  <c r="BU14" i="1"/>
  <c r="BU80" i="1"/>
  <c r="BU84" i="1" s="1"/>
  <c r="BT44" i="1"/>
  <c r="BT46" i="1" s="1"/>
  <c r="BT47" i="1"/>
  <c r="BT137" i="1"/>
  <c r="BT140" i="1" s="1"/>
  <c r="BT128" i="1"/>
  <c r="BT143" i="1" s="1"/>
  <c r="BT144" i="1" s="1"/>
  <c r="BV18" i="1"/>
  <c r="BV17" i="1" s="1"/>
  <c r="BU63" i="1" l="1"/>
  <c r="BU64" i="1" s="1"/>
  <c r="BU41" i="1"/>
  <c r="BU42" i="1" s="1"/>
  <c r="BU32" i="1"/>
  <c r="BU113" i="1"/>
  <c r="BU114" i="1" s="1"/>
  <c r="BU138" i="1" s="1"/>
  <c r="BT146" i="1"/>
  <c r="BU87" i="1"/>
  <c r="BU86" i="1"/>
  <c r="BV25" i="1"/>
  <c r="BV29" i="1" s="1"/>
  <c r="BV9" i="1" s="1"/>
  <c r="BV40" i="1"/>
  <c r="BU88" i="1" l="1"/>
  <c r="BU89" i="1" s="1"/>
  <c r="AW10" i="24"/>
  <c r="AW13" i="24" s="1"/>
  <c r="BV27" i="1"/>
  <c r="BV28" i="1"/>
  <c r="BV8" i="1" s="1"/>
  <c r="BV30" i="1"/>
  <c r="BV10" i="1" s="1"/>
  <c r="BV31" i="1"/>
  <c r="BW20" i="1"/>
  <c r="BV21" i="1"/>
  <c r="AW14" i="24" l="1"/>
  <c r="BV61" i="1"/>
  <c r="BU99" i="1"/>
  <c r="BU128" i="1" s="1"/>
  <c r="BU143" i="1" s="1"/>
  <c r="BU144" i="1" s="1"/>
  <c r="BU43" i="1"/>
  <c r="BU47" i="1" s="1"/>
  <c r="BV7" i="1"/>
  <c r="BV12" i="1" s="1"/>
  <c r="BV13" i="1" s="1"/>
  <c r="BV62" i="1" l="1"/>
  <c r="BV91" i="1" s="1"/>
  <c r="BV45" i="1" s="1"/>
  <c r="BU137" i="1"/>
  <c r="BU140" i="1" s="1"/>
  <c r="BU146" i="1" s="1"/>
  <c r="BU44" i="1"/>
  <c r="BU46" i="1" s="1"/>
  <c r="BV14" i="1"/>
  <c r="BV80" i="1"/>
  <c r="BV84" i="1" s="1"/>
  <c r="BW18" i="1"/>
  <c r="BW17" i="1" s="1"/>
  <c r="BV63" i="1" l="1"/>
  <c r="BV64" i="1" s="1"/>
  <c r="BV32" i="1"/>
  <c r="BV113" i="1"/>
  <c r="BV114" i="1" s="1"/>
  <c r="BV138" i="1" s="1"/>
  <c r="BV41" i="1"/>
  <c r="BV42" i="1" s="1"/>
  <c r="BV86" i="1"/>
  <c r="BV87" i="1"/>
  <c r="BW40" i="1"/>
  <c r="I16" i="5"/>
  <c r="BW25" i="1"/>
  <c r="BW29" i="1" s="1"/>
  <c r="BW9" i="1" s="1"/>
  <c r="BV88" i="1" l="1"/>
  <c r="AX10" i="24"/>
  <c r="AX13" i="24" s="1"/>
  <c r="BW28" i="1"/>
  <c r="BW8" i="1" s="1"/>
  <c r="BW31" i="1"/>
  <c r="BW30" i="1"/>
  <c r="BW10" i="1" s="1"/>
  <c r="BW27" i="1"/>
  <c r="BX20" i="1"/>
  <c r="BW21" i="1"/>
  <c r="AX14" i="24" l="1"/>
  <c r="BW61" i="1"/>
  <c r="BV89" i="1"/>
  <c r="BV99" i="1"/>
  <c r="BV43" i="1"/>
  <c r="BW7" i="1"/>
  <c r="BW12" i="1" s="1"/>
  <c r="BW13" i="1" s="1"/>
  <c r="BW62" i="1" l="1"/>
  <c r="BW91" i="1" s="1"/>
  <c r="BW45" i="1" s="1"/>
  <c r="BV44" i="1"/>
  <c r="BV46" i="1" s="1"/>
  <c r="BV47" i="1"/>
  <c r="BW14" i="1"/>
  <c r="BW80" i="1"/>
  <c r="BW84" i="1" s="1"/>
  <c r="BV137" i="1"/>
  <c r="BV140" i="1" s="1"/>
  <c r="BV128" i="1"/>
  <c r="BV143" i="1" s="1"/>
  <c r="BV144" i="1" s="1"/>
  <c r="BX18" i="1"/>
  <c r="BX17" i="1" s="1"/>
  <c r="BW63" i="1" l="1"/>
  <c r="BW64" i="1" s="1"/>
  <c r="BW113" i="1"/>
  <c r="BW114" i="1" s="1"/>
  <c r="BW138" i="1" s="1"/>
  <c r="BW32" i="1"/>
  <c r="BV146" i="1"/>
  <c r="BW41" i="1"/>
  <c r="BW42" i="1" s="1"/>
  <c r="BW86" i="1"/>
  <c r="BW87" i="1"/>
  <c r="BX25" i="1"/>
  <c r="BX29" i="1" s="1"/>
  <c r="BX9" i="1" s="1"/>
  <c r="BX40" i="1"/>
  <c r="BW88" i="1" l="1"/>
  <c r="BW89" i="1" s="1"/>
  <c r="AY10" i="24"/>
  <c r="AY13" i="24" s="1"/>
  <c r="BX27" i="1"/>
  <c r="BX31" i="1"/>
  <c r="BX28" i="1"/>
  <c r="BX8" i="1" s="1"/>
  <c r="BX30" i="1"/>
  <c r="BX10" i="1" s="1"/>
  <c r="BY20" i="1"/>
  <c r="BX21" i="1"/>
  <c r="AY14" i="24" l="1"/>
  <c r="BX61" i="1"/>
  <c r="BW43" i="1"/>
  <c r="BW44" i="1" s="1"/>
  <c r="BW46" i="1" s="1"/>
  <c r="BW99" i="1"/>
  <c r="BX7" i="1"/>
  <c r="BX12" i="1" s="1"/>
  <c r="BX13" i="1" s="1"/>
  <c r="BX62" i="1" l="1"/>
  <c r="BX91" i="1" s="1"/>
  <c r="BX45" i="1" s="1"/>
  <c r="BW47" i="1"/>
  <c r="BW128" i="1"/>
  <c r="BW143" i="1" s="1"/>
  <c r="BW144" i="1" s="1"/>
  <c r="BW137" i="1"/>
  <c r="BW140" i="1" s="1"/>
  <c r="BX14" i="1"/>
  <c r="BX80" i="1"/>
  <c r="BX84" i="1" s="1"/>
  <c r="BY18" i="1"/>
  <c r="BY17" i="1" s="1"/>
  <c r="BX63" i="1" l="1"/>
  <c r="BX64" i="1" s="1"/>
  <c r="BX113" i="1"/>
  <c r="BX114" i="1" s="1"/>
  <c r="BX138" i="1" s="1"/>
  <c r="BX32" i="1"/>
  <c r="BW146" i="1"/>
  <c r="BX41" i="1"/>
  <c r="BX42" i="1" s="1"/>
  <c r="BX87" i="1"/>
  <c r="BX86" i="1"/>
  <c r="BY25" i="1"/>
  <c r="BY29" i="1" s="1"/>
  <c r="BY9" i="1" s="1"/>
  <c r="BY40" i="1"/>
  <c r="BX88" i="1" l="1"/>
  <c r="BX89" i="1" s="1"/>
  <c r="AZ10" i="24"/>
  <c r="AZ13" i="24" s="1"/>
  <c r="BY27" i="1"/>
  <c r="BY28" i="1"/>
  <c r="BY8" i="1" s="1"/>
  <c r="BY31" i="1"/>
  <c r="BY30" i="1"/>
  <c r="BY10" i="1" s="1"/>
  <c r="BZ20" i="1"/>
  <c r="BY21" i="1"/>
  <c r="AZ14" i="24" l="1"/>
  <c r="BY61" i="1"/>
  <c r="BX43" i="1"/>
  <c r="BX47" i="1" s="1"/>
  <c r="BX99" i="1"/>
  <c r="BX130" i="1" s="1"/>
  <c r="BY7" i="1"/>
  <c r="BY12" i="1" s="1"/>
  <c r="BY13" i="1" s="1"/>
  <c r="BY62" i="1" l="1"/>
  <c r="BY91" i="1" s="1"/>
  <c r="BY45" i="1" s="1"/>
  <c r="BX137" i="1"/>
  <c r="BX140" i="1" s="1"/>
  <c r="BX128" i="1"/>
  <c r="BX143" i="1" s="1"/>
  <c r="BX144" i="1" s="1"/>
  <c r="BX44" i="1"/>
  <c r="BX46" i="1" s="1"/>
  <c r="BY14" i="1"/>
  <c r="BY80" i="1"/>
  <c r="BY84" i="1" s="1"/>
  <c r="BZ18" i="1"/>
  <c r="BZ17" i="1" s="1"/>
  <c r="BY63" i="1" l="1"/>
  <c r="BY64" i="1" s="1"/>
  <c r="BY32" i="1"/>
  <c r="BX146" i="1"/>
  <c r="BY113" i="1"/>
  <c r="BY114" i="1" s="1"/>
  <c r="BY138" i="1" s="1"/>
  <c r="BY41" i="1"/>
  <c r="BY42" i="1" s="1"/>
  <c r="BY87" i="1"/>
  <c r="BY86" i="1"/>
  <c r="BZ40" i="1"/>
  <c r="BZ25" i="1"/>
  <c r="BZ29" i="1" s="1"/>
  <c r="BZ9" i="1" s="1"/>
  <c r="BY88" i="1" l="1"/>
  <c r="BY89" i="1" s="1"/>
  <c r="BA10" i="24"/>
  <c r="BA13" i="24" s="1"/>
  <c r="BZ30" i="1"/>
  <c r="BZ10" i="1" s="1"/>
  <c r="BZ31" i="1"/>
  <c r="BZ28" i="1"/>
  <c r="BZ8" i="1" s="1"/>
  <c r="BZ27" i="1"/>
  <c r="CA20" i="1"/>
  <c r="BZ21" i="1"/>
  <c r="BY99" i="1" l="1"/>
  <c r="BY128" i="1" s="1"/>
  <c r="BY43" i="1"/>
  <c r="BY47" i="1" s="1"/>
  <c r="BA14" i="24"/>
  <c r="BZ61" i="1"/>
  <c r="BZ7" i="1"/>
  <c r="BZ12" i="1" s="1"/>
  <c r="BZ13" i="1" s="1"/>
  <c r="BY44" i="1" l="1"/>
  <c r="BY46" i="1" s="1"/>
  <c r="BY137" i="1"/>
  <c r="BY140" i="1" s="1"/>
  <c r="BZ62" i="1"/>
  <c r="BZ91" i="1" s="1"/>
  <c r="BZ45" i="1" s="1"/>
  <c r="BZ14" i="1"/>
  <c r="BZ80" i="1"/>
  <c r="BZ84" i="1" s="1"/>
  <c r="BY143" i="1"/>
  <c r="BY144" i="1" s="1"/>
  <c r="CA18" i="1"/>
  <c r="CA17" i="1" s="1"/>
  <c r="BY146" i="1" l="1"/>
  <c r="BZ63" i="1"/>
  <c r="BZ64" i="1" s="1"/>
  <c r="BZ113" i="1"/>
  <c r="BZ114" i="1" s="1"/>
  <c r="BZ138" i="1" s="1"/>
  <c r="BZ32" i="1"/>
  <c r="BZ41" i="1"/>
  <c r="BZ42" i="1" s="1"/>
  <c r="BZ87" i="1"/>
  <c r="BZ86" i="1"/>
  <c r="CA25" i="1"/>
  <c r="CA29" i="1" s="1"/>
  <c r="CA9" i="1" s="1"/>
  <c r="CA40" i="1"/>
  <c r="BZ88" i="1" l="1"/>
  <c r="BZ89" i="1" s="1"/>
  <c r="BB10" i="24"/>
  <c r="BB13" i="24" s="1"/>
  <c r="CA31" i="1"/>
  <c r="CA28" i="1"/>
  <c r="CA8" i="1" s="1"/>
  <c r="CA30" i="1"/>
  <c r="CA10" i="1" s="1"/>
  <c r="CA27" i="1"/>
  <c r="CB20" i="1"/>
  <c r="CA21" i="1"/>
  <c r="BB14" i="24" l="1"/>
  <c r="CA61" i="1"/>
  <c r="BZ43" i="1"/>
  <c r="BZ44" i="1" s="1"/>
  <c r="BZ46" i="1" s="1"/>
  <c r="BZ99" i="1"/>
  <c r="BZ137" i="1" s="1"/>
  <c r="BZ140" i="1" s="1"/>
  <c r="CA7" i="1"/>
  <c r="CA12" i="1" s="1"/>
  <c r="CA13" i="1" s="1"/>
  <c r="CA62" i="1" l="1"/>
  <c r="CA91" i="1" s="1"/>
  <c r="CA45" i="1" s="1"/>
  <c r="BZ47" i="1"/>
  <c r="BZ128" i="1"/>
  <c r="BZ143" i="1" s="1"/>
  <c r="BZ144" i="1" s="1"/>
  <c r="BZ146" i="1" s="1"/>
  <c r="CA14" i="1"/>
  <c r="CA80" i="1"/>
  <c r="CA84" i="1" s="1"/>
  <c r="CB18" i="1"/>
  <c r="CB17" i="1" s="1"/>
  <c r="CA63" i="1" l="1"/>
  <c r="CA64" i="1" s="1"/>
  <c r="CA41" i="1"/>
  <c r="CA42" i="1" s="1"/>
  <c r="CA32" i="1"/>
  <c r="CA113" i="1"/>
  <c r="CA114" i="1" s="1"/>
  <c r="CA138" i="1" s="1"/>
  <c r="CA86" i="1"/>
  <c r="CA87" i="1"/>
  <c r="CB25" i="1"/>
  <c r="CB29" i="1" s="1"/>
  <c r="CB9" i="1" s="1"/>
  <c r="CB40" i="1"/>
  <c r="CA88" i="1" l="1"/>
  <c r="CA89" i="1" s="1"/>
  <c r="BC10" i="24"/>
  <c r="BC13" i="24" s="1"/>
  <c r="CB28" i="1"/>
  <c r="CB8" i="1" s="1"/>
  <c r="CB31" i="1"/>
  <c r="CB27" i="1"/>
  <c r="CB30" i="1"/>
  <c r="CB10" i="1" s="1"/>
  <c r="CC20" i="1"/>
  <c r="CB21" i="1"/>
  <c r="BC14" i="24" l="1"/>
  <c r="CB61" i="1"/>
  <c r="CA43" i="1"/>
  <c r="CA47" i="1" s="1"/>
  <c r="CA99" i="1"/>
  <c r="CA128" i="1" s="1"/>
  <c r="CB7" i="1"/>
  <c r="CB12" i="1" s="1"/>
  <c r="CB13" i="1" s="1"/>
  <c r="CB62" i="1" l="1"/>
  <c r="CB91" i="1" s="1"/>
  <c r="CB45" i="1" s="1"/>
  <c r="CA44" i="1"/>
  <c r="CA46" i="1" s="1"/>
  <c r="CA137" i="1"/>
  <c r="CA140" i="1" s="1"/>
  <c r="CB14" i="1"/>
  <c r="CB80" i="1"/>
  <c r="CB84" i="1" s="1"/>
  <c r="CA143" i="1"/>
  <c r="CA144" i="1" s="1"/>
  <c r="CC18" i="1"/>
  <c r="CC17" i="1" s="1"/>
  <c r="CB63" i="1" l="1"/>
  <c r="CB64" i="1" s="1"/>
  <c r="CB113" i="1"/>
  <c r="CB114" i="1" s="1"/>
  <c r="CB138" i="1" s="1"/>
  <c r="CB32" i="1"/>
  <c r="CB41" i="1"/>
  <c r="CB42" i="1" s="1"/>
  <c r="CA146" i="1"/>
  <c r="CB86" i="1"/>
  <c r="CB87" i="1"/>
  <c r="CC40" i="1"/>
  <c r="CC25" i="1"/>
  <c r="CC29" i="1" s="1"/>
  <c r="CC9" i="1" s="1"/>
  <c r="CB88" i="1" l="1"/>
  <c r="CB89" i="1" s="1"/>
  <c r="BD10" i="24"/>
  <c r="BD13" i="24" s="1"/>
  <c r="CC28" i="1"/>
  <c r="CC8" i="1" s="1"/>
  <c r="CC31" i="1"/>
  <c r="CC27" i="1"/>
  <c r="CC30" i="1"/>
  <c r="CC10" i="1" s="1"/>
  <c r="CD20" i="1"/>
  <c r="CC21" i="1"/>
  <c r="BD14" i="24" l="1"/>
  <c r="CC61" i="1"/>
  <c r="CB43" i="1"/>
  <c r="CB47" i="1" s="1"/>
  <c r="CB99" i="1"/>
  <c r="CB137" i="1" s="1"/>
  <c r="CB140" i="1" s="1"/>
  <c r="CC7" i="1"/>
  <c r="CC12" i="1" s="1"/>
  <c r="CC13" i="1" s="1"/>
  <c r="CC62" i="1" l="1"/>
  <c r="CC91" i="1" s="1"/>
  <c r="CC45" i="1" s="1"/>
  <c r="CB44" i="1"/>
  <c r="CB46" i="1" s="1"/>
  <c r="CB128" i="1"/>
  <c r="CB143" i="1" s="1"/>
  <c r="CB144" i="1" s="1"/>
  <c r="CB146" i="1" s="1"/>
  <c r="CC14" i="1"/>
  <c r="CC80" i="1"/>
  <c r="CC84" i="1" s="1"/>
  <c r="CD18" i="1"/>
  <c r="CD17" i="1" s="1"/>
  <c r="CC63" i="1" l="1"/>
  <c r="CC64" i="1" s="1"/>
  <c r="CC32" i="1"/>
  <c r="CC41" i="1"/>
  <c r="CC42" i="1" s="1"/>
  <c r="CC113" i="1"/>
  <c r="CC114" i="1" s="1"/>
  <c r="CC138" i="1" s="1"/>
  <c r="CC87" i="1"/>
  <c r="CC86" i="1"/>
  <c r="CD40" i="1"/>
  <c r="CD25" i="1"/>
  <c r="CD29" i="1" s="1"/>
  <c r="CD9" i="1" s="1"/>
  <c r="CC88" i="1" l="1"/>
  <c r="CC89" i="1" s="1"/>
  <c r="CE20" i="1"/>
  <c r="BE10" i="24"/>
  <c r="BE13" i="24" s="1"/>
  <c r="CD27" i="1"/>
  <c r="CD28" i="1"/>
  <c r="CD8" i="1" s="1"/>
  <c r="CD30" i="1"/>
  <c r="CD10" i="1" s="1"/>
  <c r="CD31" i="1"/>
  <c r="CD21" i="1"/>
  <c r="BE14" i="24" l="1"/>
  <c r="CD61" i="1"/>
  <c r="CC43" i="1"/>
  <c r="CC44" i="1" s="1"/>
  <c r="CC46" i="1" s="1"/>
  <c r="CC99" i="1"/>
  <c r="CC137" i="1" s="1"/>
  <c r="CC140" i="1" s="1"/>
  <c r="CD7" i="1"/>
  <c r="CD12" i="1" s="1"/>
  <c r="CD13" i="1" s="1"/>
  <c r="CD62" i="1" l="1"/>
  <c r="CD91" i="1" s="1"/>
  <c r="CD45" i="1" s="1"/>
  <c r="CC128" i="1"/>
  <c r="CC143" i="1" s="1"/>
  <c r="CC144" i="1" s="1"/>
  <c r="CC146" i="1" s="1"/>
  <c r="CC47" i="1"/>
  <c r="CD14" i="1"/>
  <c r="CD80" i="1"/>
  <c r="CD84" i="1" s="1"/>
  <c r="CE18" i="1"/>
  <c r="CE17" i="1" s="1"/>
  <c r="CD63" i="1" l="1"/>
  <c r="CD64" i="1" s="1"/>
  <c r="CD32" i="1"/>
  <c r="CD86" i="1"/>
  <c r="CD87" i="1"/>
  <c r="CD113" i="1"/>
  <c r="CD114" i="1" s="1"/>
  <c r="CD138" i="1" s="1"/>
  <c r="CD41" i="1"/>
  <c r="CD42" i="1" s="1"/>
  <c r="CE25" i="1"/>
  <c r="CE29" i="1" s="1"/>
  <c r="CE9" i="1" s="1"/>
  <c r="CE40" i="1"/>
  <c r="CD88" i="1" l="1"/>
  <c r="BF10" i="24"/>
  <c r="BF13" i="24" s="1"/>
  <c r="CE30" i="1"/>
  <c r="CE10" i="1" s="1"/>
  <c r="CE31" i="1"/>
  <c r="CE28" i="1"/>
  <c r="CE8" i="1" s="1"/>
  <c r="CE27" i="1"/>
  <c r="CF20" i="1"/>
  <c r="CE21" i="1"/>
  <c r="BF14" i="24" l="1"/>
  <c r="CE61" i="1"/>
  <c r="CD89" i="1"/>
  <c r="CD99" i="1"/>
  <c r="CD43" i="1"/>
  <c r="CE7" i="1"/>
  <c r="CE12" i="1" s="1"/>
  <c r="CE13" i="1" s="1"/>
  <c r="CF18" i="1"/>
  <c r="CF17" i="1" s="1"/>
  <c r="CE62" i="1" l="1"/>
  <c r="CE91" i="1" s="1"/>
  <c r="CE45" i="1" s="1"/>
  <c r="CE14" i="1"/>
  <c r="CE80" i="1"/>
  <c r="CE84" i="1" s="1"/>
  <c r="CD128" i="1"/>
  <c r="CD143" i="1" s="1"/>
  <c r="CD144" i="1" s="1"/>
  <c r="CD137" i="1"/>
  <c r="CD140" i="1" s="1"/>
  <c r="CD44" i="1"/>
  <c r="CD46" i="1" s="1"/>
  <c r="CD47" i="1"/>
  <c r="CF25" i="1"/>
  <c r="CF29" i="1" s="1"/>
  <c r="CF9" i="1" s="1"/>
  <c r="CF40" i="1"/>
  <c r="CE63" i="1" l="1"/>
  <c r="CE64" i="1" s="1"/>
  <c r="CE113" i="1"/>
  <c r="CE114" i="1" s="1"/>
  <c r="CE138" i="1" s="1"/>
  <c r="CE32" i="1"/>
  <c r="CE41" i="1"/>
  <c r="CE42" i="1" s="1"/>
  <c r="CD146" i="1"/>
  <c r="CE86" i="1"/>
  <c r="CE87" i="1"/>
  <c r="BG10" i="24"/>
  <c r="BG13" i="24" s="1"/>
  <c r="CF30" i="1"/>
  <c r="CF10" i="1" s="1"/>
  <c r="CF28" i="1"/>
  <c r="CF8" i="1" s="1"/>
  <c r="CF31" i="1"/>
  <c r="CF27" i="1"/>
  <c r="CG20" i="1"/>
  <c r="CF21" i="1"/>
  <c r="BG14" i="24" l="1"/>
  <c r="CF61" i="1"/>
  <c r="CE88" i="1"/>
  <c r="CE89" i="1" s="1"/>
  <c r="CF7" i="1"/>
  <c r="CF12" i="1" s="1"/>
  <c r="CF13" i="1" s="1"/>
  <c r="CG18" i="1"/>
  <c r="CG17" i="1" s="1"/>
  <c r="CF62" i="1" l="1"/>
  <c r="CF91" i="1" s="1"/>
  <c r="CF45" i="1" s="1"/>
  <c r="CE99" i="1"/>
  <c r="CE137" i="1" s="1"/>
  <c r="CE140" i="1" s="1"/>
  <c r="CE43" i="1"/>
  <c r="CE44" i="1" s="1"/>
  <c r="CE46" i="1" s="1"/>
  <c r="CF14" i="1"/>
  <c r="CF80" i="1"/>
  <c r="CF84" i="1" s="1"/>
  <c r="CG25" i="1"/>
  <c r="CG29" i="1" s="1"/>
  <c r="CG9" i="1" s="1"/>
  <c r="CG40" i="1"/>
  <c r="CF63" i="1" l="1"/>
  <c r="CF64" i="1" s="1"/>
  <c r="CF41" i="1"/>
  <c r="CF42" i="1" s="1"/>
  <c r="CF32" i="1"/>
  <c r="CE128" i="1"/>
  <c r="CE143" i="1" s="1"/>
  <c r="CE144" i="1" s="1"/>
  <c r="CE146" i="1" s="1"/>
  <c r="CE47" i="1"/>
  <c r="CF113" i="1"/>
  <c r="CF114" i="1" s="1"/>
  <c r="CF138" i="1" s="1"/>
  <c r="CF86" i="1"/>
  <c r="CF87" i="1"/>
  <c r="BH10" i="24"/>
  <c r="BH13" i="24" s="1"/>
  <c r="CG31" i="1"/>
  <c r="CG28" i="1"/>
  <c r="CG8" i="1" s="1"/>
  <c r="CG27" i="1"/>
  <c r="CG30" i="1"/>
  <c r="CG10" i="1" s="1"/>
  <c r="CH20" i="1"/>
  <c r="CG21" i="1"/>
  <c r="BH14" i="24" l="1"/>
  <c r="CG61" i="1"/>
  <c r="CF88" i="1"/>
  <c r="CG7" i="1"/>
  <c r="CG12" i="1" s="1"/>
  <c r="CG13" i="1" s="1"/>
  <c r="CH18" i="1"/>
  <c r="CH17" i="1" s="1"/>
  <c r="CG62" i="1" l="1"/>
  <c r="CG91" i="1" s="1"/>
  <c r="CG45" i="1" s="1"/>
  <c r="CG14" i="1"/>
  <c r="CG80" i="1"/>
  <c r="CG84" i="1" s="1"/>
  <c r="CF89" i="1"/>
  <c r="CF43" i="1"/>
  <c r="CF99" i="1"/>
  <c r="CH25" i="1"/>
  <c r="CH29" i="1" s="1"/>
  <c r="CH9" i="1" s="1"/>
  <c r="CH40" i="1"/>
  <c r="CG63" i="1" l="1"/>
  <c r="CG64" i="1" s="1"/>
  <c r="CG32" i="1"/>
  <c r="CG113" i="1"/>
  <c r="CG114" i="1" s="1"/>
  <c r="CG138" i="1" s="1"/>
  <c r="CG41" i="1"/>
  <c r="CG42" i="1" s="1"/>
  <c r="CF137" i="1"/>
  <c r="CF140" i="1" s="1"/>
  <c r="CF128" i="1"/>
  <c r="CF143" i="1" s="1"/>
  <c r="CF144" i="1" s="1"/>
  <c r="CF47" i="1"/>
  <c r="CF44" i="1"/>
  <c r="CF46" i="1" s="1"/>
  <c r="CG86" i="1"/>
  <c r="CG87" i="1"/>
  <c r="BI10" i="24"/>
  <c r="BI13" i="24" s="1"/>
  <c r="CH28" i="1"/>
  <c r="CH8" i="1" s="1"/>
  <c r="CH30" i="1"/>
  <c r="CH10" i="1" s="1"/>
  <c r="CH27" i="1"/>
  <c r="CH31" i="1"/>
  <c r="CI20" i="1"/>
  <c r="CH21" i="1"/>
  <c r="BI14" i="24" l="1"/>
  <c r="CH61" i="1"/>
  <c r="CF146" i="1"/>
  <c r="CG88" i="1"/>
  <c r="CH7" i="1"/>
  <c r="CH12" i="1" s="1"/>
  <c r="CH13" i="1" s="1"/>
  <c r="CI18" i="1"/>
  <c r="CI17" i="1" s="1"/>
  <c r="CH62" i="1" l="1"/>
  <c r="CH91" i="1" s="1"/>
  <c r="CH45" i="1" s="1"/>
  <c r="CH14" i="1"/>
  <c r="CH80" i="1"/>
  <c r="CH84" i="1" s="1"/>
  <c r="CG89" i="1"/>
  <c r="CG99" i="1"/>
  <c r="CG43" i="1"/>
  <c r="CI40" i="1"/>
  <c r="J16" i="5"/>
  <c r="CI25" i="1"/>
  <c r="CI29" i="1" s="1"/>
  <c r="CI9" i="1" s="1"/>
  <c r="CH63" i="1" l="1"/>
  <c r="CH64" i="1" s="1"/>
  <c r="CH41" i="1"/>
  <c r="CH42" i="1" s="1"/>
  <c r="CH32" i="1"/>
  <c r="CG47" i="1"/>
  <c r="CG44" i="1"/>
  <c r="CG46" i="1" s="1"/>
  <c r="CG137" i="1"/>
  <c r="CG140" i="1" s="1"/>
  <c r="CG128" i="1"/>
  <c r="CG143" i="1" s="1"/>
  <c r="CG144" i="1" s="1"/>
  <c r="CH113" i="1"/>
  <c r="CH114" i="1" s="1"/>
  <c r="CH138" i="1" s="1"/>
  <c r="CH86" i="1"/>
  <c r="CH87" i="1"/>
  <c r="BJ10" i="24"/>
  <c r="BJ13" i="24" s="1"/>
  <c r="CI27" i="1"/>
  <c r="CI28" i="1"/>
  <c r="CI8" i="1" s="1"/>
  <c r="CI30" i="1"/>
  <c r="CI10" i="1" s="1"/>
  <c r="CI31" i="1"/>
  <c r="CJ20" i="1"/>
  <c r="CI21" i="1"/>
  <c r="BJ14" i="24" l="1"/>
  <c r="CI61" i="1"/>
  <c r="CG146" i="1"/>
  <c r="CH88" i="1"/>
  <c r="CI7" i="1"/>
  <c r="CI12" i="1" s="1"/>
  <c r="CI13" i="1" s="1"/>
  <c r="CJ18" i="1"/>
  <c r="CJ17" i="1" s="1"/>
  <c r="CI62" i="1" l="1"/>
  <c r="CI91" i="1" s="1"/>
  <c r="CI45" i="1" s="1"/>
  <c r="CI14" i="1"/>
  <c r="CI80" i="1"/>
  <c r="CI84" i="1" s="1"/>
  <c r="CH89" i="1"/>
  <c r="CH99" i="1"/>
  <c r="CH43" i="1"/>
  <c r="CJ25" i="1"/>
  <c r="CJ29" i="1" s="1"/>
  <c r="CJ9" i="1" s="1"/>
  <c r="CJ40" i="1"/>
  <c r="CI63" i="1" l="1"/>
  <c r="CI64" i="1" s="1"/>
  <c r="CI113" i="1"/>
  <c r="CI114" i="1" s="1"/>
  <c r="CI138" i="1" s="1"/>
  <c r="CI32" i="1"/>
  <c r="CI41" i="1"/>
  <c r="CI42" i="1" s="1"/>
  <c r="CH47" i="1"/>
  <c r="CH44" i="1"/>
  <c r="CH46" i="1" s="1"/>
  <c r="CH137" i="1"/>
  <c r="CH140" i="1" s="1"/>
  <c r="CH128" i="1"/>
  <c r="CH143" i="1" s="1"/>
  <c r="CH144" i="1" s="1"/>
  <c r="CI86" i="1"/>
  <c r="CI87" i="1"/>
  <c r="BK10" i="24"/>
  <c r="BK13" i="24" s="1"/>
  <c r="CJ31" i="1"/>
  <c r="CJ28" i="1"/>
  <c r="CJ8" i="1" s="1"/>
  <c r="CJ27" i="1"/>
  <c r="CJ30" i="1"/>
  <c r="CJ10" i="1" s="1"/>
  <c r="CK20" i="1"/>
  <c r="CJ21" i="1"/>
  <c r="BK14" i="24" l="1"/>
  <c r="CJ61" i="1"/>
  <c r="CH146" i="1"/>
  <c r="CI88" i="1"/>
  <c r="CI89" i="1" s="1"/>
  <c r="CJ7" i="1"/>
  <c r="CJ12" i="1" s="1"/>
  <c r="CJ13" i="1" s="1"/>
  <c r="CK18" i="1"/>
  <c r="CK17" i="1" s="1"/>
  <c r="CJ62" i="1" l="1"/>
  <c r="CJ91" i="1" s="1"/>
  <c r="CJ45" i="1" s="1"/>
  <c r="CI99" i="1"/>
  <c r="CI137" i="1" s="1"/>
  <c r="CI140" i="1" s="1"/>
  <c r="CI43" i="1"/>
  <c r="CI47" i="1" s="1"/>
  <c r="CJ14" i="1"/>
  <c r="CJ80" i="1"/>
  <c r="CJ84" i="1" s="1"/>
  <c r="CK40" i="1"/>
  <c r="CK25" i="1"/>
  <c r="CK29" i="1" s="1"/>
  <c r="CK9" i="1" s="1"/>
  <c r="CJ63" i="1" l="1"/>
  <c r="CJ64" i="1" s="1"/>
  <c r="CJ113" i="1"/>
  <c r="CJ114" i="1" s="1"/>
  <c r="CJ138" i="1" s="1"/>
  <c r="CJ32" i="1"/>
  <c r="CI128" i="1"/>
  <c r="CI143" i="1" s="1"/>
  <c r="CI144" i="1" s="1"/>
  <c r="CI146" i="1" s="1"/>
  <c r="CI44" i="1"/>
  <c r="CI46" i="1" s="1"/>
  <c r="CJ41" i="1"/>
  <c r="CJ42" i="1" s="1"/>
  <c r="CJ87" i="1"/>
  <c r="CJ86" i="1"/>
  <c r="CK30" i="1"/>
  <c r="CK10" i="1" s="1"/>
  <c r="CK31" i="1"/>
  <c r="CK28" i="1"/>
  <c r="CK8" i="1" s="1"/>
  <c r="CK27" i="1"/>
  <c r="BL10" i="24"/>
  <c r="BL13" i="24" s="1"/>
  <c r="CK21" i="1"/>
  <c r="CL20" i="1"/>
  <c r="BL14" i="24" l="1"/>
  <c r="CK61" i="1"/>
  <c r="CJ88" i="1"/>
  <c r="CJ89" i="1" s="1"/>
  <c r="CK7" i="1"/>
  <c r="CK12" i="1" s="1"/>
  <c r="CK13" i="1" s="1"/>
  <c r="CL18" i="1"/>
  <c r="CL17" i="1" s="1"/>
  <c r="CK62" i="1" l="1"/>
  <c r="CK91" i="1" s="1"/>
  <c r="CK45" i="1" s="1"/>
  <c r="CJ43" i="1"/>
  <c r="CJ47" i="1" s="1"/>
  <c r="CJ99" i="1"/>
  <c r="CJ130" i="1" s="1"/>
  <c r="CK14" i="1"/>
  <c r="CK80" i="1"/>
  <c r="CK84" i="1" s="1"/>
  <c r="CL40" i="1"/>
  <c r="CL25" i="1"/>
  <c r="CL29" i="1" s="1"/>
  <c r="CL9" i="1" s="1"/>
  <c r="CK63" i="1" l="1"/>
  <c r="CK64" i="1" s="1"/>
  <c r="CK41" i="1"/>
  <c r="CK42" i="1" s="1"/>
  <c r="CK32" i="1"/>
  <c r="CJ44" i="1"/>
  <c r="CJ46" i="1" s="1"/>
  <c r="CJ137" i="1"/>
  <c r="CJ140" i="1" s="1"/>
  <c r="CJ128" i="1"/>
  <c r="CJ143" i="1" s="1"/>
  <c r="CJ144" i="1" s="1"/>
  <c r="CK113" i="1"/>
  <c r="CK114" i="1" s="1"/>
  <c r="CK138" i="1" s="1"/>
  <c r="CK87" i="1"/>
  <c r="CK86" i="1"/>
  <c r="CM20" i="1"/>
  <c r="CM18" i="1" s="1"/>
  <c r="CM17" i="1" s="1"/>
  <c r="BM10" i="24"/>
  <c r="BM13" i="24" s="1"/>
  <c r="CL27" i="1"/>
  <c r="CL28" i="1"/>
  <c r="CL8" i="1" s="1"/>
  <c r="CL31" i="1"/>
  <c r="CL30" i="1"/>
  <c r="CL10" i="1" s="1"/>
  <c r="CL21" i="1"/>
  <c r="BM14" i="24" l="1"/>
  <c r="CL61" i="1"/>
  <c r="CJ146" i="1"/>
  <c r="CK88" i="1"/>
  <c r="CM40" i="1"/>
  <c r="CL7" i="1"/>
  <c r="CL12" i="1" s="1"/>
  <c r="CL13" i="1" s="1"/>
  <c r="CM25" i="1"/>
  <c r="CM29" i="1" s="1"/>
  <c r="CM9" i="1" s="1"/>
  <c r="CL62" i="1" l="1"/>
  <c r="CL91" i="1" s="1"/>
  <c r="CL45" i="1" s="1"/>
  <c r="CL14" i="1"/>
  <c r="CL80" i="1"/>
  <c r="CL84" i="1" s="1"/>
  <c r="CK99" i="1"/>
  <c r="CK89" i="1"/>
  <c r="CK43" i="1"/>
  <c r="BN10" i="24"/>
  <c r="BN13" i="24" s="1"/>
  <c r="CM28" i="1"/>
  <c r="CM8" i="1" s="1"/>
  <c r="CM31" i="1"/>
  <c r="CM27" i="1"/>
  <c r="CM30" i="1"/>
  <c r="CM10" i="1" s="1"/>
  <c r="CN20" i="1"/>
  <c r="CM21" i="1"/>
  <c r="BN14" i="24" l="1"/>
  <c r="CM61" i="1"/>
  <c r="CL63" i="1"/>
  <c r="CL64" i="1" s="1"/>
  <c r="CL41" i="1"/>
  <c r="CL42" i="1" s="1"/>
  <c r="CL32" i="1"/>
  <c r="CL113" i="1"/>
  <c r="CL114" i="1" s="1"/>
  <c r="CL138" i="1" s="1"/>
  <c r="CK47" i="1"/>
  <c r="CK44" i="1"/>
  <c r="CK46" i="1" s="1"/>
  <c r="CK137" i="1"/>
  <c r="CK140" i="1" s="1"/>
  <c r="CK128" i="1"/>
  <c r="CK143" i="1" s="1"/>
  <c r="CK144" i="1" s="1"/>
  <c r="CL87" i="1"/>
  <c r="CL86" i="1"/>
  <c r="CM7" i="1"/>
  <c r="CM12" i="1" s="1"/>
  <c r="CM13" i="1" s="1"/>
  <c r="CN18" i="1"/>
  <c r="CN17" i="1" s="1"/>
  <c r="CM62" i="1" l="1"/>
  <c r="CM91" i="1" s="1"/>
  <c r="CM45" i="1" s="1"/>
  <c r="CK146" i="1"/>
  <c r="CM14" i="1"/>
  <c r="CM32" i="1" s="1"/>
  <c r="CM80" i="1"/>
  <c r="CM84" i="1" s="1"/>
  <c r="CL88" i="1"/>
  <c r="CN25" i="1"/>
  <c r="CN29" i="1" s="1"/>
  <c r="CN9" i="1" s="1"/>
  <c r="CN40" i="1"/>
  <c r="CM113" i="1" l="1"/>
  <c r="CM114" i="1" s="1"/>
  <c r="CM138" i="1" s="1"/>
  <c r="CM63" i="1"/>
  <c r="CM64" i="1" s="1"/>
  <c r="CM41" i="1"/>
  <c r="CM42" i="1" s="1"/>
  <c r="CL89" i="1"/>
  <c r="CL99" i="1"/>
  <c r="CL43" i="1"/>
  <c r="CM86" i="1"/>
  <c r="CM87" i="1"/>
  <c r="BO10" i="24"/>
  <c r="BO13" i="24" s="1"/>
  <c r="CN31" i="1"/>
  <c r="CN28" i="1"/>
  <c r="CN8" i="1" s="1"/>
  <c r="CN30" i="1"/>
  <c r="CN10" i="1" s="1"/>
  <c r="CN27" i="1"/>
  <c r="CO20" i="1"/>
  <c r="CN21" i="1"/>
  <c r="BO14" i="24" l="1"/>
  <c r="CN61" i="1"/>
  <c r="CM88" i="1"/>
  <c r="CM89" i="1" s="1"/>
  <c r="CL44" i="1"/>
  <c r="CL46" i="1" s="1"/>
  <c r="CL47" i="1"/>
  <c r="CL137" i="1"/>
  <c r="CL140" i="1" s="1"/>
  <c r="CL128" i="1"/>
  <c r="CL143" i="1" s="1"/>
  <c r="CL144" i="1" s="1"/>
  <c r="CN7" i="1"/>
  <c r="CN12" i="1" s="1"/>
  <c r="CN13" i="1" s="1"/>
  <c r="CO18" i="1"/>
  <c r="CO17" i="1" s="1"/>
  <c r="CN62" i="1" l="1"/>
  <c r="CN91" i="1" s="1"/>
  <c r="CN45" i="1" s="1"/>
  <c r="CL146" i="1"/>
  <c r="CM43" i="1"/>
  <c r="CM47" i="1" s="1"/>
  <c r="CN14" i="1"/>
  <c r="CN80" i="1"/>
  <c r="CN84" i="1" s="1"/>
  <c r="CM99" i="1"/>
  <c r="CM137" i="1" s="1"/>
  <c r="CM140" i="1" s="1"/>
  <c r="CO40" i="1"/>
  <c r="CO25" i="1"/>
  <c r="CO29" i="1" s="1"/>
  <c r="CO9" i="1" s="1"/>
  <c r="CN63" i="1" l="1"/>
  <c r="CN64" i="1" s="1"/>
  <c r="CN113" i="1"/>
  <c r="CN114" i="1" s="1"/>
  <c r="CN138" i="1" s="1"/>
  <c r="CN32" i="1"/>
  <c r="CM44" i="1"/>
  <c r="CM46" i="1" s="1"/>
  <c r="CN41" i="1"/>
  <c r="CN42" i="1" s="1"/>
  <c r="CM128" i="1"/>
  <c r="CM143" i="1" s="1"/>
  <c r="CM144" i="1" s="1"/>
  <c r="CM146" i="1" s="1"/>
  <c r="CN87" i="1"/>
  <c r="CN86" i="1"/>
  <c r="BP10" i="24"/>
  <c r="BP13" i="24" s="1"/>
  <c r="CO30" i="1"/>
  <c r="CO10" i="1" s="1"/>
  <c r="CO28" i="1"/>
  <c r="CO8" i="1" s="1"/>
  <c r="CO27" i="1"/>
  <c r="CO31" i="1"/>
  <c r="CP20" i="1"/>
  <c r="CO21" i="1"/>
  <c r="BP14" i="24" l="1"/>
  <c r="CO61" i="1"/>
  <c r="CN88" i="1"/>
  <c r="CN89" i="1" s="1"/>
  <c r="CO7" i="1"/>
  <c r="CO12" i="1" s="1"/>
  <c r="CO13" i="1" s="1"/>
  <c r="CP18" i="1"/>
  <c r="CP17" i="1" s="1"/>
  <c r="CO62" i="1" l="1"/>
  <c r="CO91" i="1" s="1"/>
  <c r="CO45" i="1" s="1"/>
  <c r="CN99" i="1"/>
  <c r="CN128" i="1" s="1"/>
  <c r="CN43" i="1"/>
  <c r="CN44" i="1" s="1"/>
  <c r="CN46" i="1" s="1"/>
  <c r="CO14" i="1"/>
  <c r="CO80" i="1"/>
  <c r="CO84" i="1" s="1"/>
  <c r="CP25" i="1"/>
  <c r="CP29" i="1" s="1"/>
  <c r="CP9" i="1" s="1"/>
  <c r="CP40" i="1"/>
  <c r="CO63" i="1" l="1"/>
  <c r="CO64" i="1" s="1"/>
  <c r="CO32" i="1"/>
  <c r="CO41" i="1"/>
  <c r="CO42" i="1" s="1"/>
  <c r="CO113" i="1"/>
  <c r="CO114" i="1" s="1"/>
  <c r="CO138" i="1" s="1"/>
  <c r="CN137" i="1"/>
  <c r="CN140" i="1" s="1"/>
  <c r="CN47" i="1"/>
  <c r="CO86" i="1"/>
  <c r="CO87" i="1"/>
  <c r="CN143" i="1"/>
  <c r="CN144" i="1" s="1"/>
  <c r="BQ10" i="24"/>
  <c r="BQ13" i="24" s="1"/>
  <c r="CP31" i="1"/>
  <c r="CP27" i="1"/>
  <c r="CP28" i="1"/>
  <c r="CP8" i="1" s="1"/>
  <c r="CP30" i="1"/>
  <c r="CP10" i="1" s="1"/>
  <c r="CQ20" i="1"/>
  <c r="CP21" i="1"/>
  <c r="BQ14" i="24" l="1"/>
  <c r="CP61" i="1"/>
  <c r="CN146" i="1"/>
  <c r="CO88" i="1"/>
  <c r="CP7" i="1"/>
  <c r="CP12" i="1" s="1"/>
  <c r="CP13" i="1" s="1"/>
  <c r="CQ18" i="1"/>
  <c r="CQ17" i="1" s="1"/>
  <c r="CP62" i="1" l="1"/>
  <c r="CP91" i="1" s="1"/>
  <c r="CP45" i="1" s="1"/>
  <c r="CP14" i="1"/>
  <c r="CP113" i="1" s="1"/>
  <c r="CP114" i="1" s="1"/>
  <c r="CP138" i="1" s="1"/>
  <c r="CP80" i="1"/>
  <c r="CP84" i="1" s="1"/>
  <c r="CO89" i="1"/>
  <c r="CO43" i="1"/>
  <c r="CO99" i="1"/>
  <c r="CQ25" i="1"/>
  <c r="CQ29" i="1" s="1"/>
  <c r="CQ9" i="1" s="1"/>
  <c r="CQ40" i="1"/>
  <c r="CP63" i="1" l="1"/>
  <c r="CP64" i="1" s="1"/>
  <c r="CP41" i="1"/>
  <c r="CP42" i="1" s="1"/>
  <c r="CP32" i="1"/>
  <c r="CO47" i="1"/>
  <c r="CO44" i="1"/>
  <c r="CO46" i="1" s="1"/>
  <c r="CO137" i="1"/>
  <c r="CO140" i="1" s="1"/>
  <c r="CO128" i="1"/>
  <c r="CO143" i="1" s="1"/>
  <c r="CO144" i="1" s="1"/>
  <c r="CP86" i="1"/>
  <c r="CP87" i="1"/>
  <c r="BR10" i="24"/>
  <c r="BR13" i="24" s="1"/>
  <c r="CQ27" i="1"/>
  <c r="CQ31" i="1"/>
  <c r="CQ30" i="1"/>
  <c r="CQ10" i="1" s="1"/>
  <c r="CQ28" i="1"/>
  <c r="CQ8" i="1" s="1"/>
  <c r="CR20" i="1"/>
  <c r="CQ21" i="1"/>
  <c r="BR14" i="24" l="1"/>
  <c r="CQ61" i="1"/>
  <c r="CO146" i="1"/>
  <c r="CP88" i="1"/>
  <c r="CP89" i="1" s="1"/>
  <c r="CQ7" i="1"/>
  <c r="CQ12" i="1" s="1"/>
  <c r="CQ13" i="1" s="1"/>
  <c r="CR18" i="1"/>
  <c r="CR17" i="1" s="1"/>
  <c r="CQ62" i="1" l="1"/>
  <c r="CQ91" i="1" s="1"/>
  <c r="CQ45" i="1" s="1"/>
  <c r="CP99" i="1"/>
  <c r="CP137" i="1" s="1"/>
  <c r="CP140" i="1" s="1"/>
  <c r="CP43" i="1"/>
  <c r="CP47" i="1" s="1"/>
  <c r="CQ14" i="1"/>
  <c r="CQ80" i="1"/>
  <c r="CQ84" i="1" s="1"/>
  <c r="CR25" i="1"/>
  <c r="CR29" i="1" s="1"/>
  <c r="CR9" i="1" s="1"/>
  <c r="CR40" i="1"/>
  <c r="CQ63" i="1" l="1"/>
  <c r="CQ64" i="1" s="1"/>
  <c r="CQ113" i="1"/>
  <c r="CQ114" i="1" s="1"/>
  <c r="CQ138" i="1" s="1"/>
  <c r="CQ32" i="1"/>
  <c r="CP128" i="1"/>
  <c r="CP143" i="1" s="1"/>
  <c r="CP144" i="1" s="1"/>
  <c r="CP146" i="1" s="1"/>
  <c r="CP44" i="1"/>
  <c r="CP46" i="1" s="1"/>
  <c r="CQ86" i="1"/>
  <c r="CQ87" i="1"/>
  <c r="CQ41" i="1"/>
  <c r="CQ42" i="1" s="1"/>
  <c r="BS10" i="24"/>
  <c r="BS13" i="24" s="1"/>
  <c r="CR27" i="1"/>
  <c r="CR31" i="1"/>
  <c r="CR30" i="1"/>
  <c r="CR10" i="1" s="1"/>
  <c r="CR28" i="1"/>
  <c r="CR8" i="1" s="1"/>
  <c r="CS20" i="1"/>
  <c r="CR21" i="1"/>
  <c r="BS14" i="24" l="1"/>
  <c r="CR61" i="1"/>
  <c r="CQ88" i="1"/>
  <c r="CR7" i="1"/>
  <c r="CR12" i="1" s="1"/>
  <c r="CR13" i="1" s="1"/>
  <c r="CR62" i="1" l="1"/>
  <c r="CR91" i="1" s="1"/>
  <c r="CR45" i="1" s="1"/>
  <c r="CR14" i="1"/>
  <c r="CR80" i="1"/>
  <c r="CR84" i="1" s="1"/>
  <c r="CQ89" i="1"/>
  <c r="CQ99" i="1"/>
  <c r="CQ43" i="1"/>
  <c r="CS18" i="1"/>
  <c r="CS17" i="1" s="1"/>
  <c r="CR63" i="1" l="1"/>
  <c r="CR64" i="1" s="1"/>
  <c r="CR41" i="1"/>
  <c r="CR42" i="1" s="1"/>
  <c r="CR32" i="1"/>
  <c r="CR113" i="1"/>
  <c r="CR114" i="1" s="1"/>
  <c r="CR138" i="1" s="1"/>
  <c r="CQ47" i="1"/>
  <c r="CQ44" i="1"/>
  <c r="CQ46" i="1" s="1"/>
  <c r="CQ137" i="1"/>
  <c r="CQ140" i="1" s="1"/>
  <c r="CQ128" i="1"/>
  <c r="CQ143" i="1" s="1"/>
  <c r="CQ144" i="1" s="1"/>
  <c r="CR86" i="1"/>
  <c r="CR87" i="1"/>
  <c r="CS40" i="1"/>
  <c r="CS25" i="1"/>
  <c r="CS29" i="1" s="1"/>
  <c r="CS9" i="1" s="1"/>
  <c r="CR88" i="1" l="1"/>
  <c r="CR89" i="1" s="1"/>
  <c r="CQ146" i="1"/>
  <c r="BT10" i="24"/>
  <c r="BT13" i="24" s="1"/>
  <c r="CS28" i="1"/>
  <c r="CS8" i="1" s="1"/>
  <c r="CS30" i="1"/>
  <c r="CS10" i="1" s="1"/>
  <c r="CS27" i="1"/>
  <c r="CS31" i="1"/>
  <c r="CT20" i="1"/>
  <c r="CS21" i="1"/>
  <c r="BT14" i="24" l="1"/>
  <c r="CS61" i="1"/>
  <c r="CR99" i="1"/>
  <c r="CR128" i="1" s="1"/>
  <c r="CR143" i="1" s="1"/>
  <c r="CR144" i="1" s="1"/>
  <c r="CR43" i="1"/>
  <c r="CR44" i="1" s="1"/>
  <c r="CR46" i="1" s="1"/>
  <c r="CS7" i="1"/>
  <c r="CS12" i="1" s="1"/>
  <c r="CS13" i="1" s="1"/>
  <c r="CS62" i="1" l="1"/>
  <c r="CS91" i="1" s="1"/>
  <c r="CS45" i="1" s="1"/>
  <c r="CR47" i="1"/>
  <c r="CR137" i="1"/>
  <c r="CR140" i="1" s="1"/>
  <c r="CR146" i="1" s="1"/>
  <c r="CS14" i="1"/>
  <c r="CS80" i="1"/>
  <c r="CS84" i="1" s="1"/>
  <c r="CT18" i="1"/>
  <c r="CT17" i="1" s="1"/>
  <c r="CS63" i="1" l="1"/>
  <c r="CS64" i="1" s="1"/>
  <c r="CS113" i="1"/>
  <c r="CS114" i="1" s="1"/>
  <c r="CS138" i="1" s="1"/>
  <c r="CS32" i="1"/>
  <c r="CS86" i="1"/>
  <c r="CS87" i="1"/>
  <c r="CS41" i="1"/>
  <c r="CS42" i="1" s="1"/>
  <c r="CT40" i="1"/>
  <c r="CT25" i="1"/>
  <c r="CT29" i="1" s="1"/>
  <c r="CT9" i="1" s="1"/>
  <c r="CS88" i="1" l="1"/>
  <c r="BU10" i="24"/>
  <c r="BU13" i="24" s="1"/>
  <c r="CT27" i="1"/>
  <c r="CT31" i="1"/>
  <c r="CT30" i="1"/>
  <c r="CT10" i="1" s="1"/>
  <c r="CT28" i="1"/>
  <c r="CT8" i="1" s="1"/>
  <c r="CU20" i="1"/>
  <c r="CT21" i="1"/>
  <c r="BU14" i="24" l="1"/>
  <c r="CT61" i="1"/>
  <c r="CS89" i="1"/>
  <c r="CS43" i="1"/>
  <c r="CS99" i="1"/>
  <c r="CT7" i="1"/>
  <c r="CT12" i="1" s="1"/>
  <c r="CT13" i="1" s="1"/>
  <c r="CT62" i="1" l="1"/>
  <c r="CT91" i="1" s="1"/>
  <c r="CT45" i="1" s="1"/>
  <c r="CS137" i="1"/>
  <c r="CS140" i="1" s="1"/>
  <c r="CS128" i="1"/>
  <c r="CS143" i="1" s="1"/>
  <c r="CS144" i="1" s="1"/>
  <c r="CS47" i="1"/>
  <c r="CS44" i="1"/>
  <c r="CS46" i="1" s="1"/>
  <c r="CT14" i="1"/>
  <c r="CT80" i="1"/>
  <c r="CT84" i="1" s="1"/>
  <c r="CU18" i="1"/>
  <c r="CU17" i="1" s="1"/>
  <c r="CT63" i="1" l="1"/>
  <c r="CT64" i="1" s="1"/>
  <c r="CT32" i="1"/>
  <c r="CT113" i="1"/>
  <c r="CT114" i="1" s="1"/>
  <c r="CT138" i="1" s="1"/>
  <c r="CS146" i="1"/>
  <c r="CT87" i="1"/>
  <c r="CT86" i="1"/>
  <c r="CT41" i="1"/>
  <c r="CT42" i="1" s="1"/>
  <c r="CU40" i="1"/>
  <c r="K16" i="5"/>
  <c r="CU25" i="1"/>
  <c r="CU29" i="1" s="1"/>
  <c r="CU9" i="1" s="1"/>
  <c r="CT88" i="1" l="1"/>
  <c r="BV10" i="24"/>
  <c r="BV13" i="24" s="1"/>
  <c r="CU30" i="1"/>
  <c r="CU10" i="1" s="1"/>
  <c r="CU31" i="1"/>
  <c r="CU28" i="1"/>
  <c r="CU8" i="1" s="1"/>
  <c r="CU27" i="1"/>
  <c r="CV20" i="1"/>
  <c r="CU21" i="1"/>
  <c r="BV14" i="24" l="1"/>
  <c r="CU61" i="1"/>
  <c r="CT89" i="1"/>
  <c r="CT99" i="1"/>
  <c r="CT43" i="1"/>
  <c r="CU7" i="1"/>
  <c r="CU12" i="1" s="1"/>
  <c r="CU13" i="1" s="1"/>
  <c r="CV18" i="1"/>
  <c r="CV17" i="1" s="1"/>
  <c r="CU62" i="1" l="1"/>
  <c r="CU91" i="1" s="1"/>
  <c r="CU45" i="1" s="1"/>
  <c r="CU14" i="1"/>
  <c r="CU80" i="1"/>
  <c r="CU84" i="1" s="1"/>
  <c r="CT44" i="1"/>
  <c r="CT46" i="1" s="1"/>
  <c r="CT47" i="1"/>
  <c r="CT137" i="1"/>
  <c r="CT140" i="1" s="1"/>
  <c r="CT128" i="1"/>
  <c r="CT143" i="1" s="1"/>
  <c r="CT144" i="1" s="1"/>
  <c r="CV25" i="1"/>
  <c r="CV29" i="1" s="1"/>
  <c r="CV9" i="1" s="1"/>
  <c r="CV40" i="1"/>
  <c r="CU63" i="1" l="1"/>
  <c r="CU64" i="1" s="1"/>
  <c r="CT146" i="1"/>
  <c r="CU32" i="1"/>
  <c r="CU113" i="1"/>
  <c r="CU114" i="1" s="1"/>
  <c r="CU138" i="1" s="1"/>
  <c r="CU41" i="1"/>
  <c r="CU42" i="1" s="1"/>
  <c r="CU86" i="1"/>
  <c r="CU87" i="1"/>
  <c r="BW10" i="24"/>
  <c r="BW13" i="24" s="1"/>
  <c r="CV30" i="1"/>
  <c r="CV10" i="1" s="1"/>
  <c r="CV27" i="1"/>
  <c r="CV28" i="1"/>
  <c r="CV8" i="1" s="1"/>
  <c r="CV31" i="1"/>
  <c r="CW20" i="1"/>
  <c r="CV21" i="1"/>
  <c r="BW14" i="24" l="1"/>
  <c r="CV61" i="1"/>
  <c r="CU88" i="1"/>
  <c r="CV7" i="1"/>
  <c r="CV12" i="1" s="1"/>
  <c r="CV13" i="1" s="1"/>
  <c r="CV62" i="1" l="1"/>
  <c r="CV91" i="1" s="1"/>
  <c r="CV45" i="1" s="1"/>
  <c r="CV14" i="1"/>
  <c r="CV80" i="1"/>
  <c r="CV84" i="1" s="1"/>
  <c r="CU89" i="1"/>
  <c r="CU43" i="1"/>
  <c r="CU99" i="1"/>
  <c r="CW18" i="1"/>
  <c r="CW17" i="1" s="1"/>
  <c r="CV63" i="1" l="1"/>
  <c r="CV64" i="1" s="1"/>
  <c r="CV32" i="1"/>
  <c r="CV113" i="1"/>
  <c r="CV114" i="1" s="1"/>
  <c r="CV138" i="1" s="1"/>
  <c r="CV41" i="1"/>
  <c r="CV42" i="1" s="1"/>
  <c r="CU137" i="1"/>
  <c r="CU140" i="1" s="1"/>
  <c r="CU128" i="1"/>
  <c r="CU143" i="1" s="1"/>
  <c r="CU144" i="1" s="1"/>
  <c r="CU47" i="1"/>
  <c r="CU44" i="1"/>
  <c r="CU46" i="1" s="1"/>
  <c r="CV87" i="1"/>
  <c r="CV86" i="1"/>
  <c r="CW25" i="1"/>
  <c r="CW29" i="1" s="1"/>
  <c r="CW9" i="1" s="1"/>
  <c r="CW40" i="1"/>
  <c r="CV88" i="1" l="1"/>
  <c r="CV89" i="1" s="1"/>
  <c r="CU146" i="1"/>
  <c r="BX10" i="24"/>
  <c r="BX13" i="24" s="1"/>
  <c r="CW28" i="1"/>
  <c r="CW8" i="1" s="1"/>
  <c r="CW31" i="1"/>
  <c r="CW27" i="1"/>
  <c r="CW30" i="1"/>
  <c r="CW10" i="1" s="1"/>
  <c r="CX20" i="1"/>
  <c r="CW21" i="1"/>
  <c r="BX14" i="24" l="1"/>
  <c r="CW61" i="1"/>
  <c r="CV99" i="1"/>
  <c r="CV137" i="1" s="1"/>
  <c r="CV140" i="1" s="1"/>
  <c r="CV43" i="1"/>
  <c r="CV47" i="1" s="1"/>
  <c r="CW7" i="1"/>
  <c r="CW12" i="1" s="1"/>
  <c r="CW13" i="1" s="1"/>
  <c r="CW62" i="1" l="1"/>
  <c r="CW91" i="1" s="1"/>
  <c r="CW45" i="1" s="1"/>
  <c r="CV128" i="1"/>
  <c r="CV143" i="1" s="1"/>
  <c r="CV144" i="1" s="1"/>
  <c r="CV146" i="1" s="1"/>
  <c r="CV130" i="1"/>
  <c r="CV44" i="1"/>
  <c r="CV46" i="1" s="1"/>
  <c r="CW14" i="1"/>
  <c r="CW80" i="1"/>
  <c r="CW84" i="1" s="1"/>
  <c r="CX18" i="1"/>
  <c r="CX17" i="1" s="1"/>
  <c r="CW63" i="1" l="1"/>
  <c r="CW64" i="1" s="1"/>
  <c r="CW113" i="1"/>
  <c r="CW114" i="1" s="1"/>
  <c r="CW138" i="1" s="1"/>
  <c r="CW32" i="1"/>
  <c r="CW41" i="1"/>
  <c r="CW86" i="1"/>
  <c r="CW87" i="1"/>
  <c r="CX25" i="1"/>
  <c r="CX29" i="1" s="1"/>
  <c r="CX9" i="1" s="1"/>
  <c r="CW42" i="1"/>
  <c r="CX40" i="1"/>
  <c r="CW88" i="1" l="1"/>
  <c r="CW89" i="1" s="1"/>
  <c r="BY10" i="24"/>
  <c r="BY13" i="24" s="1"/>
  <c r="CX30" i="1"/>
  <c r="CX10" i="1" s="1"/>
  <c r="CX28" i="1"/>
  <c r="CX8" i="1" s="1"/>
  <c r="CX27" i="1"/>
  <c r="CX31" i="1"/>
  <c r="CY20" i="1"/>
  <c r="CX21" i="1"/>
  <c r="BY14" i="24" l="1"/>
  <c r="CX61" i="1"/>
  <c r="CW43" i="1"/>
  <c r="CW44" i="1" s="1"/>
  <c r="CW46" i="1" s="1"/>
  <c r="CW99" i="1"/>
  <c r="CW137" i="1" s="1"/>
  <c r="CW140" i="1" s="1"/>
  <c r="CX7" i="1"/>
  <c r="CX12" i="1" s="1"/>
  <c r="CX13" i="1" s="1"/>
  <c r="CW47" i="1"/>
  <c r="CY18" i="1"/>
  <c r="CY17" i="1" s="1"/>
  <c r="CX62" i="1" l="1"/>
  <c r="CX91" i="1" s="1"/>
  <c r="CX45" i="1" s="1"/>
  <c r="CW128" i="1"/>
  <c r="CW143" i="1" s="1"/>
  <c r="CW144" i="1" s="1"/>
  <c r="CW146" i="1" s="1"/>
  <c r="CX14" i="1"/>
  <c r="CX80" i="1"/>
  <c r="CX84" i="1" s="1"/>
  <c r="CY40" i="1"/>
  <c r="CY25" i="1"/>
  <c r="CY29" i="1" s="1"/>
  <c r="CY9" i="1" s="1"/>
  <c r="CX41" i="1"/>
  <c r="CX63" i="1" l="1"/>
  <c r="CX64" i="1" s="1"/>
  <c r="CX113" i="1"/>
  <c r="CX114" i="1" s="1"/>
  <c r="CX138" i="1" s="1"/>
  <c r="CX32" i="1"/>
  <c r="CX86" i="1"/>
  <c r="CX87" i="1"/>
  <c r="CZ20" i="1"/>
  <c r="BZ10" i="24"/>
  <c r="BZ13" i="24" s="1"/>
  <c r="CY31" i="1"/>
  <c r="CY28" i="1"/>
  <c r="CY8" i="1" s="1"/>
  <c r="CY30" i="1"/>
  <c r="CY10" i="1" s="1"/>
  <c r="CY27" i="1"/>
  <c r="CX42" i="1"/>
  <c r="CY21" i="1"/>
  <c r="BZ14" i="24" l="1"/>
  <c r="CY61" i="1"/>
  <c r="CX88" i="1"/>
  <c r="CX89" i="1" s="1"/>
  <c r="CY7" i="1"/>
  <c r="CY12" i="1" s="1"/>
  <c r="CY13" i="1" s="1"/>
  <c r="CZ18" i="1"/>
  <c r="CZ17" i="1" s="1"/>
  <c r="CY62" i="1" l="1"/>
  <c r="CY91" i="1" s="1"/>
  <c r="CY45" i="1" s="1"/>
  <c r="CX43" i="1"/>
  <c r="CX47" i="1" s="1"/>
  <c r="CX99" i="1"/>
  <c r="CX137" i="1" s="1"/>
  <c r="CX140" i="1" s="1"/>
  <c r="CY14" i="1"/>
  <c r="CY80" i="1"/>
  <c r="CY84" i="1" s="1"/>
  <c r="CZ40" i="1"/>
  <c r="CZ25" i="1"/>
  <c r="CZ29" i="1" s="1"/>
  <c r="CZ9" i="1" s="1"/>
  <c r="CY63" i="1" l="1"/>
  <c r="CY64" i="1" s="1"/>
  <c r="CY113" i="1"/>
  <c r="CY114" i="1" s="1"/>
  <c r="CY138" i="1" s="1"/>
  <c r="CY32" i="1"/>
  <c r="CX44" i="1"/>
  <c r="CX46" i="1" s="1"/>
  <c r="CX128" i="1"/>
  <c r="CX143" i="1" s="1"/>
  <c r="CX144" i="1" s="1"/>
  <c r="CX146" i="1" s="1"/>
  <c r="CY41" i="1"/>
  <c r="CY42" i="1" s="1"/>
  <c r="CY86" i="1"/>
  <c r="CY87" i="1"/>
  <c r="DA20" i="1"/>
  <c r="CA10" i="24"/>
  <c r="CA13" i="24" s="1"/>
  <c r="CZ31" i="1"/>
  <c r="CZ30" i="1"/>
  <c r="CZ10" i="1" s="1"/>
  <c r="CZ27" i="1"/>
  <c r="CZ28" i="1"/>
  <c r="CZ8" i="1" s="1"/>
  <c r="CZ21" i="1"/>
  <c r="CA14" i="24" l="1"/>
  <c r="CZ61" i="1"/>
  <c r="CY88" i="1"/>
  <c r="CY89" i="1" s="1"/>
  <c r="CZ7" i="1"/>
  <c r="CZ12" i="1" s="1"/>
  <c r="CZ13" i="1" s="1"/>
  <c r="CZ62" i="1" l="1"/>
  <c r="CZ91" i="1" s="1"/>
  <c r="CZ45" i="1" s="1"/>
  <c r="CY43" i="1"/>
  <c r="CY44" i="1" s="1"/>
  <c r="CY46" i="1" s="1"/>
  <c r="CY99" i="1"/>
  <c r="CY137" i="1" s="1"/>
  <c r="CY140" i="1" s="1"/>
  <c r="CZ14" i="1"/>
  <c r="CZ80" i="1"/>
  <c r="CZ84" i="1" s="1"/>
  <c r="DA18" i="1"/>
  <c r="DA17" i="1" s="1"/>
  <c r="CZ63" i="1" l="1"/>
  <c r="CZ64" i="1" s="1"/>
  <c r="CZ113" i="1"/>
  <c r="CZ114" i="1" s="1"/>
  <c r="CZ138" i="1" s="1"/>
  <c r="CZ32" i="1"/>
  <c r="CZ41" i="1"/>
  <c r="CZ42" i="1" s="1"/>
  <c r="CY47" i="1"/>
  <c r="CY128" i="1"/>
  <c r="CY143" i="1" s="1"/>
  <c r="CY144" i="1" s="1"/>
  <c r="CY146" i="1" s="1"/>
  <c r="CZ86" i="1"/>
  <c r="CZ87" i="1"/>
  <c r="DA25" i="1"/>
  <c r="DA29" i="1" s="1"/>
  <c r="DA9" i="1" s="1"/>
  <c r="DA40" i="1"/>
  <c r="CZ88" i="1" l="1"/>
  <c r="CZ99" i="1" s="1"/>
  <c r="CZ128" i="1" s="1"/>
  <c r="CZ143" i="1" s="1"/>
  <c r="CZ144" i="1" s="1"/>
  <c r="CB10" i="24"/>
  <c r="CB13" i="24" s="1"/>
  <c r="DA28" i="1"/>
  <c r="DA8" i="1" s="1"/>
  <c r="DA31" i="1"/>
  <c r="DA27" i="1"/>
  <c r="DA30" i="1"/>
  <c r="DA10" i="1" s="1"/>
  <c r="DB20" i="1"/>
  <c r="DA21" i="1"/>
  <c r="CB14" i="24" l="1"/>
  <c r="DA61" i="1"/>
  <c r="CZ137" i="1"/>
  <c r="CZ140" i="1" s="1"/>
  <c r="CZ146" i="1" s="1"/>
  <c r="CZ43" i="1"/>
  <c r="CZ44" i="1" s="1"/>
  <c r="CZ46" i="1" s="1"/>
  <c r="CZ89" i="1"/>
  <c r="DA7" i="1"/>
  <c r="DA12" i="1" s="1"/>
  <c r="DA13" i="1" s="1"/>
  <c r="DA62" i="1" l="1"/>
  <c r="DA91" i="1" s="1"/>
  <c r="DA45" i="1" s="1"/>
  <c r="CZ47" i="1"/>
  <c r="DA14" i="1"/>
  <c r="DA80" i="1"/>
  <c r="DA84" i="1" s="1"/>
  <c r="DB18" i="1"/>
  <c r="DB17" i="1" s="1"/>
  <c r="DA63" i="1" l="1"/>
  <c r="DA64" i="1" s="1"/>
  <c r="DA32" i="1"/>
  <c r="DA113" i="1"/>
  <c r="DA114" i="1" s="1"/>
  <c r="DA138" i="1" s="1"/>
  <c r="DA41" i="1"/>
  <c r="DA42" i="1" s="1"/>
  <c r="DA86" i="1"/>
  <c r="DA87" i="1"/>
  <c r="DB25" i="1"/>
  <c r="DB29" i="1" s="1"/>
  <c r="DB9" i="1" s="1"/>
  <c r="DB40" i="1"/>
  <c r="DA88" i="1" l="1"/>
  <c r="CC10" i="24"/>
  <c r="CC13" i="24" s="1"/>
  <c r="DB27" i="1"/>
  <c r="DB30" i="1"/>
  <c r="DB10" i="1" s="1"/>
  <c r="DB31" i="1"/>
  <c r="DB28" i="1"/>
  <c r="DB8" i="1" s="1"/>
  <c r="DC20" i="1"/>
  <c r="DB21" i="1"/>
  <c r="CC14" i="24" l="1"/>
  <c r="DB61" i="1"/>
  <c r="DA89" i="1"/>
  <c r="DA99" i="1"/>
  <c r="DA43" i="1"/>
  <c r="DB7" i="1"/>
  <c r="DB12" i="1" s="1"/>
  <c r="DB13" i="1" s="1"/>
  <c r="DB62" i="1" l="1"/>
  <c r="DB91" i="1" s="1"/>
  <c r="DB45" i="1" s="1"/>
  <c r="DB14" i="1"/>
  <c r="DB80" i="1"/>
  <c r="DB84" i="1" s="1"/>
  <c r="DA44" i="1"/>
  <c r="DA46" i="1" s="1"/>
  <c r="DA47" i="1"/>
  <c r="DA137" i="1"/>
  <c r="DA140" i="1" s="1"/>
  <c r="DA128" i="1"/>
  <c r="DA143" i="1" s="1"/>
  <c r="DA144" i="1" s="1"/>
  <c r="DC18" i="1"/>
  <c r="DC17" i="1" s="1"/>
  <c r="DB63" i="1" l="1"/>
  <c r="DB64" i="1" s="1"/>
  <c r="DB32" i="1"/>
  <c r="DA146" i="1"/>
  <c r="DB41" i="1"/>
  <c r="DB42" i="1" s="1"/>
  <c r="DB113" i="1"/>
  <c r="DB114" i="1" s="1"/>
  <c r="DB138" i="1" s="1"/>
  <c r="DB86" i="1"/>
  <c r="DB87" i="1"/>
  <c r="DC25" i="1"/>
  <c r="DC29" i="1" s="1"/>
  <c r="DC9" i="1" s="1"/>
  <c r="DC40" i="1"/>
  <c r="DB88" i="1" l="1"/>
  <c r="CD10" i="24"/>
  <c r="CD13" i="24" s="1"/>
  <c r="DC30" i="1"/>
  <c r="DC10" i="1" s="1"/>
  <c r="DC28" i="1"/>
  <c r="DC8" i="1" s="1"/>
  <c r="DC31" i="1"/>
  <c r="DC27" i="1"/>
  <c r="DD20" i="1"/>
  <c r="DC21" i="1"/>
  <c r="CD14" i="24" l="1"/>
  <c r="DC61" i="1"/>
  <c r="DB99" i="1"/>
  <c r="DB89" i="1"/>
  <c r="DB43" i="1"/>
  <c r="DC7" i="1"/>
  <c r="DC12" i="1" s="1"/>
  <c r="DC13" i="1" s="1"/>
  <c r="DC62" i="1" l="1"/>
  <c r="DC91" i="1" s="1"/>
  <c r="DC45" i="1" s="1"/>
  <c r="DC14" i="1"/>
  <c r="DC80" i="1"/>
  <c r="DC84" i="1" s="1"/>
  <c r="DB47" i="1"/>
  <c r="DB44" i="1"/>
  <c r="DB46" i="1" s="1"/>
  <c r="DB128" i="1"/>
  <c r="DB143" i="1" s="1"/>
  <c r="DB144" i="1" s="1"/>
  <c r="DB137" i="1"/>
  <c r="DB140" i="1" s="1"/>
  <c r="DD18" i="1"/>
  <c r="DD17" i="1" s="1"/>
  <c r="DC63" i="1" l="1"/>
  <c r="DC64" i="1" s="1"/>
  <c r="DC41" i="1"/>
  <c r="DC42" i="1" s="1"/>
  <c r="DC32" i="1"/>
  <c r="DC113" i="1"/>
  <c r="DC114" i="1" s="1"/>
  <c r="DC138" i="1" s="1"/>
  <c r="DB146" i="1"/>
  <c r="DC86" i="1"/>
  <c r="DC87" i="1"/>
  <c r="DD40" i="1"/>
  <c r="DD25" i="1"/>
  <c r="DD29" i="1" s="1"/>
  <c r="DD9" i="1" s="1"/>
  <c r="DC88" i="1" l="1"/>
  <c r="CE10" i="24"/>
  <c r="CE13" i="24" s="1"/>
  <c r="DD30" i="1"/>
  <c r="DD10" i="1" s="1"/>
  <c r="DD31" i="1"/>
  <c r="DD27" i="1"/>
  <c r="DD28" i="1"/>
  <c r="DD8" i="1" s="1"/>
  <c r="DE20" i="1"/>
  <c r="DD21" i="1"/>
  <c r="CE14" i="24" l="1"/>
  <c r="DD61" i="1"/>
  <c r="DC89" i="1"/>
  <c r="DC43" i="1"/>
  <c r="DC99" i="1"/>
  <c r="DD7" i="1"/>
  <c r="DD12" i="1" s="1"/>
  <c r="DD13" i="1" s="1"/>
  <c r="DE18" i="1"/>
  <c r="DE17" i="1" s="1"/>
  <c r="DD62" i="1" l="1"/>
  <c r="DD91" i="1" s="1"/>
  <c r="DD45" i="1" s="1"/>
  <c r="DD14" i="1"/>
  <c r="DD80" i="1"/>
  <c r="DD84" i="1" s="1"/>
  <c r="DC137" i="1"/>
  <c r="DC140" i="1" s="1"/>
  <c r="DC128" i="1"/>
  <c r="DC143" i="1" s="1"/>
  <c r="DC144" i="1" s="1"/>
  <c r="DC44" i="1"/>
  <c r="DC46" i="1" s="1"/>
  <c r="DC47" i="1"/>
  <c r="DE40" i="1"/>
  <c r="DE25" i="1"/>
  <c r="DE29" i="1" s="1"/>
  <c r="DE9" i="1" s="1"/>
  <c r="DD63" i="1" l="1"/>
  <c r="DD64" i="1" s="1"/>
  <c r="DD41" i="1"/>
  <c r="DD42" i="1" s="1"/>
  <c r="DD32" i="1"/>
  <c r="DC146" i="1"/>
  <c r="DD113" i="1"/>
  <c r="DD114" i="1" s="1"/>
  <c r="DD138" i="1" s="1"/>
  <c r="DD86" i="1"/>
  <c r="DD87" i="1"/>
  <c r="DF20" i="1"/>
  <c r="CF10" i="24"/>
  <c r="CF13" i="24" s="1"/>
  <c r="DE27" i="1"/>
  <c r="DE30" i="1"/>
  <c r="DE10" i="1" s="1"/>
  <c r="DE28" i="1"/>
  <c r="DE8" i="1" s="1"/>
  <c r="DE31" i="1"/>
  <c r="DE21" i="1"/>
  <c r="CF14" i="24" l="1"/>
  <c r="DE61" i="1"/>
  <c r="DD88" i="1"/>
  <c r="DD99" i="1" s="1"/>
  <c r="DE7" i="1"/>
  <c r="DE12" i="1" s="1"/>
  <c r="DE13" i="1" s="1"/>
  <c r="DF18" i="1"/>
  <c r="DF17" i="1" s="1"/>
  <c r="DE62" i="1" l="1"/>
  <c r="DE91" i="1" s="1"/>
  <c r="DE45" i="1" s="1"/>
  <c r="DD128" i="1"/>
  <c r="DD143" i="1" s="1"/>
  <c r="DD144" i="1" s="1"/>
  <c r="DD137" i="1"/>
  <c r="DD140" i="1" s="1"/>
  <c r="DD89" i="1"/>
  <c r="DD43" i="1"/>
  <c r="DE14" i="1"/>
  <c r="DE80" i="1"/>
  <c r="DE84" i="1" s="1"/>
  <c r="DF25" i="1"/>
  <c r="DF29" i="1" s="1"/>
  <c r="DF9" i="1" s="1"/>
  <c r="DF40" i="1"/>
  <c r="DE63" i="1" l="1"/>
  <c r="DE64" i="1" s="1"/>
  <c r="DE41" i="1"/>
  <c r="DE42" i="1" s="1"/>
  <c r="DE32" i="1"/>
  <c r="DD146" i="1"/>
  <c r="DD44" i="1"/>
  <c r="DD46" i="1" s="1"/>
  <c r="DD47" i="1"/>
  <c r="DE86" i="1"/>
  <c r="DE87" i="1"/>
  <c r="DE113" i="1"/>
  <c r="DE114" i="1" s="1"/>
  <c r="DE138" i="1" s="1"/>
  <c r="CG10" i="24"/>
  <c r="CG13" i="24" s="1"/>
  <c r="DF28" i="1"/>
  <c r="DF8" i="1" s="1"/>
  <c r="DF27" i="1"/>
  <c r="DF30" i="1"/>
  <c r="DF10" i="1" s="1"/>
  <c r="DF31" i="1"/>
  <c r="DG20" i="1"/>
  <c r="DF21" i="1"/>
  <c r="CG14" i="24" l="1"/>
  <c r="DF61" i="1"/>
  <c r="DE88" i="1"/>
  <c r="DE89" i="1" s="1"/>
  <c r="DF7" i="1"/>
  <c r="DF12" i="1" s="1"/>
  <c r="DF13" i="1" s="1"/>
  <c r="DG18" i="1"/>
  <c r="DG17" i="1" s="1"/>
  <c r="DF62" i="1" l="1"/>
  <c r="DF91" i="1" s="1"/>
  <c r="DF45" i="1" s="1"/>
  <c r="DE43" i="1"/>
  <c r="DE47" i="1" s="1"/>
  <c r="DE99" i="1"/>
  <c r="DE137" i="1" s="1"/>
  <c r="DE140" i="1" s="1"/>
  <c r="DF14" i="1"/>
  <c r="DF80" i="1"/>
  <c r="DF84" i="1" s="1"/>
  <c r="DG25" i="1"/>
  <c r="DG29" i="1" s="1"/>
  <c r="DG9" i="1" s="1"/>
  <c r="L16" i="5"/>
  <c r="DG40" i="1"/>
  <c r="G24" i="5"/>
  <c r="G26" i="5" s="1"/>
  <c r="H24" i="5"/>
  <c r="H26" i="5" s="1"/>
  <c r="I24" i="5"/>
  <c r="I26" i="5" s="1"/>
  <c r="J24" i="5"/>
  <c r="J26" i="5" s="1"/>
  <c r="K24" i="5"/>
  <c r="K26" i="5" s="1"/>
  <c r="DF63" i="1" l="1"/>
  <c r="DF64" i="1" s="1"/>
  <c r="DF113" i="1"/>
  <c r="DF114" i="1" s="1"/>
  <c r="DF138" i="1" s="1"/>
  <c r="DF32" i="1"/>
  <c r="DE44" i="1"/>
  <c r="DE46" i="1" s="1"/>
  <c r="DE128" i="1"/>
  <c r="DE143" i="1" s="1"/>
  <c r="DE144" i="1" s="1"/>
  <c r="DE146" i="1" s="1"/>
  <c r="CH10" i="24"/>
  <c r="CH13" i="24" s="1"/>
  <c r="DG28" i="1"/>
  <c r="DG8" i="1" s="1"/>
  <c r="DG21" i="1"/>
  <c r="DG30" i="1"/>
  <c r="DG10" i="1" s="1"/>
  <c r="DG27" i="1"/>
  <c r="DF41" i="1"/>
  <c r="DF42" i="1" s="1"/>
  <c r="DG31" i="1"/>
  <c r="DF86" i="1"/>
  <c r="DF87" i="1"/>
  <c r="F24" i="5"/>
  <c r="F26" i="5" s="1"/>
  <c r="G13" i="5"/>
  <c r="H13" i="5"/>
  <c r="I13" i="5"/>
  <c r="J13" i="5"/>
  <c r="K13" i="5"/>
  <c r="CH14" i="24" l="1"/>
  <c r="DG61" i="1"/>
  <c r="DG7" i="1"/>
  <c r="DG12" i="1" s="1"/>
  <c r="DG80" i="1" s="1"/>
  <c r="DG84" i="1" s="1"/>
  <c r="DF88" i="1"/>
  <c r="DF89" i="1" s="1"/>
  <c r="DG62" i="1" l="1"/>
  <c r="DG91" i="1" s="1"/>
  <c r="DG45" i="1" s="1"/>
  <c r="DG87" i="1"/>
  <c r="L13" i="5"/>
  <c r="DG13" i="1"/>
  <c r="DG14" i="1" s="1"/>
  <c r="L24" i="5"/>
  <c r="L26" i="5" s="1"/>
  <c r="DF43" i="1"/>
  <c r="G14" i="5"/>
  <c r="G15" i="5" s="1"/>
  <c r="H14" i="5"/>
  <c r="H15" i="5" s="1"/>
  <c r="I14" i="5"/>
  <c r="I15" i="5" s="1"/>
  <c r="J14" i="5"/>
  <c r="J15" i="5" s="1"/>
  <c r="K14" i="5"/>
  <c r="K15" i="5" s="1"/>
  <c r="DF99" i="1"/>
  <c r="L14" i="5" l="1"/>
  <c r="L15" i="5" s="1"/>
  <c r="L17" i="5" s="1"/>
  <c r="F19" i="5"/>
  <c r="G19" i="5"/>
  <c r="G20" i="5" s="1"/>
  <c r="H19" i="5"/>
  <c r="H20" i="5" s="1"/>
  <c r="I19" i="5"/>
  <c r="I20" i="5" s="1"/>
  <c r="J19" i="5"/>
  <c r="J20" i="5" s="1"/>
  <c r="K19" i="5"/>
  <c r="K20" i="5" s="1"/>
  <c r="L19" i="5"/>
  <c r="DG63" i="1"/>
  <c r="DG64" i="1" s="1"/>
  <c r="DG113" i="1"/>
  <c r="DG114" i="1" s="1"/>
  <c r="DG138" i="1" s="1"/>
  <c r="DG32" i="1"/>
  <c r="DG86" i="1"/>
  <c r="DG41" i="1"/>
  <c r="DG42" i="1" s="1"/>
  <c r="J17" i="5"/>
  <c r="I17" i="5"/>
  <c r="DF44" i="1"/>
  <c r="DF46" i="1" s="1"/>
  <c r="DF47" i="1"/>
  <c r="K17" i="5"/>
  <c r="H17" i="5"/>
  <c r="DF137" i="1"/>
  <c r="DF140" i="1" s="1"/>
  <c r="DF128" i="1"/>
  <c r="DF143" i="1" s="1"/>
  <c r="DF144" i="1" s="1"/>
  <c r="E24" i="5"/>
  <c r="E26" i="5" s="1"/>
  <c r="AA43" i="1"/>
  <c r="AA47" i="1" s="1"/>
  <c r="N19" i="15"/>
  <c r="N20" i="15" s="1"/>
  <c r="N22" i="15" s="1"/>
  <c r="N19" i="6"/>
  <c r="N21" i="6" s="1"/>
  <c r="N23" i="6" s="1"/>
  <c r="H22" i="20"/>
  <c r="L20" i="5" l="1"/>
  <c r="L21" i="5" s="1"/>
  <c r="I21" i="5"/>
  <c r="I28" i="5"/>
  <c r="I32" i="5" s="1"/>
  <c r="I33" i="5" s="1"/>
  <c r="K21" i="5"/>
  <c r="K28" i="5"/>
  <c r="K32" i="5" s="1"/>
  <c r="K33" i="5" s="1"/>
  <c r="J21" i="5"/>
  <c r="J28" i="5"/>
  <c r="J32" i="5" s="1"/>
  <c r="J33" i="5" s="1"/>
  <c r="H21" i="5"/>
  <c r="H28" i="5"/>
  <c r="H32" i="5" s="1"/>
  <c r="H33" i="5" s="1"/>
  <c r="G21" i="5"/>
  <c r="G28" i="5"/>
  <c r="DG88" i="1"/>
  <c r="DG89" i="1" s="1"/>
  <c r="DF146" i="1"/>
  <c r="E28" i="5"/>
  <c r="K22" i="20"/>
  <c r="H23" i="20"/>
  <c r="AA44" i="1"/>
  <c r="AA46" i="1" s="1"/>
  <c r="N26" i="15"/>
  <c r="N27" i="15" s="1"/>
  <c r="N23" i="15"/>
  <c r="N24" i="6"/>
  <c r="N27" i="6"/>
  <c r="N28" i="6" s="1"/>
  <c r="P19" i="6"/>
  <c r="P21" i="6" s="1"/>
  <c r="P23" i="6" s="1"/>
  <c r="I22" i="20"/>
  <c r="P19" i="15"/>
  <c r="P20" i="15" s="1"/>
  <c r="P22" i="15" s="1"/>
  <c r="I29" i="5" l="1"/>
  <c r="L28" i="5"/>
  <c r="L32" i="5" s="1"/>
  <c r="L33" i="5" s="1"/>
  <c r="DG99" i="1"/>
  <c r="DG128" i="1" s="1"/>
  <c r="DG143" i="1" s="1"/>
  <c r="DG144" i="1" s="1"/>
  <c r="DG43" i="1"/>
  <c r="DG44" i="1" s="1"/>
  <c r="DG46" i="1" s="1"/>
  <c r="K29" i="5"/>
  <c r="H29" i="5"/>
  <c r="J29" i="5"/>
  <c r="G32" i="5"/>
  <c r="G33" i="5" s="1"/>
  <c r="G29" i="5"/>
  <c r="E29" i="5"/>
  <c r="E32" i="5"/>
  <c r="E33" i="5" s="1"/>
  <c r="K23" i="20"/>
  <c r="K25" i="20" s="1"/>
  <c r="K29" i="20" s="1"/>
  <c r="K30" i="20" s="1"/>
  <c r="P23" i="15"/>
  <c r="P26" i="15"/>
  <c r="P27" i="15" s="1"/>
  <c r="P27" i="6"/>
  <c r="P28" i="6" s="1"/>
  <c r="P24" i="6"/>
  <c r="I23" i="20"/>
  <c r="H25" i="20"/>
  <c r="L29" i="5" l="1"/>
  <c r="DG47" i="1"/>
  <c r="DG137" i="1"/>
  <c r="DG140" i="1" s="1"/>
  <c r="DG146" i="1" s="1"/>
  <c r="K26" i="20"/>
  <c r="H26" i="20"/>
  <c r="I26" i="20" s="1"/>
  <c r="H29" i="20"/>
  <c r="H30" i="20" s="1"/>
  <c r="I25" i="20"/>
  <c r="N30" i="15"/>
  <c r="I33" i="20"/>
  <c r="N29" i="15" l="1"/>
  <c r="I30" i="20"/>
  <c r="I29" i="20"/>
  <c r="AO130" i="1" l="1"/>
  <c r="AP130" i="1" l="1"/>
  <c r="AQ130" i="1" l="1"/>
  <c r="AR130" i="1" l="1"/>
  <c r="AS130" i="1" l="1"/>
  <c r="AT130" i="1" l="1"/>
  <c r="AU130" i="1" l="1"/>
  <c r="AV130" i="1" l="1"/>
  <c r="AW130" i="1" l="1"/>
  <c r="AX130" i="1" l="1"/>
  <c r="AY130" i="1" l="1"/>
  <c r="BA130" i="1" l="1"/>
  <c r="BB130" i="1" l="1"/>
  <c r="BC130" i="1" l="1"/>
  <c r="BD130" i="1" l="1"/>
  <c r="BE130" i="1" l="1"/>
  <c r="BF130" i="1" l="1"/>
  <c r="BG130" i="1" l="1"/>
  <c r="BH130" i="1" l="1"/>
  <c r="BI130" i="1" l="1"/>
  <c r="BJ130" i="1" l="1"/>
  <c r="BK130" i="1" l="1"/>
  <c r="BM130" i="1" l="1"/>
  <c r="BN130" i="1" l="1"/>
  <c r="BO130" i="1" l="1"/>
  <c r="BP130" i="1" l="1"/>
  <c r="BQ130" i="1" l="1"/>
  <c r="BR130" i="1" l="1"/>
  <c r="BS130" i="1" l="1"/>
  <c r="BT130" i="1" l="1"/>
  <c r="BU130" i="1" l="1"/>
  <c r="BV130" i="1" l="1"/>
  <c r="BW130" i="1" l="1"/>
  <c r="BY130" i="1" l="1"/>
  <c r="BZ130" i="1" l="1"/>
  <c r="CA130" i="1" l="1"/>
  <c r="CB130" i="1" l="1"/>
  <c r="CC130" i="1" l="1"/>
  <c r="CD130" i="1" l="1"/>
  <c r="CE130" i="1" l="1"/>
  <c r="CF130" i="1" l="1"/>
  <c r="CG130" i="1" l="1"/>
  <c r="CH130" i="1" l="1"/>
  <c r="CI130" i="1" l="1"/>
  <c r="CK130" i="1" l="1"/>
  <c r="CL130" i="1" l="1"/>
  <c r="CM130" i="1" l="1"/>
  <c r="CN130" i="1" l="1"/>
  <c r="CO130" i="1" l="1"/>
  <c r="CP130" i="1" l="1"/>
  <c r="CQ130" i="1" l="1"/>
  <c r="CR130" i="1" l="1"/>
  <c r="CS130" i="1" l="1"/>
  <c r="CT130" i="1" l="1"/>
  <c r="CU130" i="1" l="1"/>
  <c r="CW130" i="1" l="1"/>
  <c r="CX130" i="1" l="1"/>
  <c r="CY130" i="1" l="1"/>
  <c r="CZ130" i="1" l="1"/>
  <c r="DA130" i="1" l="1"/>
  <c r="DB130" i="1" l="1"/>
  <c r="DC130" i="1" l="1"/>
  <c r="DD130" i="1" l="1"/>
  <c r="DE130" i="1" l="1"/>
  <c r="DF130" i="1" l="1"/>
  <c r="DG130" i="1" l="1"/>
  <c r="F13" i="5"/>
  <c r="F15" i="5" s="1"/>
  <c r="F20" i="5" s="1"/>
  <c r="F21" i="5" s="1"/>
  <c r="C12" i="25"/>
  <c r="P12" i="25" s="1"/>
  <c r="AB14" i="1"/>
  <c r="AB63" i="1" s="1"/>
  <c r="AB64" i="1" s="1"/>
  <c r="AB32" i="1" l="1"/>
  <c r="AB41" i="1"/>
  <c r="AB42" i="1" s="1"/>
  <c r="X16" i="23"/>
  <c r="X43" i="23" s="1"/>
  <c r="X49" i="23" s="1"/>
  <c r="X23" i="23"/>
  <c r="P14" i="25"/>
  <c r="P19" i="25" s="1"/>
  <c r="AB115" i="1"/>
  <c r="C14" i="25"/>
  <c r="C19" i="25" s="1"/>
  <c r="C20" i="25" s="1"/>
  <c r="F28" i="5"/>
  <c r="F17" i="5"/>
  <c r="G17" i="5"/>
  <c r="P26" i="25" l="1"/>
  <c r="P30" i="25" s="1"/>
  <c r="P31" i="25" s="1"/>
  <c r="P20" i="25"/>
  <c r="AB88" i="1"/>
  <c r="C26" i="25"/>
  <c r="F32" i="5"/>
  <c r="F33" i="5" s="1"/>
  <c r="F29" i="5"/>
  <c r="D37" i="25"/>
  <c r="AB99" i="1" l="1"/>
  <c r="AB130" i="1" s="1"/>
  <c r="AB43" i="1"/>
  <c r="AB44" i="1" s="1"/>
  <c r="P27" i="25"/>
  <c r="AB89" i="1"/>
  <c r="C27" i="25"/>
  <c r="C30" i="25"/>
  <c r="AB137" i="1" l="1"/>
  <c r="AB140" i="1" s="1"/>
  <c r="AB146" i="1" s="1"/>
  <c r="C33" i="27" s="1"/>
  <c r="C33" i="20"/>
  <c r="E33" i="20" s="1"/>
  <c r="C31" i="25"/>
  <c r="C34" i="25"/>
  <c r="D34" i="25" s="1"/>
  <c r="E34" i="25" s="1"/>
  <c r="F34" i="25" s="1"/>
  <c r="AD44" i="1"/>
  <c r="AD46" i="1" s="1"/>
  <c r="AB47" i="1"/>
  <c r="AC130" i="1"/>
  <c r="AD130" i="1" s="1"/>
  <c r="AE130" i="1" s="1"/>
  <c r="AF130" i="1" s="1"/>
  <c r="AB131" i="1"/>
  <c r="AB132" i="1" s="1"/>
  <c r="AB46" i="1"/>
  <c r="AC44" i="1"/>
  <c r="AC46" i="1" s="1"/>
  <c r="AB120" i="1"/>
  <c r="AB121" i="1" s="1"/>
  <c r="AB149" i="1" l="1"/>
  <c r="C32" i="27" s="1"/>
  <c r="C37" i="25"/>
  <c r="G34" i="25"/>
  <c r="H34" i="25" s="1"/>
  <c r="I34" i="25" s="1"/>
  <c r="J34" i="25" s="1"/>
  <c r="K34" i="25" s="1"/>
  <c r="AF131" i="1"/>
  <c r="AF132" i="1" s="1"/>
  <c r="AF133" i="1" s="1"/>
  <c r="AG130" i="1"/>
  <c r="AE131" i="1"/>
  <c r="AE132" i="1" s="1"/>
  <c r="AE133" i="1" s="1"/>
  <c r="AC131" i="1"/>
  <c r="AC132" i="1" s="1"/>
  <c r="AD131" i="1"/>
  <c r="AD132" i="1" s="1"/>
  <c r="AB133" i="1"/>
  <c r="C36" i="25"/>
  <c r="AC148" i="1"/>
  <c r="AC149" i="1" s="1"/>
  <c r="AB150" i="1"/>
  <c r="L34" i="25" l="1"/>
  <c r="M34" i="25" s="1"/>
  <c r="N34" i="25" s="1"/>
  <c r="P34" i="25" s="1"/>
  <c r="AG131" i="1"/>
  <c r="AG132" i="1" s="1"/>
  <c r="AG133" i="1" s="1"/>
  <c r="AH130" i="1"/>
  <c r="AD120" i="1"/>
  <c r="AD121" i="1" s="1"/>
  <c r="AD133" i="1" s="1"/>
  <c r="AD148" i="1"/>
  <c r="AD149" i="1" s="1"/>
  <c r="AE148" i="1" s="1"/>
  <c r="AE149" i="1" s="1"/>
  <c r="F32" i="27" s="1"/>
  <c r="D32" i="27"/>
  <c r="AL129" i="1"/>
  <c r="AM129" i="1" s="1"/>
  <c r="D36" i="25"/>
  <c r="AC150" i="1"/>
  <c r="AC120" i="1"/>
  <c r="AC121" i="1" s="1"/>
  <c r="AC133" i="1" s="1"/>
  <c r="AH131" i="1" l="1"/>
  <c r="AH132" i="1" s="1"/>
  <c r="AH133" i="1" s="1"/>
  <c r="AI130" i="1"/>
  <c r="AJ130" i="1" s="1"/>
  <c r="AE150" i="1"/>
  <c r="AF148" i="1"/>
  <c r="AF149" i="1" s="1"/>
  <c r="AG148" i="1" s="1"/>
  <c r="AG149" i="1" s="1"/>
  <c r="AG151" i="1" s="1"/>
  <c r="E36" i="25"/>
  <c r="AD150" i="1"/>
  <c r="AJ131" i="1" l="1"/>
  <c r="AJ132" i="1" s="1"/>
  <c r="AK130" i="1"/>
  <c r="AK131" i="1" s="1"/>
  <c r="AK132" i="1" s="1"/>
  <c r="AI131" i="1"/>
  <c r="AI132" i="1" s="1"/>
  <c r="AI133" i="1" s="1"/>
  <c r="AJ133" i="1"/>
  <c r="D32" i="20"/>
  <c r="AH148" i="1"/>
  <c r="AH149" i="1" s="1"/>
  <c r="AG150" i="1"/>
  <c r="H32" i="27"/>
  <c r="AF150" i="1"/>
  <c r="G32" i="27"/>
  <c r="E32" i="27"/>
  <c r="C32" i="20"/>
  <c r="F36" i="25"/>
  <c r="G36" i="25"/>
  <c r="AI148" i="1" l="1"/>
  <c r="AI149" i="1" s="1"/>
  <c r="J32" i="27" s="1"/>
  <c r="I32" i="27"/>
  <c r="H36" i="25"/>
  <c r="AI150" i="1" l="1"/>
  <c r="AJ148" i="1"/>
  <c r="AJ149" i="1" s="1"/>
  <c r="AH150" i="1"/>
  <c r="I36" i="25"/>
  <c r="AJ150" i="1" l="1"/>
  <c r="AJ151" i="1"/>
  <c r="K32" i="27"/>
  <c r="F32" i="20"/>
  <c r="J36" i="25"/>
  <c r="K36" i="25" l="1"/>
  <c r="AK148" i="1"/>
  <c r="AK149" i="1" s="1"/>
  <c r="AL130" i="1"/>
  <c r="AL148" i="1" l="1"/>
  <c r="AL149" i="1" s="1"/>
  <c r="AK150" i="1"/>
  <c r="L36" i="25"/>
  <c r="AK133" i="1"/>
  <c r="AM130" i="1"/>
  <c r="AN129" i="1" s="1"/>
  <c r="AL131" i="1"/>
  <c r="AL132" i="1" s="1"/>
  <c r="AM131" i="1" l="1"/>
  <c r="AM132" i="1" s="1"/>
  <c r="AL120" i="1"/>
  <c r="AL121" i="1" s="1"/>
  <c r="AL133" i="1" s="1"/>
  <c r="AL150" i="1"/>
  <c r="M36" i="25"/>
  <c r="AM148" i="1"/>
  <c r="AM149" i="1" s="1"/>
  <c r="H32" i="20" s="1"/>
  <c r="AN148" i="1" l="1"/>
  <c r="AN149" i="1" s="1"/>
  <c r="AM150" i="1"/>
  <c r="N36" i="25"/>
  <c r="AN111" i="1"/>
  <c r="AM120" i="1"/>
  <c r="AM121" i="1" s="1"/>
  <c r="AM133" i="1" s="1"/>
  <c r="AO129" i="1"/>
  <c r="AN131" i="1"/>
  <c r="AN132" i="1" s="1"/>
  <c r="AO131" i="1" l="1"/>
  <c r="AO132" i="1" s="1"/>
  <c r="AP129" i="1"/>
  <c r="AO111" i="1"/>
  <c r="AN120" i="1"/>
  <c r="AN121" i="1" s="1"/>
  <c r="AN133" i="1" s="1"/>
  <c r="AO148" i="1"/>
  <c r="AO149" i="1" s="1"/>
  <c r="AN150" i="1"/>
  <c r="AO150" i="1" l="1"/>
  <c r="AP148" i="1"/>
  <c r="AP149" i="1" s="1"/>
  <c r="AO120" i="1"/>
  <c r="AO121" i="1" s="1"/>
  <c r="AO133" i="1" s="1"/>
  <c r="AP111" i="1"/>
  <c r="AQ129" i="1"/>
  <c r="AP131" i="1"/>
  <c r="AP132" i="1" s="1"/>
  <c r="AR129" i="1" l="1"/>
  <c r="AQ131" i="1"/>
  <c r="AQ132" i="1" s="1"/>
  <c r="AQ111" i="1"/>
  <c r="AP120" i="1"/>
  <c r="AP121" i="1" s="1"/>
  <c r="AP133" i="1" s="1"/>
  <c r="AQ148" i="1"/>
  <c r="AQ149" i="1" s="1"/>
  <c r="AP150" i="1"/>
  <c r="AR148" i="1" l="1"/>
  <c r="AR149" i="1" s="1"/>
  <c r="AQ150" i="1"/>
  <c r="AR111" i="1"/>
  <c r="AQ120" i="1"/>
  <c r="AQ121" i="1" s="1"/>
  <c r="AQ133" i="1" s="1"/>
  <c r="AR131" i="1"/>
  <c r="AR132" i="1" s="1"/>
  <c r="AS129" i="1"/>
  <c r="AT129" i="1" l="1"/>
  <c r="AS131" i="1"/>
  <c r="AS132" i="1" s="1"/>
  <c r="AS111" i="1"/>
  <c r="AR120" i="1"/>
  <c r="AR121" i="1" s="1"/>
  <c r="AR133" i="1" s="1"/>
  <c r="AR150" i="1"/>
  <c r="AS148" i="1"/>
  <c r="AS149" i="1" s="1"/>
  <c r="AT148" i="1" l="1"/>
  <c r="AT149" i="1" s="1"/>
  <c r="AS150" i="1"/>
  <c r="AS120" i="1"/>
  <c r="AS121" i="1" s="1"/>
  <c r="AS133" i="1" s="1"/>
  <c r="AT111" i="1"/>
  <c r="AU129" i="1"/>
  <c r="AT131" i="1"/>
  <c r="AT132" i="1" s="1"/>
  <c r="AU131" i="1" l="1"/>
  <c r="AU132" i="1" s="1"/>
  <c r="AV129" i="1"/>
  <c r="AU111" i="1"/>
  <c r="AT120" i="1"/>
  <c r="AT121" i="1" s="1"/>
  <c r="AT133" i="1" s="1"/>
  <c r="AT150" i="1"/>
  <c r="AU148" i="1"/>
  <c r="AU149" i="1" s="1"/>
  <c r="AU150" i="1" l="1"/>
  <c r="AV148" i="1"/>
  <c r="AV149" i="1" s="1"/>
  <c r="AV111" i="1"/>
  <c r="AU120" i="1"/>
  <c r="AU121" i="1" s="1"/>
  <c r="AU133" i="1" s="1"/>
  <c r="AW129" i="1"/>
  <c r="AV131" i="1"/>
  <c r="AV132" i="1" s="1"/>
  <c r="AX129" i="1" l="1"/>
  <c r="AW131" i="1"/>
  <c r="AW132" i="1" s="1"/>
  <c r="AW111" i="1"/>
  <c r="AV120" i="1"/>
  <c r="AV121" i="1" s="1"/>
  <c r="AV133" i="1" s="1"/>
  <c r="AV150" i="1"/>
  <c r="AW148" i="1"/>
  <c r="AW149" i="1" s="1"/>
  <c r="AX148" i="1" l="1"/>
  <c r="AX149" i="1" s="1"/>
  <c r="AW150" i="1"/>
  <c r="AW120" i="1"/>
  <c r="AW121" i="1" s="1"/>
  <c r="AW133" i="1" s="1"/>
  <c r="AX111" i="1"/>
  <c r="AY129" i="1"/>
  <c r="AX131" i="1"/>
  <c r="AX132" i="1" s="1"/>
  <c r="AY131" i="1" l="1"/>
  <c r="AY132" i="1" s="1"/>
  <c r="AZ129" i="1"/>
  <c r="AY111" i="1"/>
  <c r="AX120" i="1"/>
  <c r="AX121" i="1" s="1"/>
  <c r="AX133" i="1" s="1"/>
  <c r="AX150" i="1"/>
  <c r="AY148" i="1"/>
  <c r="AY149" i="1" s="1"/>
  <c r="AY150" i="1" l="1"/>
  <c r="AZ148" i="1"/>
  <c r="AZ149" i="1" s="1"/>
  <c r="AZ111" i="1"/>
  <c r="AY120" i="1"/>
  <c r="AY121" i="1" s="1"/>
  <c r="AY133" i="1" s="1"/>
  <c r="BA129" i="1"/>
  <c r="AZ131" i="1"/>
  <c r="AZ132" i="1" s="1"/>
  <c r="BB129" i="1" l="1"/>
  <c r="BA131" i="1"/>
  <c r="BA132" i="1" s="1"/>
  <c r="BA111" i="1"/>
  <c r="AZ120" i="1"/>
  <c r="AZ121" i="1" s="1"/>
  <c r="AZ133" i="1" s="1"/>
  <c r="AZ150" i="1"/>
  <c r="BA148" i="1"/>
  <c r="BA149" i="1" s="1"/>
  <c r="BB148" i="1" l="1"/>
  <c r="BB149" i="1" s="1"/>
  <c r="BA150" i="1"/>
  <c r="BA120" i="1"/>
  <c r="BA121" i="1" s="1"/>
  <c r="BA133" i="1" s="1"/>
  <c r="BB111" i="1"/>
  <c r="BB131" i="1"/>
  <c r="BB132" i="1" s="1"/>
  <c r="BC129" i="1"/>
  <c r="BD129" i="1" l="1"/>
  <c r="BC131" i="1"/>
  <c r="BC132" i="1" s="1"/>
  <c r="BB120" i="1"/>
  <c r="BB121" i="1" s="1"/>
  <c r="BB133" i="1" s="1"/>
  <c r="BC111" i="1"/>
  <c r="BC148" i="1"/>
  <c r="BC149" i="1" s="1"/>
  <c r="BB150" i="1"/>
  <c r="BD111" i="1" l="1"/>
  <c r="BC120" i="1"/>
  <c r="BC121" i="1" s="1"/>
  <c r="BC133" i="1" s="1"/>
  <c r="BC150" i="1"/>
  <c r="BD148" i="1"/>
  <c r="BD149" i="1" s="1"/>
  <c r="BD131" i="1"/>
  <c r="BD132" i="1" s="1"/>
  <c r="BE129" i="1"/>
  <c r="BF129" i="1" l="1"/>
  <c r="BE131" i="1"/>
  <c r="BE132" i="1" s="1"/>
  <c r="BE148" i="1"/>
  <c r="BE149" i="1" s="1"/>
  <c r="BD150" i="1"/>
  <c r="BD120" i="1"/>
  <c r="BD121" i="1" s="1"/>
  <c r="BD133" i="1" s="1"/>
  <c r="BE111" i="1"/>
  <c r="BF111" i="1" l="1"/>
  <c r="BE120" i="1"/>
  <c r="BE121" i="1" s="1"/>
  <c r="BE133" i="1" s="1"/>
  <c r="BF148" i="1"/>
  <c r="BF149" i="1" s="1"/>
  <c r="BE150" i="1"/>
  <c r="BF131" i="1"/>
  <c r="BF132" i="1" s="1"/>
  <c r="BG129" i="1"/>
  <c r="BG131" i="1" l="1"/>
  <c r="BG132" i="1" s="1"/>
  <c r="BH129" i="1"/>
  <c r="BG148" i="1"/>
  <c r="BG149" i="1" s="1"/>
  <c r="BF150" i="1"/>
  <c r="BF120" i="1"/>
  <c r="BF121" i="1" s="1"/>
  <c r="BF133" i="1" s="1"/>
  <c r="BG111" i="1"/>
  <c r="BH111" i="1" l="1"/>
  <c r="BG120" i="1"/>
  <c r="BG121" i="1" s="1"/>
  <c r="BG133" i="1" s="1"/>
  <c r="BG150" i="1"/>
  <c r="BH148" i="1"/>
  <c r="BH149" i="1" s="1"/>
  <c r="BH131" i="1"/>
  <c r="BH132" i="1" s="1"/>
  <c r="BI129" i="1"/>
  <c r="BJ129" i="1" l="1"/>
  <c r="BI131" i="1"/>
  <c r="BI132" i="1" s="1"/>
  <c r="BI148" i="1"/>
  <c r="BI149" i="1" s="1"/>
  <c r="BH150" i="1"/>
  <c r="BH120" i="1"/>
  <c r="BH121" i="1" s="1"/>
  <c r="BH133" i="1" s="1"/>
  <c r="BI111" i="1"/>
  <c r="BJ111" i="1" l="1"/>
  <c r="BI120" i="1"/>
  <c r="BI121" i="1" s="1"/>
  <c r="BI133" i="1" s="1"/>
  <c r="BJ148" i="1"/>
  <c r="BJ149" i="1" s="1"/>
  <c r="BI150" i="1"/>
  <c r="BJ131" i="1"/>
  <c r="BJ132" i="1" s="1"/>
  <c r="BK129" i="1"/>
  <c r="BL129" i="1" l="1"/>
  <c r="BK131" i="1"/>
  <c r="BK132" i="1" s="1"/>
  <c r="BK148" i="1"/>
  <c r="BK149" i="1" s="1"/>
  <c r="BJ150" i="1"/>
  <c r="BJ120" i="1"/>
  <c r="BJ121" i="1" s="1"/>
  <c r="BJ133" i="1" s="1"/>
  <c r="BK111" i="1"/>
  <c r="BL111" i="1" l="1"/>
  <c r="BK120" i="1"/>
  <c r="BK121" i="1" s="1"/>
  <c r="BK133" i="1" s="1"/>
  <c r="BK150" i="1"/>
  <c r="BL148" i="1"/>
  <c r="BL149" i="1" s="1"/>
  <c r="BL131" i="1"/>
  <c r="BL132" i="1" s="1"/>
  <c r="BM129" i="1"/>
  <c r="BN129" i="1" l="1"/>
  <c r="BM131" i="1"/>
  <c r="BM132" i="1" s="1"/>
  <c r="BM148" i="1"/>
  <c r="BM149" i="1" s="1"/>
  <c r="BL150" i="1"/>
  <c r="BL120" i="1"/>
  <c r="BL121" i="1" s="1"/>
  <c r="BL133" i="1" s="1"/>
  <c r="BM111" i="1"/>
  <c r="BN111" i="1" l="1"/>
  <c r="BM120" i="1"/>
  <c r="BM121" i="1" s="1"/>
  <c r="BM133" i="1" s="1"/>
  <c r="BN148" i="1"/>
  <c r="BN149" i="1" s="1"/>
  <c r="BM150" i="1"/>
  <c r="BO129" i="1"/>
  <c r="BN131" i="1"/>
  <c r="BN132" i="1" s="1"/>
  <c r="BP129" i="1" l="1"/>
  <c r="BO131" i="1"/>
  <c r="BO132" i="1" s="1"/>
  <c r="BO148" i="1"/>
  <c r="BO149" i="1" s="1"/>
  <c r="BN150" i="1"/>
  <c r="BO111" i="1"/>
  <c r="BN120" i="1"/>
  <c r="BN121" i="1" s="1"/>
  <c r="BN133" i="1" s="1"/>
  <c r="BP111" i="1" l="1"/>
  <c r="BO120" i="1"/>
  <c r="BO121" i="1" s="1"/>
  <c r="BO133" i="1" s="1"/>
  <c r="BO150" i="1"/>
  <c r="BP148" i="1"/>
  <c r="BP149" i="1" s="1"/>
  <c r="BP131" i="1"/>
  <c r="BP132" i="1" s="1"/>
  <c r="BQ129" i="1"/>
  <c r="BR129" i="1" l="1"/>
  <c r="BQ131" i="1"/>
  <c r="BQ132" i="1" s="1"/>
  <c r="BQ148" i="1"/>
  <c r="BQ149" i="1" s="1"/>
  <c r="BP150" i="1"/>
  <c r="BP120" i="1"/>
  <c r="BP121" i="1" s="1"/>
  <c r="BP133" i="1" s="1"/>
  <c r="BQ111" i="1"/>
  <c r="BR111" i="1" l="1"/>
  <c r="BQ120" i="1"/>
  <c r="BQ121" i="1" s="1"/>
  <c r="BQ133" i="1" s="1"/>
  <c r="BR148" i="1"/>
  <c r="BR149" i="1" s="1"/>
  <c r="BQ150" i="1"/>
  <c r="BR131" i="1"/>
  <c r="BR132" i="1" s="1"/>
  <c r="BS129" i="1"/>
  <c r="BT129" i="1" l="1"/>
  <c r="BS131" i="1"/>
  <c r="BS132" i="1" s="1"/>
  <c r="BS148" i="1"/>
  <c r="BS149" i="1" s="1"/>
  <c r="BR150" i="1"/>
  <c r="BR120" i="1"/>
  <c r="BR121" i="1" s="1"/>
  <c r="BR133" i="1" s="1"/>
  <c r="BS111" i="1"/>
  <c r="BT111" i="1" l="1"/>
  <c r="BS120" i="1"/>
  <c r="BS121" i="1" s="1"/>
  <c r="BS133" i="1" s="1"/>
  <c r="BS150" i="1"/>
  <c r="BT148" i="1"/>
  <c r="BT149" i="1" s="1"/>
  <c r="BT131" i="1"/>
  <c r="BT132" i="1" s="1"/>
  <c r="BU129" i="1"/>
  <c r="BV129" i="1" l="1"/>
  <c r="BU131" i="1"/>
  <c r="BU132" i="1" s="1"/>
  <c r="BU148" i="1"/>
  <c r="BU149" i="1" s="1"/>
  <c r="BT150" i="1"/>
  <c r="BT120" i="1"/>
  <c r="BT121" i="1" s="1"/>
  <c r="BT133" i="1" s="1"/>
  <c r="BU111" i="1"/>
  <c r="BV111" i="1" l="1"/>
  <c r="BU120" i="1"/>
  <c r="BU121" i="1" s="1"/>
  <c r="BU133" i="1" s="1"/>
  <c r="BV148" i="1"/>
  <c r="BV149" i="1" s="1"/>
  <c r="BU150" i="1"/>
  <c r="BV131" i="1"/>
  <c r="BV132" i="1" s="1"/>
  <c r="BW129" i="1"/>
  <c r="BX129" i="1" l="1"/>
  <c r="BW131" i="1"/>
  <c r="BW132" i="1" s="1"/>
  <c r="BW148" i="1"/>
  <c r="BW149" i="1" s="1"/>
  <c r="BV150" i="1"/>
  <c r="BV120" i="1"/>
  <c r="BV121" i="1" s="1"/>
  <c r="BV133" i="1" s="1"/>
  <c r="BW111" i="1"/>
  <c r="BX111" i="1" l="1"/>
  <c r="BW120" i="1"/>
  <c r="BW121" i="1" s="1"/>
  <c r="BW133" i="1" s="1"/>
  <c r="BW150" i="1"/>
  <c r="BX148" i="1"/>
  <c r="BX149" i="1" s="1"/>
  <c r="BX131" i="1"/>
  <c r="BX132" i="1" s="1"/>
  <c r="BY129" i="1"/>
  <c r="BZ129" i="1" l="1"/>
  <c r="BY131" i="1"/>
  <c r="BY132" i="1" s="1"/>
  <c r="BY148" i="1"/>
  <c r="BY149" i="1" s="1"/>
  <c r="BX150" i="1"/>
  <c r="BX120" i="1"/>
  <c r="BX121" i="1" s="1"/>
  <c r="BX133" i="1" s="1"/>
  <c r="BY111" i="1"/>
  <c r="BZ111" i="1" l="1"/>
  <c r="BY120" i="1"/>
  <c r="BY121" i="1" s="1"/>
  <c r="BY133" i="1" s="1"/>
  <c r="BZ148" i="1"/>
  <c r="BZ149" i="1" s="1"/>
  <c r="BY150" i="1"/>
  <c r="BZ131" i="1"/>
  <c r="BZ132" i="1" s="1"/>
  <c r="CA129" i="1"/>
  <c r="CB129" i="1" l="1"/>
  <c r="CA131" i="1"/>
  <c r="CA132" i="1" s="1"/>
  <c r="CA148" i="1"/>
  <c r="CA149" i="1" s="1"/>
  <c r="BZ150" i="1"/>
  <c r="BZ120" i="1"/>
  <c r="BZ121" i="1" s="1"/>
  <c r="BZ133" i="1" s="1"/>
  <c r="CA111" i="1"/>
  <c r="CB111" i="1" l="1"/>
  <c r="CA120" i="1"/>
  <c r="CA121" i="1" s="1"/>
  <c r="CA133" i="1" s="1"/>
  <c r="CA150" i="1"/>
  <c r="CB148" i="1"/>
  <c r="CB149" i="1" s="1"/>
  <c r="CB131" i="1"/>
  <c r="CB132" i="1" s="1"/>
  <c r="CC129" i="1"/>
  <c r="CC131" i="1" l="1"/>
  <c r="CC132" i="1" s="1"/>
  <c r="CD129" i="1"/>
  <c r="CC148" i="1"/>
  <c r="CC149" i="1" s="1"/>
  <c r="CB150" i="1"/>
  <c r="CB120" i="1"/>
  <c r="CB121" i="1" s="1"/>
  <c r="CB133" i="1" s="1"/>
  <c r="CC111" i="1"/>
  <c r="CD111" i="1" l="1"/>
  <c r="CC120" i="1"/>
  <c r="CC121" i="1" s="1"/>
  <c r="CC133" i="1" s="1"/>
  <c r="CC150" i="1"/>
  <c r="CD148" i="1"/>
  <c r="CD149" i="1" s="1"/>
  <c r="CE129" i="1"/>
  <c r="CD131" i="1"/>
  <c r="CD132" i="1" s="1"/>
  <c r="CF129" i="1" l="1"/>
  <c r="CE131" i="1"/>
  <c r="CE132" i="1" s="1"/>
  <c r="CE148" i="1"/>
  <c r="CE149" i="1" s="1"/>
  <c r="CD150" i="1"/>
  <c r="CE111" i="1"/>
  <c r="CD120" i="1"/>
  <c r="CD121" i="1" s="1"/>
  <c r="CD133" i="1" s="1"/>
  <c r="CF111" i="1" l="1"/>
  <c r="CE120" i="1"/>
  <c r="CE121" i="1" s="1"/>
  <c r="CE133" i="1" s="1"/>
  <c r="CE150" i="1"/>
  <c r="CF148" i="1"/>
  <c r="CF149" i="1" s="1"/>
  <c r="CF131" i="1"/>
  <c r="CF132" i="1" s="1"/>
  <c r="CG129" i="1"/>
  <c r="CH129" i="1" l="1"/>
  <c r="CG131" i="1"/>
  <c r="CG132" i="1" s="1"/>
  <c r="CG148" i="1"/>
  <c r="CG149" i="1" s="1"/>
  <c r="CF150" i="1"/>
  <c r="CF120" i="1"/>
  <c r="CF121" i="1" s="1"/>
  <c r="CF133" i="1" s="1"/>
  <c r="CG111" i="1"/>
  <c r="CH111" i="1" l="1"/>
  <c r="CG120" i="1"/>
  <c r="CG121" i="1" s="1"/>
  <c r="CG133" i="1" s="1"/>
  <c r="CH148" i="1"/>
  <c r="CH149" i="1" s="1"/>
  <c r="CG150" i="1"/>
  <c r="CH131" i="1"/>
  <c r="CH132" i="1" s="1"/>
  <c r="CI129" i="1"/>
  <c r="CJ129" i="1" l="1"/>
  <c r="CI131" i="1"/>
  <c r="CI132" i="1" s="1"/>
  <c r="CI148" i="1"/>
  <c r="CI149" i="1" s="1"/>
  <c r="CH150" i="1"/>
  <c r="CH120" i="1"/>
  <c r="CH121" i="1" s="1"/>
  <c r="CH133" i="1" s="1"/>
  <c r="CI111" i="1"/>
  <c r="CJ111" i="1" l="1"/>
  <c r="CI120" i="1"/>
  <c r="CI121" i="1" s="1"/>
  <c r="CI133" i="1" s="1"/>
  <c r="CI150" i="1"/>
  <c r="CJ148" i="1"/>
  <c r="CJ149" i="1" s="1"/>
  <c r="CJ131" i="1"/>
  <c r="CJ132" i="1" s="1"/>
  <c r="CK129" i="1"/>
  <c r="CL129" i="1" l="1"/>
  <c r="CK131" i="1"/>
  <c r="CK132" i="1" s="1"/>
  <c r="CK148" i="1"/>
  <c r="CK149" i="1" s="1"/>
  <c r="CJ150" i="1"/>
  <c r="CJ120" i="1"/>
  <c r="CJ121" i="1" s="1"/>
  <c r="CJ133" i="1" s="1"/>
  <c r="CK111" i="1"/>
  <c r="CL111" i="1" l="1"/>
  <c r="CK120" i="1"/>
  <c r="CK121" i="1" s="1"/>
  <c r="CK133" i="1" s="1"/>
  <c r="CL148" i="1"/>
  <c r="CL149" i="1" s="1"/>
  <c r="CK150" i="1"/>
  <c r="CM129" i="1"/>
  <c r="CL131" i="1"/>
  <c r="CL132" i="1" s="1"/>
  <c r="CN129" i="1" l="1"/>
  <c r="CM131" i="1"/>
  <c r="CM132" i="1" s="1"/>
  <c r="CM148" i="1"/>
  <c r="CM149" i="1" s="1"/>
  <c r="CL150" i="1"/>
  <c r="CL120" i="1"/>
  <c r="CL121" i="1" s="1"/>
  <c r="CL133" i="1" s="1"/>
  <c r="CM111" i="1"/>
  <c r="CN111" i="1" l="1"/>
  <c r="CM120" i="1"/>
  <c r="CM121" i="1" s="1"/>
  <c r="CM133" i="1" s="1"/>
  <c r="CN148" i="1"/>
  <c r="CN149" i="1" s="1"/>
  <c r="CM150" i="1"/>
  <c r="CO129" i="1"/>
  <c r="CN131" i="1"/>
  <c r="CN132" i="1" s="1"/>
  <c r="CP129" i="1" l="1"/>
  <c r="CO131" i="1"/>
  <c r="CO132" i="1" s="1"/>
  <c r="CN150" i="1"/>
  <c r="CO148" i="1"/>
  <c r="CO149" i="1" s="1"/>
  <c r="CO111" i="1"/>
  <c r="CN120" i="1"/>
  <c r="CN121" i="1" s="1"/>
  <c r="CN133" i="1" s="1"/>
  <c r="CO120" i="1" l="1"/>
  <c r="CO121" i="1" s="1"/>
  <c r="CO133" i="1" s="1"/>
  <c r="CP111" i="1"/>
  <c r="CP148" i="1"/>
  <c r="CP149" i="1" s="1"/>
  <c r="CO150" i="1"/>
  <c r="CQ129" i="1"/>
  <c r="CP131" i="1"/>
  <c r="CP132" i="1" s="1"/>
  <c r="CQ131" i="1" l="1"/>
  <c r="CQ132" i="1" s="1"/>
  <c r="CR129" i="1"/>
  <c r="CP150" i="1"/>
  <c r="CQ148" i="1"/>
  <c r="CQ149" i="1" s="1"/>
  <c r="CQ111" i="1"/>
  <c r="CP120" i="1"/>
  <c r="CP121" i="1" s="1"/>
  <c r="CP133" i="1" s="1"/>
  <c r="CR111" i="1" l="1"/>
  <c r="CQ120" i="1"/>
  <c r="CQ121" i="1" s="1"/>
  <c r="CQ133" i="1" s="1"/>
  <c r="CQ150" i="1"/>
  <c r="CR148" i="1"/>
  <c r="CR149" i="1" s="1"/>
  <c r="CS129" i="1"/>
  <c r="CR131" i="1"/>
  <c r="CR132" i="1" s="1"/>
  <c r="CT129" i="1" l="1"/>
  <c r="CS131" i="1"/>
  <c r="CS132" i="1" s="1"/>
  <c r="CR150" i="1"/>
  <c r="CS148" i="1"/>
  <c r="CS149" i="1" s="1"/>
  <c r="CS111" i="1"/>
  <c r="CR120" i="1"/>
  <c r="CR121" i="1" s="1"/>
  <c r="CR133" i="1" s="1"/>
  <c r="CS120" i="1" l="1"/>
  <c r="CS121" i="1" s="1"/>
  <c r="CS133" i="1" s="1"/>
  <c r="CT111" i="1"/>
  <c r="CT148" i="1"/>
  <c r="CT149" i="1" s="1"/>
  <c r="CS150" i="1"/>
  <c r="CT131" i="1"/>
  <c r="CT132" i="1" s="1"/>
  <c r="CU129" i="1"/>
  <c r="CV129" i="1" l="1"/>
  <c r="CU131" i="1"/>
  <c r="CU132" i="1" s="1"/>
  <c r="CU148" i="1"/>
  <c r="CU149" i="1" s="1"/>
  <c r="CT150" i="1"/>
  <c r="CT120" i="1"/>
  <c r="CT121" i="1" s="1"/>
  <c r="CT133" i="1" s="1"/>
  <c r="CU111" i="1"/>
  <c r="CV111" i="1" l="1"/>
  <c r="CU120" i="1"/>
  <c r="CU121" i="1" s="1"/>
  <c r="CU133" i="1" s="1"/>
  <c r="CU150" i="1"/>
  <c r="CV148" i="1"/>
  <c r="CV149" i="1" s="1"/>
  <c r="CV131" i="1"/>
  <c r="CV132" i="1" s="1"/>
  <c r="CW129" i="1"/>
  <c r="CX129" i="1" l="1"/>
  <c r="CW131" i="1"/>
  <c r="CW132" i="1" s="1"/>
  <c r="CW148" i="1"/>
  <c r="CW149" i="1" s="1"/>
  <c r="CV150" i="1"/>
  <c r="CV120" i="1"/>
  <c r="CV121" i="1" s="1"/>
  <c r="CV133" i="1" s="1"/>
  <c r="CW111" i="1"/>
  <c r="CX111" i="1" l="1"/>
  <c r="CW120" i="1"/>
  <c r="CW121" i="1" s="1"/>
  <c r="CW133" i="1" s="1"/>
  <c r="CX148" i="1"/>
  <c r="CX149" i="1" s="1"/>
  <c r="CW150" i="1"/>
  <c r="CX131" i="1"/>
  <c r="CX132" i="1" s="1"/>
  <c r="CY129" i="1"/>
  <c r="CZ129" i="1" l="1"/>
  <c r="CY131" i="1"/>
  <c r="CY132" i="1" s="1"/>
  <c r="CY148" i="1"/>
  <c r="CY149" i="1" s="1"/>
  <c r="CX150" i="1"/>
  <c r="CX120" i="1"/>
  <c r="CX121" i="1" s="1"/>
  <c r="CX133" i="1" s="1"/>
  <c r="CY111" i="1"/>
  <c r="CZ111" i="1" l="1"/>
  <c r="CY120" i="1"/>
  <c r="CY121" i="1" s="1"/>
  <c r="CY133" i="1" s="1"/>
  <c r="CY150" i="1"/>
  <c r="CZ148" i="1"/>
  <c r="CZ149" i="1" s="1"/>
  <c r="CZ131" i="1"/>
  <c r="CZ132" i="1" s="1"/>
  <c r="DA129" i="1"/>
  <c r="DB129" i="1" l="1"/>
  <c r="DA131" i="1"/>
  <c r="DA132" i="1" s="1"/>
  <c r="DA148" i="1"/>
  <c r="DA149" i="1" s="1"/>
  <c r="CZ150" i="1"/>
  <c r="CZ120" i="1"/>
  <c r="CZ121" i="1" s="1"/>
  <c r="CZ133" i="1" s="1"/>
  <c r="DA111" i="1"/>
  <c r="DA120" i="1" l="1"/>
  <c r="DA121" i="1" s="1"/>
  <c r="DA133" i="1" s="1"/>
  <c r="DB111" i="1"/>
  <c r="DB148" i="1"/>
  <c r="DB149" i="1" s="1"/>
  <c r="DA150" i="1"/>
  <c r="DB131" i="1"/>
  <c r="DB132" i="1" s="1"/>
  <c r="DC129" i="1"/>
  <c r="DC131" i="1" l="1"/>
  <c r="DC132" i="1" s="1"/>
  <c r="DD129" i="1"/>
  <c r="DB150" i="1"/>
  <c r="DC148" i="1"/>
  <c r="DC149" i="1" s="1"/>
  <c r="DC111" i="1"/>
  <c r="DB120" i="1"/>
  <c r="DB121" i="1" s="1"/>
  <c r="DB133" i="1" s="1"/>
  <c r="DD111" i="1" l="1"/>
  <c r="DC120" i="1"/>
  <c r="DC121" i="1" s="1"/>
  <c r="DC133" i="1" s="1"/>
  <c r="DC150" i="1"/>
  <c r="DD148" i="1"/>
  <c r="DD149" i="1" s="1"/>
  <c r="DD131" i="1"/>
  <c r="DD132" i="1" s="1"/>
  <c r="DE129" i="1"/>
  <c r="DF129" i="1" l="1"/>
  <c r="DE131" i="1"/>
  <c r="DE132" i="1" s="1"/>
  <c r="DE148" i="1"/>
  <c r="DE149" i="1" s="1"/>
  <c r="DD150" i="1"/>
  <c r="DD120" i="1"/>
  <c r="DD121" i="1" s="1"/>
  <c r="DD133" i="1" s="1"/>
  <c r="DE111" i="1"/>
  <c r="DF111" i="1" l="1"/>
  <c r="DE120" i="1"/>
  <c r="DE121" i="1" s="1"/>
  <c r="DE133" i="1" s="1"/>
  <c r="DF148" i="1"/>
  <c r="DF149" i="1" s="1"/>
  <c r="DE150" i="1"/>
  <c r="DF131" i="1"/>
  <c r="DF132" i="1" s="1"/>
  <c r="DG129" i="1"/>
  <c r="DG131" i="1" s="1"/>
  <c r="DG132" i="1" s="1"/>
  <c r="DF150" i="1" l="1"/>
  <c r="DG148" i="1"/>
  <c r="DG149" i="1" s="1"/>
  <c r="DF120" i="1"/>
  <c r="DF121" i="1" s="1"/>
  <c r="DF133" i="1" s="1"/>
  <c r="DG111" i="1"/>
  <c r="DG120" i="1" s="1"/>
  <c r="DG121" i="1" s="1"/>
  <c r="DG133" i="1" s="1"/>
  <c r="DG1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tc={C6FCD979-1374-4A1B-A294-11D803D8AB2C}</author>
    <author>tc={652DF29B-C80F-474D-9452-32A45BAD392F}</author>
    <author>tc={973B5C3F-CC1C-478B-AAEB-95C45A193E9C}</author>
  </authors>
  <commentList>
    <comment ref="S77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77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E127" authorId="2" shapeId="0" xr:uid="{C6FCD979-1374-4A1B-A294-11D803D8AB2C}">
      <text>
        <t>[Threaded comment]
Your version of Excel allows you to read this threaded comment; however, any edits to it will get removed if the file is opened in a newer version of Excel. Learn more: https://go.microsoft.com/fwlink/?linkid=870924
Comment:
    $4k Contribution for taxes</t>
      </text>
    </comment>
    <comment ref="AD128" authorId="3" shapeId="0" xr:uid="{652DF29B-C80F-474D-9452-32A45BAD39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$800 Distribution</t>
      </text>
    </comment>
    <comment ref="AE128" authorId="4" shapeId="0" xr:uid="{973B5C3F-CC1C-478B-AAEB-95C45A193E9C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2023 Tax Payment</t>
      </text>
    </comment>
  </commentList>
</comments>
</file>

<file path=xl/sharedStrings.xml><?xml version="1.0" encoding="utf-8"?>
<sst xmlns="http://schemas.openxmlformats.org/spreadsheetml/2006/main" count="1142" uniqueCount="355">
  <si>
    <t>Total</t>
  </si>
  <si>
    <t>Income</t>
  </si>
  <si>
    <t xml:space="preserve">   50000 Service Income</t>
  </si>
  <si>
    <t xml:space="preserve">      50100 Tutoring Sessions</t>
  </si>
  <si>
    <t xml:space="preserve">      50200 SAT/ACT Prep</t>
  </si>
  <si>
    <t xml:space="preserve">      50400 College Essay Review</t>
  </si>
  <si>
    <t xml:space="preserve">   Total 50000 Service 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</si>
  <si>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</si>
  <si>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</si>
  <si>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</si>
  <si>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</si>
  <si>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</si>
  <si>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</si>
  <si>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</si>
  <si>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</si>
  <si>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</si>
  <si>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</si>
  <si>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</si>
  <si>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</si>
  <si>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</si>
  <si>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   10100 Operating - 5974</t>
  </si>
  <si>
    <t xml:space="preserve">         10200 MM - 6659</t>
  </si>
  <si>
    <t xml:space="preserve">         10300 Savings - 6634</t>
  </si>
  <si>
    <t xml:space="preserve">         10400 Cash In Transit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</si>
  <si>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</si>
  <si>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</si>
  <si>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</si>
  <si>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</si>
  <si>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</si>
  <si>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</si>
  <si>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</si>
  <si>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</si>
  <si>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</si>
  <si>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</si>
  <si>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40100 Owner Contributions</t>
  </si>
  <si>
    <t xml:space="preserve">      40200 Owner Distributions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</si>
  <si>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</si>
  <si>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</si>
  <si>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</si>
  <si>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</si>
  <si>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</si>
  <si>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</si>
  <si>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</si>
  <si>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</si>
  <si>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</si>
  <si>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</si>
  <si>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</si>
  <si>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</si>
  <si>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</si>
  <si>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</si>
  <si>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</si>
  <si>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</si>
  <si>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</si>
  <si>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</si>
  <si>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</si>
  <si>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</si>
  <si>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</si>
  <si>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</si>
  <si>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</si>
  <si>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</si>
  <si>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</si>
  <si>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</si>
  <si>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Hours / Day</t>
  </si>
  <si>
    <t>Total Bill Hours</t>
  </si>
  <si>
    <t>Realized / Effective Bill Rate</t>
  </si>
  <si>
    <t>Utilization %</t>
  </si>
  <si>
    <t># of Students</t>
  </si>
  <si>
    <t>Net New Students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</si>
  <si>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</si>
  <si>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</si>
  <si>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</si>
  <si>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</si>
  <si>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</si>
  <si>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</si>
  <si>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</si>
  <si>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</si>
  <si>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</si>
  <si>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</si>
  <si>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</si>
  <si>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</si>
  <si>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</si>
  <si>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</si>
  <si>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</si>
  <si>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</si>
  <si>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</si>
  <si>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</si>
  <si>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</si>
  <si>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</si>
  <si>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</si>
  <si>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</si>
  <si>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</si>
  <si>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</si>
  <si>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</si>
  <si>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</si>
  <si>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</si>
  <si>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</si>
  <si>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</si>
  <si>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</si>
  <si>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</si>
  <si>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</si>
  <si>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</si>
  <si>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</si>
  <si>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</si>
  <si>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</si>
  <si>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</si>
  <si>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</si>
  <si>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</si>
  <si>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</si>
  <si>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</si>
  <si>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</si>
  <si>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</si>
  <si>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</si>
  <si>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</si>
  <si>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</si>
  <si>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</si>
  <si>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</si>
  <si>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</si>
  <si>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</si>
  <si>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</si>
  <si>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</si>
  <si>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</si>
  <si>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</si>
  <si>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</si>
  <si>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</si>
  <si>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</si>
  <si>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</si>
  <si>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</si>
  <si>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</si>
  <si>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</si>
  <si>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</si>
  <si>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</si>
  <si>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</si>
  <si>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</si>
  <si>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</si>
  <si>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</si>
  <si>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</si>
  <si>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</si>
  <si>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</si>
  <si>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</si>
  <si>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</si>
  <si>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</si>
  <si>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</si>
  <si>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</si>
  <si>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</si>
  <si>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</si>
  <si>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</si>
  <si>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</si>
  <si>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</si>
  <si>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</si>
  <si>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</si>
  <si>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</si>
  <si>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</si>
  <si>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</si>
  <si>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</si>
  <si>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</si>
  <si>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</si>
  <si>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</si>
  <si>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</si>
  <si>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</si>
  <si>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</si>
  <si>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</si>
  <si>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</si>
  <si>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River Hours</t>
  </si>
  <si>
    <t xml:space="preserve"> 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</si>
  <si>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</si>
  <si>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</si>
  <si>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</si>
  <si>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</si>
  <si>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</si>
  <si>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</si>
  <si>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</si>
  <si>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</si>
  <si>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</si>
  <si>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</si>
  <si>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</si>
  <si>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</si>
  <si>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</si>
  <si>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</si>
  <si>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</si>
  <si>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</si>
  <si>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</si>
  <si>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</si>
  <si>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</si>
  <si>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</si>
  <si>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</si>
  <si>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</si>
  <si>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</si>
  <si>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</si>
  <si>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</si>
  <si>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</si>
  <si>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</si>
  <si>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</si>
  <si>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</si>
  <si>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</si>
  <si>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</si>
  <si>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</si>
  <si>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</si>
  <si>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</si>
  <si>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</si>
  <si>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</si>
  <si>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</si>
  <si>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</si>
  <si>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</si>
  <si>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</si>
  <si>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</si>
  <si>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</si>
  <si>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</si>
  <si>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</si>
  <si>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</si>
  <si>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</si>
  <si>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</si>
  <si>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</si>
  <si>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</si>
  <si>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</si>
  <si>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</si>
  <si>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</si>
  <si>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</si>
  <si>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</si>
  <si>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</si>
  <si>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</si>
  <si>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</si>
  <si>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</si>
  <si>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      30100 Cash In Transit</t>
  </si>
  <si>
    <t xml:space="preserve">   Total Other Current Assets</t>
  </si>
  <si>
    <t xml:space="preserve">   70000 Tips/Miscellaneous</t>
  </si>
  <si>
    <t xml:space="preserve">         Undeposited Funds</t>
  </si>
  <si>
    <t>Actual</t>
  </si>
  <si>
    <t>Variance</t>
  </si>
  <si>
    <t>Additions</t>
  </si>
  <si>
    <t>Subtrctions</t>
  </si>
  <si>
    <t>Implied Tenure</t>
  </si>
  <si>
    <t>Average Revenue</t>
  </si>
  <si>
    <t>Lifetime Revenue</t>
  </si>
  <si>
    <t>GM%</t>
  </si>
  <si>
    <t>LTV/CAC</t>
  </si>
  <si>
    <t>Payback</t>
  </si>
  <si>
    <t>T3M CAC</t>
  </si>
  <si>
    <t>T3M LTV</t>
  </si>
  <si>
    <t>T6M Avg Monthly Attrition</t>
  </si>
  <si>
    <t>Hours / Day / Student</t>
  </si>
  <si>
    <t>Forecast</t>
  </si>
  <si>
    <t>Name</t>
  </si>
  <si>
    <t>Position</t>
  </si>
  <si>
    <t>Hourly Rate</t>
  </si>
  <si>
    <t>NOI %</t>
  </si>
  <si>
    <t>Subsititute Tutor</t>
  </si>
  <si>
    <t>Q1 2024</t>
  </si>
  <si>
    <t>Q2 2024</t>
  </si>
  <si>
    <t>Q3 2024</t>
  </si>
  <si>
    <t>Q4 2024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</si>
  <si>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</si>
  <si>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</si>
  <si>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</si>
  <si>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</si>
  <si>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</si>
  <si>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</si>
  <si>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</si>
  <si>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</si>
  <si>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</si>
  <si>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</si>
  <si>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</si>
  <si>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</si>
  <si>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2024 Overview (Rolling Forecast)</t>
  </si>
  <si>
    <t>2024 Overview (Annual Operating Plan)</t>
  </si>
  <si>
    <t xml:space="preserve">      50500 Interview Prep</t>
  </si>
  <si>
    <t xml:space="preserve">   Computer &amp; Software</t>
  </si>
  <si>
    <t>Donations/Gifts</t>
  </si>
  <si>
    <t>Fees/Subscriptions</t>
  </si>
  <si>
    <t>Finance &amp; Accounting</t>
  </si>
  <si>
    <t>Bank Fees</t>
  </si>
  <si>
    <t>Meals and Entertainment</t>
  </si>
  <si>
    <t>QBO Fees</t>
  </si>
  <si>
    <t>Professional/Legal Fees</t>
  </si>
  <si>
    <t>Utilities</t>
  </si>
  <si>
    <t>60000 G&amp;A Expenses</t>
  </si>
  <si>
    <t xml:space="preserve">   30200 Events/Sponsorships</t>
  </si>
  <si>
    <t>30000 Sales &amp; Marketing Expenses</t>
  </si>
  <si>
    <t>Total Sales &amp; Marketing Expenses</t>
  </si>
  <si>
    <t>Total Operating Expenses</t>
  </si>
  <si>
    <t>Sales &amp; Marketing Expenses</t>
  </si>
  <si>
    <t>Budget</t>
  </si>
  <si>
    <t>Events</t>
  </si>
  <si>
    <t>Variance (Budget)</t>
  </si>
  <si>
    <t>Variance (Forecast)</t>
  </si>
  <si>
    <t>NOI%</t>
  </si>
  <si>
    <t>Cash Distributions</t>
  </si>
  <si>
    <t>Cash Contributions</t>
  </si>
  <si>
    <t>Total Tutoring Hours</t>
  </si>
  <si>
    <t>Total SAT/ACT Prep Hours</t>
  </si>
  <si>
    <t>Total Dance Hours</t>
  </si>
  <si>
    <t xml:space="preserve">         10500 Scholarship Fund</t>
  </si>
  <si>
    <t>Tutoring Bill Rate</t>
  </si>
  <si>
    <t>SAT/ACT Bill Rate</t>
  </si>
  <si>
    <t>Dance Bill Rate</t>
  </si>
  <si>
    <t>Taxes/Licenses</t>
  </si>
  <si>
    <t xml:space="preserve">      50300 Resume Review</t>
  </si>
  <si>
    <t>Total Resume Review</t>
  </si>
  <si>
    <t>Avg. # of Students</t>
  </si>
  <si>
    <t>EOY # of Students</t>
  </si>
  <si>
    <t>QBO Fees as a % of Revenue</t>
  </si>
  <si>
    <t>Tips as a % of Revenue</t>
  </si>
  <si>
    <t>Tips</t>
  </si>
  <si>
    <t>Resume Review Bill Rate</t>
  </si>
  <si>
    <t>College Services Bill Rate</t>
  </si>
  <si>
    <t>Total College Service Hours</t>
  </si>
  <si>
    <t>CAC</t>
  </si>
  <si>
    <t>Accrued Tax Burden</t>
  </si>
  <si>
    <t>Owner Cash Distributions</t>
  </si>
  <si>
    <t xml:space="preserve">Madeline </t>
  </si>
  <si>
    <t>Intern</t>
  </si>
  <si>
    <t>Nvaid</t>
  </si>
  <si>
    <t>Charles</t>
  </si>
  <si>
    <t>Total Contractors Expense</t>
  </si>
  <si>
    <t>Avg. Hours</t>
  </si>
  <si>
    <t>2024 AOP Income</t>
  </si>
  <si>
    <t>2024 AOP Net Income</t>
  </si>
  <si>
    <t>2024 AOP Avg. Students</t>
  </si>
  <si>
    <t>Q1</t>
  </si>
  <si>
    <t>Q2</t>
  </si>
  <si>
    <t>Q3</t>
  </si>
  <si>
    <t>Q4</t>
  </si>
  <si>
    <t>Cheri?</t>
  </si>
  <si>
    <t>Rising Freshmen</t>
  </si>
  <si>
    <t xml:space="preserve">   Total 50000 Subcontractors</t>
  </si>
  <si>
    <t xml:space="preserve">      51000 Subcontractors - Interns</t>
  </si>
  <si>
    <t xml:space="preserve">      51000 Subcontractors - Tutors</t>
  </si>
  <si>
    <t xml:space="preserve">   50000 Subcontractors</t>
  </si>
  <si>
    <t>Total Interns Expense</t>
  </si>
  <si>
    <t>Total Tutors Expense</t>
  </si>
  <si>
    <t>GP %</t>
  </si>
  <si>
    <t>Subcontractors</t>
  </si>
  <si>
    <t>Subcontractor Expenses</t>
  </si>
  <si>
    <t>Gross Proft</t>
  </si>
  <si>
    <t># of Sessions</t>
  </si>
  <si>
    <t>Travel</t>
  </si>
  <si>
    <t>KPIs</t>
  </si>
  <si>
    <t xml:space="preserve">      60100 Travel</t>
  </si>
  <si>
    <t xml:space="preserve">      60200 Computer &amp; Software Expenses</t>
  </si>
  <si>
    <t xml:space="preserve">      60210 Website Services</t>
  </si>
  <si>
    <t xml:space="preserve">      60300 Donations/Gifts</t>
  </si>
  <si>
    <t xml:space="preserve">      60400 Fees/Subscriptions</t>
  </si>
  <si>
    <t xml:space="preserve">      60500 Finance &amp; Accounting</t>
  </si>
  <si>
    <t xml:space="preserve">      60600 Bank Fees</t>
  </si>
  <si>
    <t xml:space="preserve">      60700 Meals and Entertainment</t>
  </si>
  <si>
    <t xml:space="preserve">      60800 QB Fees</t>
  </si>
  <si>
    <t xml:space="preserve">      60900 Professional/Legal Fees</t>
  </si>
  <si>
    <t xml:space="preserve">      61100 Utilities</t>
  </si>
  <si>
    <t xml:space="preserve">      61200 Taxes/Licenses</t>
  </si>
  <si>
    <t>Other Expenses</t>
  </si>
  <si>
    <t xml:space="preserve">   73000 Home Office Deduction</t>
  </si>
  <si>
    <t>Total Other Expenses</t>
  </si>
  <si>
    <t>Total Net Other Income (Expense)</t>
  </si>
  <si>
    <t>Total Revenue</t>
  </si>
  <si>
    <t>f</t>
  </si>
  <si>
    <t>Total Billed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</si>
</sst>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</numFmts>
  <fonts count="6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/>
      <name val="Times New Roman"/>
      <family val="1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2"/>
      <color indexed="8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9"/>
      <name val="Arial"/>
      <family val="2"/>
    </font>
    <font>
      <b/>
      <sz val="8"/>
      <name val="Arial"/>
      <family val="2"/>
    </font>
    <font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dotted">
        <color auto="1"/>
      </left>
      <right/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dotted">
        <color auto="1"/>
      </left>
      <right/>
      <top style="thin">
        <color indexed="64"/>
      </top>
      <bottom style="thin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/>
      <right style="dotted">
        <color auto="1"/>
      </right>
      <top style="thick">
        <color auto="1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</cellStyleXfs>
  <cellXfs count="636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18" fillId="2" borderId="8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167" fontId="21" fillId="2" borderId="8" xfId="1" applyNumberFormat="1" applyFont="1" applyFill="1" applyBorder="1"/>
    <xf numFmtId="43" fontId="18" fillId="0" borderId="0" xfId="1" applyFont="1" applyFill="1" applyBorder="1"/>
    <xf numFmtId="43" fontId="21" fillId="2" borderId="0" xfId="1" applyFont="1" applyFill="1" applyBorder="1"/>
    <xf numFmtId="43" fontId="21" fillId="2" borderId="8" xfId="1" applyFont="1" applyFill="1" applyBorder="1"/>
    <xf numFmtId="167" fontId="18" fillId="2" borderId="0" xfId="1" applyNumberFormat="1" applyFont="1" applyFill="1" applyBorder="1"/>
    <xf numFmtId="167" fontId="18" fillId="2" borderId="8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44" fontId="18" fillId="2" borderId="8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7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7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9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1" fillId="4" borderId="0" xfId="0" applyFont="1" applyFill="1" applyAlignment="1">
      <alignment horizontal="right" vertical="center"/>
    </xf>
    <xf numFmtId="170" fontId="32" fillId="4" borderId="0" xfId="0" applyNumberFormat="1" applyFont="1" applyFill="1" applyAlignment="1">
      <alignment horizontal="center" vertical="center"/>
    </xf>
    <xf numFmtId="0" fontId="33" fillId="4" borderId="0" xfId="0" applyFont="1" applyFill="1" applyAlignment="1">
      <alignment vertical="center"/>
    </xf>
    <xf numFmtId="171" fontId="32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3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5" fillId="0" borderId="0" xfId="0" applyFont="1" applyAlignment="1">
      <alignment horizontal="right"/>
    </xf>
    <xf numFmtId="168" fontId="35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2" fillId="10" borderId="2" xfId="2" applyNumberFormat="1" applyFont="1" applyFill="1" applyBorder="1" applyAlignment="1">
      <alignment horizontal="right"/>
    </xf>
    <xf numFmtId="172" fontId="32" fillId="10" borderId="2" xfId="2" applyNumberFormat="1" applyFont="1" applyFill="1" applyBorder="1"/>
    <xf numFmtId="0" fontId="34" fillId="10" borderId="0" xfId="0" applyFont="1" applyFill="1" applyAlignment="1">
      <alignment horizontal="right"/>
    </xf>
    <xf numFmtId="168" fontId="34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0" fontId="33" fillId="0" borderId="7" xfId="0" applyFont="1" applyBorder="1"/>
    <xf numFmtId="0" fontId="33" fillId="0" borderId="8" xfId="0" applyFont="1" applyBorder="1"/>
    <xf numFmtId="0" fontId="33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6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7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5" fillId="2" borderId="15" xfId="0" applyFont="1" applyFill="1" applyBorder="1"/>
    <xf numFmtId="168" fontId="24" fillId="2" borderId="15" xfId="0" applyNumberFormat="1" applyFont="1" applyFill="1" applyBorder="1"/>
    <xf numFmtId="168" fontId="24" fillId="2" borderId="16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19" fillId="0" borderId="2" xfId="1" applyNumberFormat="1" applyFont="1" applyFill="1" applyBorder="1"/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7" xfId="1" applyNumberFormat="1" applyFont="1" applyFill="1" applyBorder="1" applyAlignment="1"/>
    <xf numFmtId="170" fontId="32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2" fillId="10" borderId="13" xfId="2" applyNumberFormat="1" applyFont="1" applyFill="1" applyBorder="1"/>
    <xf numFmtId="168" fontId="34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5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 wrapText="1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43" fontId="11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10" fontId="0" fillId="2" borderId="15" xfId="3" applyNumberFormat="1" applyFont="1" applyFill="1" applyBorder="1"/>
    <xf numFmtId="44" fontId="0" fillId="0" borderId="3" xfId="0" applyNumberFormat="1" applyBorder="1"/>
    <xf numFmtId="14" fontId="0" fillId="0" borderId="0" xfId="0" applyNumberFormat="1"/>
    <xf numFmtId="44" fontId="0" fillId="0" borderId="0" xfId="2" applyFont="1" applyBorder="1"/>
    <xf numFmtId="44" fontId="0" fillId="2" borderId="0" xfId="2" applyFont="1" applyFill="1" applyBorder="1"/>
    <xf numFmtId="0" fontId="0" fillId="0" borderId="27" xfId="0" applyBorder="1"/>
    <xf numFmtId="44" fontId="0" fillId="0" borderId="27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7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" fontId="18" fillId="2" borderId="8" xfId="2" applyNumberFormat="1" applyFont="1" applyFill="1" applyBorder="1"/>
    <xf numFmtId="174" fontId="18" fillId="2" borderId="0" xfId="3" applyNumberFormat="1" applyFont="1" applyFill="1" applyBorder="1"/>
    <xf numFmtId="174" fontId="18" fillId="2" borderId="8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6" fontId="18" fillId="2" borderId="8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177" fontId="18" fillId="2" borderId="8" xfId="2" applyNumberFormat="1" applyFont="1" applyFill="1" applyBorder="1"/>
    <xf numFmtId="0" fontId="0" fillId="0" borderId="20" xfId="0" applyBorder="1"/>
    <xf numFmtId="43" fontId="0" fillId="0" borderId="20" xfId="1" applyFont="1" applyBorder="1"/>
    <xf numFmtId="170" fontId="32" fillId="4" borderId="29" xfId="0" applyNumberFormat="1" applyFont="1" applyFill="1" applyBorder="1" applyAlignment="1">
      <alignment horizontal="center" vertical="center"/>
    </xf>
    <xf numFmtId="14" fontId="10" fillId="0" borderId="29" xfId="0" applyNumberFormat="1" applyFont="1" applyBorder="1"/>
    <xf numFmtId="167" fontId="0" fillId="0" borderId="29" xfId="0" applyNumberFormat="1" applyBorder="1" applyAlignment="1">
      <alignment horizontal="right" vertical="center"/>
    </xf>
    <xf numFmtId="172" fontId="17" fillId="2" borderId="30" xfId="2" applyNumberFormat="1" applyFont="1" applyFill="1" applyBorder="1" applyAlignment="1">
      <alignment horizontal="right"/>
    </xf>
    <xf numFmtId="173" fontId="0" fillId="0" borderId="29" xfId="0" applyNumberFormat="1" applyBorder="1"/>
    <xf numFmtId="172" fontId="32" fillId="10" borderId="30" xfId="2" applyNumberFormat="1" applyFont="1" applyFill="1" applyBorder="1"/>
    <xf numFmtId="168" fontId="34" fillId="10" borderId="29" xfId="0" applyNumberFormat="1" applyFont="1" applyFill="1" applyBorder="1" applyAlignment="1">
      <alignment horizontal="right"/>
    </xf>
    <xf numFmtId="0" fontId="0" fillId="0" borderId="29" xfId="0" applyBorder="1"/>
    <xf numFmtId="172" fontId="11" fillId="2" borderId="30" xfId="2" applyNumberFormat="1" applyFont="1" applyFill="1" applyBorder="1" applyAlignment="1"/>
    <xf numFmtId="168" fontId="35" fillId="0" borderId="29" xfId="0" applyNumberFormat="1" applyFont="1" applyBorder="1"/>
    <xf numFmtId="43" fontId="0" fillId="0" borderId="29" xfId="1" applyFont="1" applyBorder="1" applyAlignment="1">
      <alignment horizontal="right" vertical="center"/>
    </xf>
    <xf numFmtId="44" fontId="8" fillId="4" borderId="32" xfId="2" applyFont="1" applyFill="1" applyBorder="1" applyAlignment="1">
      <alignment horizontal="right"/>
    </xf>
    <xf numFmtId="44" fontId="8" fillId="4" borderId="31" xfId="0" applyNumberFormat="1" applyFont="1" applyFill="1" applyBorder="1" applyAlignment="1">
      <alignment horizontal="right"/>
    </xf>
    <xf numFmtId="0" fontId="30" fillId="3" borderId="0" xfId="0" applyFont="1" applyFill="1"/>
    <xf numFmtId="2" fontId="0" fillId="0" borderId="0" xfId="3" applyNumberFormat="1" applyFont="1" applyBorder="1"/>
    <xf numFmtId="167" fontId="11" fillId="0" borderId="29" xfId="0" applyNumberFormat="1" applyFont="1" applyBorder="1" applyAlignment="1">
      <alignment horizontal="right" vertical="center"/>
    </xf>
    <xf numFmtId="173" fontId="11" fillId="0" borderId="29" xfId="0" applyNumberFormat="1" applyFont="1" applyBorder="1"/>
    <xf numFmtId="0" fontId="11" fillId="0" borderId="29" xfId="0" applyFont="1" applyBorder="1"/>
    <xf numFmtId="168" fontId="12" fillId="0" borderId="29" xfId="0" applyNumberFormat="1" applyFont="1" applyBorder="1"/>
    <xf numFmtId="43" fontId="11" fillId="0" borderId="29" xfId="1" applyFont="1" applyBorder="1" applyAlignment="1">
      <alignment horizontal="right" vertical="center"/>
    </xf>
    <xf numFmtId="0" fontId="5" fillId="0" borderId="5" xfId="0" applyFont="1" applyBorder="1" applyAlignment="1">
      <alignment wrapText="1"/>
    </xf>
    <xf numFmtId="0" fontId="10" fillId="0" borderId="0" xfId="0" applyFont="1"/>
    <xf numFmtId="167" fontId="11" fillId="7" borderId="29" xfId="0" applyNumberFormat="1" applyFont="1" applyFill="1" applyBorder="1" applyAlignment="1">
      <alignment horizontal="right" vertical="center"/>
    </xf>
    <xf numFmtId="172" fontId="17" fillId="7" borderId="30" xfId="2" applyNumberFormat="1" applyFont="1" applyFill="1" applyBorder="1" applyAlignment="1">
      <alignment horizontal="right"/>
    </xf>
    <xf numFmtId="173" fontId="11" fillId="7" borderId="29" xfId="0" applyNumberFormat="1" applyFont="1" applyFill="1" applyBorder="1"/>
    <xf numFmtId="172" fontId="39" fillId="7" borderId="30" xfId="2" applyNumberFormat="1" applyFont="1" applyFill="1" applyBorder="1"/>
    <xf numFmtId="168" fontId="40" fillId="7" borderId="29" xfId="0" applyNumberFormat="1" applyFont="1" applyFill="1" applyBorder="1" applyAlignment="1">
      <alignment horizontal="right"/>
    </xf>
    <xf numFmtId="0" fontId="17" fillId="7" borderId="29" xfId="0" applyFont="1" applyFill="1" applyBorder="1"/>
    <xf numFmtId="167" fontId="17" fillId="7" borderId="29" xfId="0" applyNumberFormat="1" applyFont="1" applyFill="1" applyBorder="1" applyAlignment="1">
      <alignment horizontal="right" vertical="center"/>
    </xf>
    <xf numFmtId="172" fontId="17" fillId="7" borderId="30" xfId="2" applyNumberFormat="1" applyFont="1" applyFill="1" applyBorder="1" applyAlignment="1"/>
    <xf numFmtId="168" fontId="40" fillId="7" borderId="29" xfId="0" applyNumberFormat="1" applyFont="1" applyFill="1" applyBorder="1"/>
    <xf numFmtId="43" fontId="17" fillId="7" borderId="29" xfId="1" applyFont="1" applyFill="1" applyBorder="1" applyAlignment="1">
      <alignment horizontal="right" vertical="center"/>
    </xf>
    <xf numFmtId="168" fontId="15" fillId="7" borderId="29" xfId="0" applyNumberFormat="1" applyFont="1" applyFill="1" applyBorder="1" applyAlignment="1">
      <alignment horizontal="right"/>
    </xf>
    <xf numFmtId="0" fontId="21" fillId="0" borderId="29" xfId="0" applyFont="1" applyBorder="1"/>
    <xf numFmtId="44" fontId="30" fillId="3" borderId="0" xfId="0" applyNumberFormat="1" applyFont="1" applyFill="1"/>
    <xf numFmtId="167" fontId="17" fillId="2" borderId="0" xfId="1" applyNumberFormat="1" applyFont="1" applyFill="1" applyBorder="1" applyAlignment="1">
      <alignment horizontal="right"/>
    </xf>
    <xf numFmtId="172" fontId="0" fillId="0" borderId="0" xfId="0" applyNumberFormat="1"/>
    <xf numFmtId="43" fontId="0" fillId="12" borderId="0" xfId="1" applyFont="1" applyFill="1" applyBorder="1"/>
    <xf numFmtId="1" fontId="0" fillId="2" borderId="34" xfId="0" applyNumberFormat="1" applyFill="1" applyBorder="1"/>
    <xf numFmtId="1" fontId="0" fillId="2" borderId="33" xfId="0" applyNumberFormat="1" applyFill="1" applyBorder="1"/>
    <xf numFmtId="2" fontId="0" fillId="2" borderId="33" xfId="0" applyNumberFormat="1" applyFill="1" applyBorder="1"/>
    <xf numFmtId="0" fontId="0" fillId="2" borderId="33" xfId="0" applyFill="1" applyBorder="1"/>
    <xf numFmtId="44" fontId="0" fillId="2" borderId="33" xfId="2" applyFont="1" applyFill="1" applyBorder="1" applyAlignment="1"/>
    <xf numFmtId="44" fontId="0" fillId="2" borderId="0" xfId="2" applyFont="1" applyFill="1" applyBorder="1" applyAlignment="1"/>
    <xf numFmtId="10" fontId="0" fillId="2" borderId="35" xfId="3" applyNumberFormat="1" applyFont="1" applyFill="1" applyBorder="1" applyAlignment="1"/>
    <xf numFmtId="10" fontId="0" fillId="2" borderId="15" xfId="3" applyNumberFormat="1" applyFont="1" applyFill="1" applyBorder="1" applyAlignment="1"/>
    <xf numFmtId="44" fontId="0" fillId="0" borderId="33" xfId="2" applyFont="1" applyBorder="1" applyAlignment="1"/>
    <xf numFmtId="44" fontId="0" fillId="0" borderId="0" xfId="2" applyFont="1" applyBorder="1" applyAlignment="1"/>
    <xf numFmtId="44" fontId="0" fillId="0" borderId="37" xfId="0" applyNumberFormat="1" applyBorder="1"/>
    <xf numFmtId="44" fontId="0" fillId="0" borderId="33" xfId="0" applyNumberFormat="1" applyBorder="1"/>
    <xf numFmtId="44" fontId="0" fillId="0" borderId="38" xfId="0" applyNumberFormat="1" applyBorder="1"/>
    <xf numFmtId="44" fontId="0" fillId="0" borderId="27" xfId="2" applyFont="1" applyBorder="1" applyAlignment="1"/>
    <xf numFmtId="0" fontId="31" fillId="4" borderId="39" xfId="0" applyFont="1" applyFill="1" applyBorder="1" applyAlignment="1">
      <alignment horizontal="right" vertical="center"/>
    </xf>
    <xf numFmtId="170" fontId="32" fillId="4" borderId="2" xfId="0" applyNumberFormat="1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vertical="center"/>
    </xf>
    <xf numFmtId="171" fontId="32" fillId="4" borderId="17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right"/>
    </xf>
    <xf numFmtId="0" fontId="0" fillId="0" borderId="40" xfId="0" applyBorder="1" applyAlignment="1">
      <alignment horizontal="right" vertical="center"/>
    </xf>
    <xf numFmtId="167" fontId="0" fillId="0" borderId="20" xfId="0" applyNumberFormat="1" applyBorder="1" applyAlignment="1">
      <alignment horizontal="right" vertical="center"/>
    </xf>
    <xf numFmtId="172" fontId="17" fillId="2" borderId="39" xfId="2" applyNumberFormat="1" applyFont="1" applyFill="1" applyBorder="1" applyAlignment="1">
      <alignment horizontal="right"/>
    </xf>
    <xf numFmtId="172" fontId="17" fillId="2" borderId="17" xfId="2" applyNumberFormat="1" applyFont="1" applyFill="1" applyBorder="1" applyAlignment="1">
      <alignment horizontal="right"/>
    </xf>
    <xf numFmtId="172" fontId="17" fillId="2" borderId="40" xfId="2" applyNumberFormat="1" applyFont="1" applyFill="1" applyBorder="1" applyAlignment="1">
      <alignment horizontal="right"/>
    </xf>
    <xf numFmtId="173" fontId="0" fillId="0" borderId="20" xfId="0" applyNumberFormat="1" applyBorder="1"/>
    <xf numFmtId="172" fontId="32" fillId="10" borderId="39" xfId="2" applyNumberFormat="1" applyFont="1" applyFill="1" applyBorder="1" applyAlignment="1">
      <alignment horizontal="right"/>
    </xf>
    <xf numFmtId="172" fontId="33" fillId="0" borderId="0" xfId="2" applyNumberFormat="1" applyFont="1" applyBorder="1"/>
    <xf numFmtId="172" fontId="32" fillId="10" borderId="17" xfId="2" applyNumberFormat="1" applyFont="1" applyFill="1" applyBorder="1"/>
    <xf numFmtId="0" fontId="34" fillId="10" borderId="40" xfId="0" applyFont="1" applyFill="1" applyBorder="1" applyAlignment="1">
      <alignment horizontal="right"/>
    </xf>
    <xf numFmtId="168" fontId="34" fillId="10" borderId="20" xfId="0" applyNumberFormat="1" applyFont="1" applyFill="1" applyBorder="1" applyAlignment="1">
      <alignment horizontal="right"/>
    </xf>
    <xf numFmtId="0" fontId="11" fillId="2" borderId="39" xfId="0" applyFont="1" applyFill="1" applyBorder="1" applyAlignment="1">
      <alignment horizontal="right"/>
    </xf>
    <xf numFmtId="172" fontId="0" fillId="0" borderId="0" xfId="2" applyNumberFormat="1" applyFont="1" applyBorder="1" applyAlignment="1"/>
    <xf numFmtId="172" fontId="11" fillId="2" borderId="17" xfId="2" applyNumberFormat="1" applyFont="1" applyFill="1" applyBorder="1" applyAlignment="1"/>
    <xf numFmtId="0" fontId="35" fillId="0" borderId="40" xfId="0" applyFont="1" applyBorder="1" applyAlignment="1">
      <alignment horizontal="right"/>
    </xf>
    <xf numFmtId="168" fontId="35" fillId="0" borderId="20" xfId="0" applyNumberFormat="1" applyFont="1" applyBorder="1"/>
    <xf numFmtId="0" fontId="8" fillId="4" borderId="41" xfId="0" applyFont="1" applyFill="1" applyBorder="1" applyAlignment="1">
      <alignment horizontal="right"/>
    </xf>
    <xf numFmtId="0" fontId="8" fillId="4" borderId="42" xfId="0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43" xfId="0" applyNumberFormat="1" applyFont="1" applyFill="1" applyBorder="1" applyAlignment="1">
      <alignment horizontal="right"/>
    </xf>
    <xf numFmtId="0" fontId="0" fillId="0" borderId="1" xfId="0" applyBorder="1"/>
    <xf numFmtId="0" fontId="0" fillId="0" borderId="44" xfId="0" applyBorder="1"/>
    <xf numFmtId="0" fontId="42" fillId="4" borderId="21" xfId="0" applyFont="1" applyFill="1" applyBorder="1" applyAlignment="1">
      <alignment horizontal="center"/>
    </xf>
    <xf numFmtId="0" fontId="43" fillId="0" borderId="0" xfId="0" applyFont="1"/>
    <xf numFmtId="0" fontId="46" fillId="2" borderId="22" xfId="0" applyFont="1" applyFill="1" applyBorder="1" applyAlignment="1">
      <alignment vertical="center"/>
    </xf>
    <xf numFmtId="0" fontId="49" fillId="2" borderId="24" xfId="0" applyFont="1" applyFill="1" applyBorder="1"/>
    <xf numFmtId="0" fontId="45" fillId="0" borderId="0" xfId="0" applyFont="1" applyAlignment="1">
      <alignment horizontal="center" wrapText="1"/>
    </xf>
    <xf numFmtId="172" fontId="17" fillId="2" borderId="0" xfId="2" applyNumberFormat="1" applyFont="1" applyFill="1" applyBorder="1" applyAlignment="1">
      <alignment horizontal="right"/>
    </xf>
    <xf numFmtId="0" fontId="42" fillId="4" borderId="45" xfId="0" applyFont="1" applyFill="1" applyBorder="1" applyAlignment="1">
      <alignment horizontal="center"/>
    </xf>
    <xf numFmtId="0" fontId="44" fillId="4" borderId="22" xfId="0" applyFont="1" applyFill="1" applyBorder="1" applyAlignment="1">
      <alignment vertical="center" wrapText="1"/>
    </xf>
    <xf numFmtId="0" fontId="42" fillId="4" borderId="46" xfId="0" applyFont="1" applyFill="1" applyBorder="1" applyAlignment="1">
      <alignment horizontal="center"/>
    </xf>
    <xf numFmtId="44" fontId="0" fillId="0" borderId="55" xfId="2" applyFont="1" applyBorder="1"/>
    <xf numFmtId="1" fontId="0" fillId="2" borderId="56" xfId="0" applyNumberFormat="1" applyFill="1" applyBorder="1"/>
    <xf numFmtId="1" fontId="0" fillId="2" borderId="55" xfId="0" applyNumberFormat="1" applyFill="1" applyBorder="1"/>
    <xf numFmtId="2" fontId="0" fillId="2" borderId="55" xfId="0" applyNumberFormat="1" applyFill="1" applyBorder="1"/>
    <xf numFmtId="0" fontId="0" fillId="2" borderId="55" xfId="0" applyFill="1" applyBorder="1"/>
    <xf numFmtId="44" fontId="0" fillId="2" borderId="55" xfId="2" applyFont="1" applyFill="1" applyBorder="1" applyAlignment="1"/>
    <xf numFmtId="10" fontId="0" fillId="2" borderId="57" xfId="3" applyNumberFormat="1" applyFont="1" applyFill="1" applyBorder="1" applyAlignment="1"/>
    <xf numFmtId="0" fontId="5" fillId="0" borderId="58" xfId="0" applyFont="1" applyBorder="1" applyAlignment="1">
      <alignment wrapText="1"/>
    </xf>
    <xf numFmtId="44" fontId="0" fillId="0" borderId="55" xfId="2" applyFont="1" applyBorder="1" applyAlignment="1"/>
    <xf numFmtId="44" fontId="0" fillId="0" borderId="59" xfId="0" applyNumberFormat="1" applyBorder="1"/>
    <xf numFmtId="44" fontId="0" fillId="0" borderId="55" xfId="0" applyNumberFormat="1" applyBorder="1"/>
    <xf numFmtId="44" fontId="0" fillId="0" borderId="60" xfId="0" applyNumberFormat="1" applyBorder="1"/>
    <xf numFmtId="44" fontId="0" fillId="0" borderId="0" xfId="0" applyNumberFormat="1" applyAlignment="1">
      <alignment horizontal="center"/>
    </xf>
    <xf numFmtId="14" fontId="42" fillId="4" borderId="12" xfId="0" applyNumberFormat="1" applyFont="1" applyFill="1" applyBorder="1" applyAlignment="1">
      <alignment horizontal="center"/>
    </xf>
    <xf numFmtId="14" fontId="42" fillId="4" borderId="33" xfId="0" applyNumberFormat="1" applyFont="1" applyFill="1" applyBorder="1" applyAlignment="1">
      <alignment horizontal="center"/>
    </xf>
    <xf numFmtId="44" fontId="0" fillId="0" borderId="56" xfId="0" applyNumberFormat="1" applyBorder="1"/>
    <xf numFmtId="44" fontId="0" fillId="0" borderId="34" xfId="0" applyNumberFormat="1" applyBorder="1"/>
    <xf numFmtId="0" fontId="0" fillId="2" borderId="3" xfId="0" applyFill="1" applyBorder="1"/>
    <xf numFmtId="44" fontId="0" fillId="2" borderId="3" xfId="0" applyNumberFormat="1" applyFill="1" applyBorder="1"/>
    <xf numFmtId="44" fontId="0" fillId="2" borderId="59" xfId="0" applyNumberFormat="1" applyFill="1" applyBorder="1"/>
    <xf numFmtId="44" fontId="0" fillId="2" borderId="37" xfId="0" applyNumberFormat="1" applyFill="1" applyBorder="1"/>
    <xf numFmtId="44" fontId="0" fillId="2" borderId="2" xfId="0" applyNumberFormat="1" applyFill="1" applyBorder="1"/>
    <xf numFmtId="44" fontId="0" fillId="2" borderId="56" xfId="0" applyNumberFormat="1" applyFill="1" applyBorder="1"/>
    <xf numFmtId="44" fontId="0" fillId="2" borderId="34" xfId="0" applyNumberFormat="1" applyFill="1" applyBorder="1"/>
    <xf numFmtId="174" fontId="0" fillId="2" borderId="34" xfId="3" applyNumberFormat="1" applyFont="1" applyFill="1" applyBorder="1"/>
    <xf numFmtId="170" fontId="32" fillId="4" borderId="30" xfId="0" applyNumberFormat="1" applyFont="1" applyFill="1" applyBorder="1" applyAlignment="1">
      <alignment horizontal="center" vertical="center"/>
    </xf>
    <xf numFmtId="44" fontId="8" fillId="4" borderId="62" xfId="0" applyNumberFormat="1" applyFont="1" applyFill="1" applyBorder="1" applyAlignment="1">
      <alignment horizontal="right"/>
    </xf>
    <xf numFmtId="172" fontId="34" fillId="10" borderId="0" xfId="2" applyNumberFormat="1" applyFont="1" applyFill="1" applyBorder="1" applyAlignment="1">
      <alignment horizontal="right"/>
    </xf>
    <xf numFmtId="172" fontId="34" fillId="10" borderId="20" xfId="2" applyNumberFormat="1" applyFont="1" applyFill="1" applyBorder="1" applyAlignment="1">
      <alignment horizontal="right"/>
    </xf>
    <xf numFmtId="167" fontId="11" fillId="0" borderId="0" xfId="0" applyNumberFormat="1" applyFont="1" applyAlignment="1">
      <alignment horizontal="right" vertical="center"/>
    </xf>
    <xf numFmtId="173" fontId="11" fillId="0" borderId="0" xfId="0" applyNumberFormat="1" applyFont="1"/>
    <xf numFmtId="0" fontId="11" fillId="0" borderId="0" xfId="0" applyFont="1"/>
    <xf numFmtId="168" fontId="12" fillId="0" borderId="0" xfId="0" applyNumberFormat="1" applyFont="1"/>
    <xf numFmtId="14" fontId="42" fillId="4" borderId="21" xfId="0" applyNumberFormat="1" applyFont="1" applyFill="1" applyBorder="1" applyAlignment="1">
      <alignment horizontal="center"/>
    </xf>
    <xf numFmtId="14" fontId="42" fillId="4" borderId="64" xfId="0" applyNumberFormat="1" applyFont="1" applyFill="1" applyBorder="1" applyAlignment="1">
      <alignment horizontal="center"/>
    </xf>
    <xf numFmtId="14" fontId="42" fillId="4" borderId="63" xfId="0" applyNumberFormat="1" applyFont="1" applyFill="1" applyBorder="1" applyAlignment="1">
      <alignment horizontal="center"/>
    </xf>
    <xf numFmtId="43" fontId="19" fillId="3" borderId="0" xfId="1" applyFont="1" applyFill="1" applyBorder="1"/>
    <xf numFmtId="174" fontId="0" fillId="2" borderId="2" xfId="3" applyNumberFormat="1" applyFont="1" applyFill="1" applyBorder="1"/>
    <xf numFmtId="1" fontId="0" fillId="2" borderId="13" xfId="0" applyNumberFormat="1" applyFill="1" applyBorder="1"/>
    <xf numFmtId="1" fontId="0" fillId="2" borderId="12" xfId="0" applyNumberFormat="1" applyFill="1" applyBorder="1"/>
    <xf numFmtId="2" fontId="0" fillId="2" borderId="12" xfId="0" applyNumberFormat="1" applyFill="1" applyBorder="1"/>
    <xf numFmtId="0" fontId="0" fillId="2" borderId="12" xfId="0" applyFill="1" applyBorder="1"/>
    <xf numFmtId="44" fontId="0" fillId="2" borderId="12" xfId="2" applyFont="1" applyFill="1" applyBorder="1" applyAlignment="1"/>
    <xf numFmtId="10" fontId="0" fillId="2" borderId="65" xfId="3" applyNumberFormat="1" applyFont="1" applyFill="1" applyBorder="1" applyAlignment="1"/>
    <xf numFmtId="44" fontId="0" fillId="0" borderId="12" xfId="2" applyFont="1" applyBorder="1" applyAlignment="1"/>
    <xf numFmtId="44" fontId="0" fillId="0" borderId="67" xfId="0" applyNumberFormat="1" applyBorder="1"/>
    <xf numFmtId="44" fontId="0" fillId="0" borderId="12" xfId="0" applyNumberFormat="1" applyBorder="1"/>
    <xf numFmtId="44" fontId="0" fillId="0" borderId="13" xfId="0" applyNumberFormat="1" applyBorder="1"/>
    <xf numFmtId="44" fontId="0" fillId="2" borderId="67" xfId="0" applyNumberFormat="1" applyFill="1" applyBorder="1"/>
    <xf numFmtId="44" fontId="0" fillId="0" borderId="68" xfId="0" applyNumberFormat="1" applyBorder="1"/>
    <xf numFmtId="0" fontId="44" fillId="4" borderId="0" xfId="0" applyFont="1" applyFill="1" applyAlignment="1">
      <alignment vertical="center" wrapText="1"/>
    </xf>
    <xf numFmtId="0" fontId="10" fillId="4" borderId="0" xfId="0" applyFont="1" applyFill="1"/>
    <xf numFmtId="1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5" fillId="0" borderId="0" xfId="0" applyFont="1" applyAlignment="1">
      <alignment wrapText="1"/>
    </xf>
    <xf numFmtId="0" fontId="0" fillId="4" borderId="5" xfId="0" applyFill="1" applyBorder="1"/>
    <xf numFmtId="0" fontId="8" fillId="4" borderId="5" xfId="0" applyFont="1" applyFill="1" applyBorder="1" applyAlignment="1">
      <alignment horizontal="center"/>
    </xf>
    <xf numFmtId="1" fontId="0" fillId="2" borderId="70" xfId="0" applyNumberFormat="1" applyFill="1" applyBorder="1"/>
    <xf numFmtId="1" fontId="0" fillId="2" borderId="69" xfId="0" applyNumberFormat="1" applyFill="1" applyBorder="1"/>
    <xf numFmtId="2" fontId="0" fillId="2" borderId="69" xfId="0" applyNumberFormat="1" applyFill="1" applyBorder="1"/>
    <xf numFmtId="0" fontId="0" fillId="2" borderId="69" xfId="0" applyFill="1" applyBorder="1"/>
    <xf numFmtId="44" fontId="0" fillId="2" borderId="69" xfId="2" applyFont="1" applyFill="1" applyBorder="1" applyAlignment="1"/>
    <xf numFmtId="10" fontId="0" fillId="2" borderId="71" xfId="3" applyNumberFormat="1" applyFont="1" applyFill="1" applyBorder="1" applyAlignment="1"/>
    <xf numFmtId="44" fontId="0" fillId="0" borderId="69" xfId="2" applyFont="1" applyBorder="1" applyAlignment="1"/>
    <xf numFmtId="44" fontId="0" fillId="0" borderId="73" xfId="0" applyNumberFormat="1" applyBorder="1"/>
    <xf numFmtId="44" fontId="0" fillId="0" borderId="69" xfId="0" applyNumberFormat="1" applyBorder="1"/>
    <xf numFmtId="44" fontId="0" fillId="0" borderId="70" xfId="0" applyNumberFormat="1" applyBorder="1"/>
    <xf numFmtId="44" fontId="0" fillId="2" borderId="73" xfId="0" applyNumberFormat="1" applyFill="1" applyBorder="1"/>
    <xf numFmtId="44" fontId="0" fillId="0" borderId="74" xfId="0" applyNumberFormat="1" applyBorder="1"/>
    <xf numFmtId="0" fontId="8" fillId="4" borderId="20" xfId="0" applyFont="1" applyFill="1" applyBorder="1" applyAlignment="1">
      <alignment horizontal="center"/>
    </xf>
    <xf numFmtId="0" fontId="8" fillId="4" borderId="75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14" fontId="8" fillId="4" borderId="20" xfId="0" applyNumberFormat="1" applyFont="1" applyFill="1" applyBorder="1" applyAlignment="1">
      <alignment horizontal="center"/>
    </xf>
    <xf numFmtId="44" fontId="11" fillId="0" borderId="17" xfId="0" applyNumberFormat="1" applyFont="1" applyBorder="1"/>
    <xf numFmtId="44" fontId="11" fillId="0" borderId="20" xfId="0" applyNumberFormat="1" applyFont="1" applyBorder="1"/>
    <xf numFmtId="167" fontId="20" fillId="3" borderId="17" xfId="1" applyNumberFormat="1" applyFont="1" applyFill="1" applyBorder="1"/>
    <xf numFmtId="167" fontId="4" fillId="0" borderId="20" xfId="1" applyNumberFormat="1" applyFont="1" applyFill="1" applyBorder="1"/>
    <xf numFmtId="167" fontId="20" fillId="3" borderId="20" xfId="1" applyNumberFormat="1" applyFont="1" applyFill="1" applyBorder="1"/>
    <xf numFmtId="167" fontId="19" fillId="0" borderId="20" xfId="1" applyNumberFormat="1" applyFont="1" applyFill="1" applyBorder="1"/>
    <xf numFmtId="167" fontId="21" fillId="0" borderId="20" xfId="1" applyNumberFormat="1" applyFont="1" applyFill="1" applyBorder="1"/>
    <xf numFmtId="43" fontId="18" fillId="0" borderId="20" xfId="1" applyFont="1" applyFill="1" applyBorder="1"/>
    <xf numFmtId="44" fontId="18" fillId="0" borderId="20" xfId="2" applyFont="1" applyFill="1" applyBorder="1"/>
    <xf numFmtId="174" fontId="18" fillId="0" borderId="20" xfId="3" applyNumberFormat="1" applyFont="1" applyFill="1" applyBorder="1"/>
    <xf numFmtId="1" fontId="18" fillId="0" borderId="20" xfId="2" applyNumberFormat="1" applyFont="1" applyFill="1" applyBorder="1"/>
    <xf numFmtId="176" fontId="18" fillId="0" borderId="20" xfId="2" applyNumberFormat="1" applyFont="1" applyFill="1" applyBorder="1"/>
    <xf numFmtId="177" fontId="18" fillId="0" borderId="20" xfId="2" applyNumberFormat="1" applyFont="1" applyFill="1" applyBorder="1"/>
    <xf numFmtId="168" fontId="24" fillId="2" borderId="76" xfId="0" applyNumberFormat="1" applyFont="1" applyFill="1" applyBorder="1"/>
    <xf numFmtId="44" fontId="11" fillId="0" borderId="14" xfId="0" applyNumberFormat="1" applyFont="1" applyBorder="1"/>
    <xf numFmtId="44" fontId="11" fillId="4" borderId="20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165" fontId="5" fillId="0" borderId="20" xfId="0" applyNumberFormat="1" applyFont="1" applyBorder="1" applyAlignment="1">
      <alignment horizontal="right" wrapText="1"/>
    </xf>
    <xf numFmtId="164" fontId="6" fillId="0" borderId="20" xfId="0" applyNumberFormat="1" applyFont="1" applyBorder="1" applyAlignment="1">
      <alignment wrapText="1"/>
    </xf>
    <xf numFmtId="0" fontId="0" fillId="4" borderId="20" xfId="0" applyFill="1" applyBorder="1"/>
    <xf numFmtId="44" fontId="0" fillId="0" borderId="17" xfId="0" applyNumberFormat="1" applyBorder="1"/>
    <xf numFmtId="44" fontId="0" fillId="0" borderId="20" xfId="0" applyNumberFormat="1" applyBorder="1"/>
    <xf numFmtId="44" fontId="0" fillId="0" borderId="44" xfId="0" applyNumberFormat="1" applyBorder="1"/>
    <xf numFmtId="170" fontId="32" fillId="4" borderId="17" xfId="0" applyNumberFormat="1" applyFont="1" applyFill="1" applyBorder="1" applyAlignment="1">
      <alignment horizontal="center" vertical="center"/>
    </xf>
    <xf numFmtId="14" fontId="10" fillId="0" borderId="20" xfId="0" applyNumberFormat="1" applyFont="1" applyBorder="1"/>
    <xf numFmtId="43" fontId="0" fillId="0" borderId="20" xfId="1" applyFont="1" applyBorder="1" applyAlignment="1">
      <alignment horizontal="right" vertical="center"/>
    </xf>
    <xf numFmtId="44" fontId="8" fillId="4" borderId="75" xfId="2" applyFont="1" applyFill="1" applyBorder="1" applyAlignment="1">
      <alignment horizontal="right"/>
    </xf>
    <xf numFmtId="44" fontId="8" fillId="4" borderId="44" xfId="0" applyNumberFormat="1" applyFont="1" applyFill="1" applyBorder="1" applyAlignment="1">
      <alignment horizontal="right"/>
    </xf>
    <xf numFmtId="169" fontId="20" fillId="3" borderId="0" xfId="1" applyNumberFormat="1" applyFont="1" applyFill="1" applyBorder="1"/>
    <xf numFmtId="169" fontId="20" fillId="3" borderId="20" xfId="1" applyNumberFormat="1" applyFont="1" applyFill="1" applyBorder="1"/>
    <xf numFmtId="174" fontId="0" fillId="2" borderId="56" xfId="3" applyNumberFormat="1" applyFont="1" applyFill="1" applyBorder="1"/>
    <xf numFmtId="174" fontId="0" fillId="2" borderId="13" xfId="3" applyNumberFormat="1" applyFont="1" applyFill="1" applyBorder="1"/>
    <xf numFmtId="43" fontId="21" fillId="2" borderId="46" xfId="1" applyFont="1" applyFill="1" applyBorder="1" applyAlignment="1">
      <alignment horizontal="center"/>
    </xf>
    <xf numFmtId="170" fontId="32" fillId="4" borderId="39" xfId="0" applyNumberFormat="1" applyFont="1" applyFill="1" applyBorder="1" applyAlignment="1">
      <alignment horizontal="center" vertical="center"/>
    </xf>
    <xf numFmtId="174" fontId="0" fillId="2" borderId="70" xfId="3" applyNumberFormat="1" applyFont="1" applyFill="1" applyBorder="1"/>
    <xf numFmtId="43" fontId="21" fillId="2" borderId="0" xfId="1" applyFont="1" applyFill="1" applyBorder="1" applyAlignment="1">
      <alignment horizontal="center"/>
    </xf>
    <xf numFmtId="167" fontId="21" fillId="2" borderId="0" xfId="1" applyNumberFormat="1" applyFont="1" applyFill="1" applyBorder="1" applyAlignment="1">
      <alignment horizontal="center"/>
    </xf>
    <xf numFmtId="167" fontId="21" fillId="2" borderId="69" xfId="1" applyNumberFormat="1" applyFont="1" applyFill="1" applyBorder="1" applyAlignment="1">
      <alignment horizontal="center"/>
    </xf>
    <xf numFmtId="167" fontId="17" fillId="2" borderId="20" xfId="1" applyNumberFormat="1" applyFont="1" applyFill="1" applyBorder="1" applyAlignment="1">
      <alignment horizontal="right"/>
    </xf>
    <xf numFmtId="1" fontId="30" fillId="3" borderId="0" xfId="0" applyNumberFormat="1" applyFont="1" applyFill="1"/>
    <xf numFmtId="44" fontId="29" fillId="0" borderId="17" xfId="0" applyNumberFormat="1" applyFont="1" applyBorder="1"/>
    <xf numFmtId="167" fontId="18" fillId="2" borderId="20" xfId="1" applyNumberFormat="1" applyFont="1" applyFill="1" applyBorder="1" applyAlignment="1"/>
    <xf numFmtId="167" fontId="21" fillId="2" borderId="20" xfId="1" applyNumberFormat="1" applyFont="1" applyFill="1" applyBorder="1"/>
    <xf numFmtId="43" fontId="21" fillId="2" borderId="20" xfId="1" applyFont="1" applyFill="1" applyBorder="1"/>
    <xf numFmtId="167" fontId="18" fillId="2" borderId="20" xfId="1" applyNumberFormat="1" applyFont="1" applyFill="1" applyBorder="1"/>
    <xf numFmtId="44" fontId="18" fillId="2" borderId="20" xfId="2" applyFont="1" applyFill="1" applyBorder="1"/>
    <xf numFmtId="174" fontId="18" fillId="2" borderId="20" xfId="3" applyNumberFormat="1" applyFont="1" applyFill="1" applyBorder="1"/>
    <xf numFmtId="1" fontId="18" fillId="2" borderId="20" xfId="2" applyNumberFormat="1" applyFont="1" applyFill="1" applyBorder="1"/>
    <xf numFmtId="176" fontId="18" fillId="2" borderId="20" xfId="2" applyNumberFormat="1" applyFont="1" applyFill="1" applyBorder="1"/>
    <xf numFmtId="177" fontId="18" fillId="2" borderId="20" xfId="2" applyNumberFormat="1" applyFont="1" applyFill="1" applyBorder="1"/>
    <xf numFmtId="172" fontId="17" fillId="0" borderId="20" xfId="2" applyNumberFormat="1" applyFont="1" applyFill="1" applyBorder="1" applyAlignment="1">
      <alignment horizontal="right"/>
    </xf>
    <xf numFmtId="0" fontId="31" fillId="4" borderId="4" xfId="0" applyFont="1" applyFill="1" applyBorder="1" applyAlignment="1">
      <alignment horizontal="right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left"/>
    </xf>
    <xf numFmtId="0" fontId="32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0" fillId="0" borderId="7" xfId="0" applyBorder="1" applyAlignment="1">
      <alignment horizontal="right" vertical="center"/>
    </xf>
    <xf numFmtId="167" fontId="0" fillId="0" borderId="8" xfId="1" applyNumberFormat="1" applyFont="1" applyBorder="1"/>
    <xf numFmtId="172" fontId="17" fillId="2" borderId="78" xfId="2" applyNumberFormat="1" applyFont="1" applyFill="1" applyBorder="1" applyAlignment="1">
      <alignment horizontal="right"/>
    </xf>
    <xf numFmtId="172" fontId="17" fillId="2" borderId="79" xfId="2" applyNumberFormat="1" applyFont="1" applyFill="1" applyBorder="1"/>
    <xf numFmtId="0" fontId="36" fillId="0" borderId="7" xfId="0" applyFont="1" applyBorder="1" applyAlignment="1">
      <alignment horizontal="right" vertical="top"/>
    </xf>
    <xf numFmtId="9" fontId="37" fillId="0" borderId="8" xfId="3" applyFont="1" applyBorder="1"/>
    <xf numFmtId="0" fontId="0" fillId="0" borderId="7" xfId="0" applyBorder="1" applyAlignment="1">
      <alignment horizontal="right"/>
    </xf>
    <xf numFmtId="172" fontId="32" fillId="10" borderId="78" xfId="2" applyNumberFormat="1" applyFont="1" applyFill="1" applyBorder="1" applyAlignment="1">
      <alignment horizontal="right"/>
    </xf>
    <xf numFmtId="172" fontId="32" fillId="10" borderId="79" xfId="2" applyNumberFormat="1" applyFont="1" applyFill="1" applyBorder="1"/>
    <xf numFmtId="173" fontId="0" fillId="0" borderId="8" xfId="0" applyNumberFormat="1" applyBorder="1"/>
    <xf numFmtId="0" fontId="35" fillId="0" borderId="7" xfId="0" applyFont="1" applyBorder="1" applyAlignment="1">
      <alignment horizontal="right"/>
    </xf>
    <xf numFmtId="168" fontId="35" fillId="0" borderId="8" xfId="0" applyNumberFormat="1" applyFont="1" applyBorder="1"/>
    <xf numFmtId="0" fontId="34" fillId="10" borderId="9" xfId="0" applyFont="1" applyFill="1" applyBorder="1" applyAlignment="1">
      <alignment horizontal="right"/>
    </xf>
    <xf numFmtId="168" fontId="34" fillId="10" borderId="10" xfId="0" applyNumberFormat="1" applyFont="1" applyFill="1" applyBorder="1" applyAlignment="1">
      <alignment horizontal="right"/>
    </xf>
    <xf numFmtId="168" fontId="34" fillId="10" borderId="11" xfId="0" applyNumberFormat="1" applyFont="1" applyFill="1" applyBorder="1" applyAlignment="1">
      <alignment horizontal="right"/>
    </xf>
    <xf numFmtId="43" fontId="28" fillId="3" borderId="0" xfId="1" applyFont="1" applyFill="1" applyAlignment="1">
      <alignment horizontal="right" wrapText="1"/>
    </xf>
    <xf numFmtId="0" fontId="0" fillId="7" borderId="3" xfId="0" applyFill="1" applyBorder="1"/>
    <xf numFmtId="0" fontId="5" fillId="7" borderId="3" xfId="0" applyFont="1" applyFill="1" applyBorder="1" applyAlignment="1">
      <alignment horizontal="left" wrapText="1"/>
    </xf>
    <xf numFmtId="44" fontId="11" fillId="7" borderId="3" xfId="0" applyNumberFormat="1" applyFont="1" applyFill="1" applyBorder="1"/>
    <xf numFmtId="10" fontId="11" fillId="7" borderId="3" xfId="3" applyNumberFormat="1" applyFont="1" applyFill="1" applyBorder="1"/>
    <xf numFmtId="10" fontId="11" fillId="7" borderId="14" xfId="3" applyNumberFormat="1" applyFont="1" applyFill="1" applyBorder="1"/>
    <xf numFmtId="44" fontId="53" fillId="0" borderId="0" xfId="2" applyFont="1" applyFill="1" applyBorder="1"/>
    <xf numFmtId="174" fontId="53" fillId="0" borderId="0" xfId="3" applyNumberFormat="1" applyFont="1" applyFill="1" applyBorder="1"/>
    <xf numFmtId="174" fontId="29" fillId="0" borderId="0" xfId="3" applyNumberFormat="1" applyFont="1" applyFill="1" applyBorder="1"/>
    <xf numFmtId="174" fontId="29" fillId="0" borderId="20" xfId="3" applyNumberFormat="1" applyFont="1" applyFill="1" applyBorder="1"/>
    <xf numFmtId="174" fontId="29" fillId="2" borderId="0" xfId="3" applyNumberFormat="1" applyFont="1" applyFill="1" applyBorder="1"/>
    <xf numFmtId="174" fontId="29" fillId="2" borderId="20" xfId="3" applyNumberFormat="1" applyFont="1" applyFill="1" applyBorder="1"/>
    <xf numFmtId="174" fontId="29" fillId="2" borderId="8" xfId="3" applyNumberFormat="1" applyFont="1" applyFill="1" applyBorder="1"/>
    <xf numFmtId="43" fontId="20" fillId="3" borderId="0" xfId="1" applyFont="1" applyFill="1" applyBorder="1"/>
    <xf numFmtId="10" fontId="54" fillId="3" borderId="3" xfId="3" applyNumberFormat="1" applyFont="1" applyFill="1" applyBorder="1"/>
    <xf numFmtId="169" fontId="20" fillId="3" borderId="2" xfId="1" applyNumberFormat="1" applyFont="1" applyFill="1" applyBorder="1"/>
    <xf numFmtId="168" fontId="18" fillId="0" borderId="0" xfId="2" applyNumberFormat="1" applyFont="1" applyFill="1" applyBorder="1"/>
    <xf numFmtId="0" fontId="8" fillId="0" borderId="0" xfId="0" applyFont="1" applyAlignment="1">
      <alignment horizontal="right"/>
    </xf>
    <xf numFmtId="44" fontId="0" fillId="0" borderId="0" xfId="2" applyFont="1"/>
    <xf numFmtId="167" fontId="0" fillId="0" borderId="0" xfId="1" applyNumberFormat="1" applyFont="1"/>
    <xf numFmtId="0" fontId="23" fillId="2" borderId="2" xfId="0" applyFont="1" applyFill="1" applyBorder="1"/>
    <xf numFmtId="0" fontId="24" fillId="2" borderId="2" xfId="0" applyFont="1" applyFill="1" applyBorder="1" applyAlignment="1">
      <alignment horizontal="left"/>
    </xf>
    <xf numFmtId="0" fontId="25" fillId="2" borderId="2" xfId="0" applyFont="1" applyFill="1" applyBorder="1"/>
    <xf numFmtId="168" fontId="24" fillId="2" borderId="2" xfId="0" applyNumberFormat="1" applyFont="1" applyFill="1" applyBorder="1"/>
    <xf numFmtId="168" fontId="24" fillId="2" borderId="17" xfId="0" applyNumberFormat="1" applyFont="1" applyFill="1" applyBorder="1"/>
    <xf numFmtId="168" fontId="24" fillId="2" borderId="79" xfId="0" applyNumberFormat="1" applyFont="1" applyFill="1" applyBorder="1"/>
    <xf numFmtId="0" fontId="23" fillId="2" borderId="3" xfId="0" applyFont="1" applyFill="1" applyBorder="1"/>
    <xf numFmtId="0" fontId="24" fillId="2" borderId="3" xfId="0" applyFont="1" applyFill="1" applyBorder="1" applyAlignment="1">
      <alignment horizontal="left"/>
    </xf>
    <xf numFmtId="0" fontId="25" fillId="2" borderId="3" xfId="0" applyFont="1" applyFill="1" applyBorder="1"/>
    <xf numFmtId="168" fontId="24" fillId="2" borderId="3" xfId="0" applyNumberFormat="1" applyFont="1" applyFill="1" applyBorder="1"/>
    <xf numFmtId="174" fontId="52" fillId="3" borderId="3" xfId="3" applyNumberFormat="1" applyFont="1" applyFill="1" applyBorder="1"/>
    <xf numFmtId="44" fontId="55" fillId="2" borderId="3" xfId="2" applyFont="1" applyFill="1" applyBorder="1"/>
    <xf numFmtId="168" fontId="24" fillId="2" borderId="14" xfId="0" applyNumberFormat="1" applyFont="1" applyFill="1" applyBorder="1"/>
    <xf numFmtId="44" fontId="55" fillId="2" borderId="14" xfId="2" applyFont="1" applyFill="1" applyBorder="1"/>
    <xf numFmtId="167" fontId="17" fillId="7" borderId="29" xfId="1" applyNumberFormat="1" applyFont="1" applyFill="1" applyBorder="1" applyAlignment="1">
      <alignment horizontal="right"/>
    </xf>
    <xf numFmtId="44" fontId="29" fillId="4" borderId="1" xfId="0" applyNumberFormat="1" applyFont="1" applyFill="1" applyBorder="1" applyAlignment="1">
      <alignment horizontal="right"/>
    </xf>
    <xf numFmtId="44" fontId="21" fillId="0" borderId="50" xfId="0" applyNumberFormat="1" applyFont="1" applyBorder="1" applyAlignment="1">
      <alignment horizontal="center"/>
    </xf>
    <xf numFmtId="44" fontId="21" fillId="0" borderId="46" xfId="0" applyNumberFormat="1" applyFont="1" applyBorder="1" applyAlignment="1">
      <alignment horizontal="center"/>
    </xf>
    <xf numFmtId="174" fontId="21" fillId="2" borderId="47" xfId="0" applyNumberFormat="1" applyFont="1" applyFill="1" applyBorder="1" applyAlignment="1">
      <alignment horizontal="center"/>
    </xf>
    <xf numFmtId="44" fontId="21" fillId="0" borderId="51" xfId="0" applyNumberFormat="1" applyFont="1" applyBorder="1" applyAlignment="1">
      <alignment horizontal="center"/>
    </xf>
    <xf numFmtId="170" fontId="32" fillId="4" borderId="81" xfId="0" applyNumberFormat="1" applyFont="1" applyFill="1" applyBorder="1" applyAlignment="1">
      <alignment horizontal="center" vertical="center"/>
    </xf>
    <xf numFmtId="14" fontId="10" fillId="0" borderId="82" xfId="0" applyNumberFormat="1" applyFont="1" applyBorder="1"/>
    <xf numFmtId="167" fontId="11" fillId="7" borderId="82" xfId="0" applyNumberFormat="1" applyFont="1" applyFill="1" applyBorder="1" applyAlignment="1">
      <alignment horizontal="right" vertical="center"/>
    </xf>
    <xf numFmtId="172" fontId="17" fillId="7" borderId="81" xfId="2" applyNumberFormat="1" applyFont="1" applyFill="1" applyBorder="1" applyAlignment="1">
      <alignment horizontal="right"/>
    </xf>
    <xf numFmtId="173" fontId="11" fillId="7" borderId="82" xfId="0" applyNumberFormat="1" applyFont="1" applyFill="1" applyBorder="1"/>
    <xf numFmtId="172" fontId="39" fillId="7" borderId="81" xfId="2" applyNumberFormat="1" applyFont="1" applyFill="1" applyBorder="1"/>
    <xf numFmtId="0" fontId="17" fillId="7" borderId="82" xfId="0" applyFont="1" applyFill="1" applyBorder="1"/>
    <xf numFmtId="167" fontId="17" fillId="7" borderId="82" xfId="0" applyNumberFormat="1" applyFont="1" applyFill="1" applyBorder="1" applyAlignment="1">
      <alignment horizontal="right" vertical="center"/>
    </xf>
    <xf numFmtId="172" fontId="17" fillId="7" borderId="81" xfId="2" applyNumberFormat="1" applyFont="1" applyFill="1" applyBorder="1" applyAlignment="1"/>
    <xf numFmtId="168" fontId="40" fillId="7" borderId="82" xfId="0" applyNumberFormat="1" applyFont="1" applyFill="1" applyBorder="1"/>
    <xf numFmtId="43" fontId="17" fillId="7" borderId="82" xfId="1" applyFont="1" applyFill="1" applyBorder="1" applyAlignment="1">
      <alignment horizontal="right" vertical="center"/>
    </xf>
    <xf numFmtId="168" fontId="15" fillId="7" borderId="82" xfId="0" applyNumberFormat="1" applyFont="1" applyFill="1" applyBorder="1" applyAlignment="1">
      <alignment horizontal="right"/>
    </xf>
    <xf numFmtId="0" fontId="0" fillId="0" borderId="82" xfId="0" applyBorder="1"/>
    <xf numFmtId="44" fontId="29" fillId="4" borderId="83" xfId="2" applyFont="1" applyFill="1" applyBorder="1" applyAlignment="1">
      <alignment horizontal="right"/>
    </xf>
    <xf numFmtId="44" fontId="29" fillId="4" borderId="84" xfId="0" applyNumberFormat="1" applyFont="1" applyFill="1" applyBorder="1" applyAlignment="1">
      <alignment horizontal="right"/>
    </xf>
    <xf numFmtId="168" fontId="24" fillId="2" borderId="80" xfId="0" applyNumberFormat="1" applyFont="1" applyFill="1" applyBorder="1"/>
    <xf numFmtId="43" fontId="0" fillId="0" borderId="12" xfId="1" applyFont="1" applyBorder="1"/>
    <xf numFmtId="43" fontId="0" fillId="0" borderId="33" xfId="1" applyFont="1" applyBorder="1"/>
    <xf numFmtId="43" fontId="0" fillId="0" borderId="69" xfId="1" applyFont="1" applyBorder="1"/>
    <xf numFmtId="43" fontId="5" fillId="0" borderId="5" xfId="1" applyFont="1" applyBorder="1" applyAlignment="1">
      <alignment wrapText="1"/>
    </xf>
    <xf numFmtId="43" fontId="5" fillId="0" borderId="0" xfId="1" applyFont="1" applyAlignment="1">
      <alignment wrapText="1"/>
    </xf>
    <xf numFmtId="43" fontId="5" fillId="0" borderId="66" xfId="1" applyFont="1" applyBorder="1" applyAlignment="1">
      <alignment wrapText="1"/>
    </xf>
    <xf numFmtId="43" fontId="5" fillId="0" borderId="36" xfId="1" applyFont="1" applyBorder="1" applyAlignment="1">
      <alignment wrapText="1"/>
    </xf>
    <xf numFmtId="43" fontId="5" fillId="0" borderId="72" xfId="1" applyFont="1" applyBorder="1" applyAlignment="1">
      <alignment wrapText="1"/>
    </xf>
    <xf numFmtId="43" fontId="0" fillId="0" borderId="0" xfId="1" applyFont="1" applyBorder="1" applyAlignment="1"/>
    <xf numFmtId="43" fontId="0" fillId="0" borderId="12" xfId="1" applyFont="1" applyBorder="1" applyAlignment="1"/>
    <xf numFmtId="43" fontId="0" fillId="0" borderId="33" xfId="1" applyFont="1" applyBorder="1" applyAlignment="1"/>
    <xf numFmtId="43" fontId="0" fillId="0" borderId="69" xfId="1" applyFont="1" applyBorder="1" applyAlignment="1"/>
    <xf numFmtId="43" fontId="5" fillId="0" borderId="12" xfId="1" applyFont="1" applyBorder="1" applyAlignment="1">
      <alignment wrapText="1"/>
    </xf>
    <xf numFmtId="43" fontId="5" fillId="0" borderId="33" xfId="1" applyFont="1" applyBorder="1" applyAlignment="1">
      <alignment wrapText="1"/>
    </xf>
    <xf numFmtId="43" fontId="5" fillId="0" borderId="69" xfId="1" applyFont="1" applyBorder="1" applyAlignment="1">
      <alignment wrapText="1"/>
    </xf>
    <xf numFmtId="0" fontId="0" fillId="2" borderId="13" xfId="0" applyFill="1" applyBorder="1"/>
    <xf numFmtId="44" fontId="0" fillId="0" borderId="68" xfId="2" applyFont="1" applyBorder="1" applyAlignment="1"/>
    <xf numFmtId="43" fontId="47" fillId="2" borderId="17" xfId="0" applyNumberFormat="1" applyFont="1" applyFill="1" applyBorder="1" applyAlignment="1">
      <alignment horizontal="right"/>
    </xf>
    <xf numFmtId="0" fontId="48" fillId="2" borderId="20" xfId="0" applyFont="1" applyFill="1" applyBorder="1" applyAlignment="1">
      <alignment horizontal="right"/>
    </xf>
    <xf numFmtId="43" fontId="47" fillId="2" borderId="20" xfId="0" applyNumberFormat="1" applyFont="1" applyFill="1" applyBorder="1" applyAlignment="1">
      <alignment horizontal="right"/>
    </xf>
    <xf numFmtId="0" fontId="47" fillId="2" borderId="20" xfId="0" applyFont="1" applyFill="1" applyBorder="1" applyAlignment="1">
      <alignment horizontal="right"/>
    </xf>
    <xf numFmtId="0" fontId="50" fillId="2" borderId="76" xfId="0" applyFont="1" applyFill="1" applyBorder="1" applyAlignment="1">
      <alignment horizontal="right"/>
    </xf>
    <xf numFmtId="174" fontId="0" fillId="2" borderId="3" xfId="3" applyNumberFormat="1" applyFont="1" applyFill="1" applyBorder="1"/>
    <xf numFmtId="174" fontId="0" fillId="2" borderId="67" xfId="3" applyNumberFormat="1" applyFont="1" applyFill="1" applyBorder="1"/>
    <xf numFmtId="174" fontId="0" fillId="2" borderId="37" xfId="3" applyNumberFormat="1" applyFont="1" applyFill="1" applyBorder="1"/>
    <xf numFmtId="174" fontId="0" fillId="2" borderId="59" xfId="3" applyNumberFormat="1" applyFont="1" applyFill="1" applyBorder="1"/>
    <xf numFmtId="174" fontId="0" fillId="2" borderId="73" xfId="3" applyNumberFormat="1" applyFont="1" applyFill="1" applyBorder="1"/>
    <xf numFmtId="174" fontId="21" fillId="2" borderId="50" xfId="0" applyNumberFormat="1" applyFont="1" applyFill="1" applyBorder="1" applyAlignment="1">
      <alignment horizontal="center"/>
    </xf>
    <xf numFmtId="0" fontId="0" fillId="2" borderId="34" xfId="0" applyFill="1" applyBorder="1"/>
    <xf numFmtId="43" fontId="21" fillId="2" borderId="33" xfId="1" applyFont="1" applyFill="1" applyBorder="1" applyAlignment="1">
      <alignment horizontal="center"/>
    </xf>
    <xf numFmtId="43" fontId="41" fillId="0" borderId="0" xfId="1" applyFont="1" applyFill="1" applyBorder="1"/>
    <xf numFmtId="43" fontId="41" fillId="0" borderId="0" xfId="1" applyFont="1" applyFill="1"/>
    <xf numFmtId="43" fontId="41" fillId="0" borderId="20" xfId="1" applyFont="1" applyFill="1" applyBorder="1"/>
    <xf numFmtId="43" fontId="58" fillId="0" borderId="0" xfId="1" applyFont="1" applyFill="1" applyAlignment="1">
      <alignment horizontal="right" wrapText="1"/>
    </xf>
    <xf numFmtId="172" fontId="0" fillId="0" borderId="20" xfId="2" applyNumberFormat="1" applyFont="1" applyBorder="1"/>
    <xf numFmtId="172" fontId="30" fillId="6" borderId="20" xfId="2" applyNumberFormat="1" applyFont="1" applyFill="1" applyBorder="1"/>
    <xf numFmtId="0" fontId="0" fillId="0" borderId="40" xfId="0" applyBorder="1"/>
    <xf numFmtId="0" fontId="0" fillId="0" borderId="69" xfId="0" applyBorder="1"/>
    <xf numFmtId="172" fontId="30" fillId="6" borderId="40" xfId="2" applyNumberFormat="1" applyFont="1" applyFill="1" applyBorder="1"/>
    <xf numFmtId="172" fontId="0" fillId="0" borderId="0" xfId="2" applyNumberFormat="1" applyFont="1" applyBorder="1"/>
    <xf numFmtId="172" fontId="0" fillId="0" borderId="69" xfId="2" applyNumberFormat="1" applyFont="1" applyBorder="1"/>
    <xf numFmtId="172" fontId="0" fillId="0" borderId="40" xfId="2" applyNumberFormat="1" applyFont="1" applyBorder="1"/>
    <xf numFmtId="172" fontId="0" fillId="0" borderId="86" xfId="2" applyNumberFormat="1" applyFont="1" applyBorder="1"/>
    <xf numFmtId="172" fontId="0" fillId="0" borderId="85" xfId="2" applyNumberFormat="1" applyFont="1" applyBorder="1"/>
    <xf numFmtId="172" fontId="0" fillId="0" borderId="27" xfId="2" applyNumberFormat="1" applyFont="1" applyBorder="1"/>
    <xf numFmtId="172" fontId="0" fillId="0" borderId="74" xfId="2" applyNumberFormat="1" applyFont="1" applyBorder="1"/>
    <xf numFmtId="0" fontId="0" fillId="0" borderId="87" xfId="0" applyBorder="1"/>
    <xf numFmtId="0" fontId="0" fillId="0" borderId="21" xfId="0" applyBorder="1"/>
    <xf numFmtId="14" fontId="0" fillId="0" borderId="88" xfId="0" applyNumberFormat="1" applyBorder="1"/>
    <xf numFmtId="14" fontId="0" fillId="0" borderId="89" xfId="0" applyNumberFormat="1" applyBorder="1"/>
    <xf numFmtId="0" fontId="0" fillId="0" borderId="22" xfId="0" applyBorder="1"/>
    <xf numFmtId="0" fontId="0" fillId="0" borderId="61" xfId="0" applyBorder="1"/>
    <xf numFmtId="0" fontId="0" fillId="0" borderId="27" xfId="0" applyBorder="1" applyAlignment="1">
      <alignment horizontal="right"/>
    </xf>
    <xf numFmtId="14" fontId="0" fillId="0" borderId="21" xfId="0" applyNumberFormat="1" applyBorder="1"/>
    <xf numFmtId="14" fontId="0" fillId="0" borderId="77" xfId="0" applyNumberFormat="1" applyBorder="1"/>
    <xf numFmtId="172" fontId="17" fillId="2" borderId="42" xfId="2" applyNumberFormat="1" applyFont="1" applyFill="1" applyBorder="1" applyAlignment="1">
      <alignment horizontal="right"/>
    </xf>
    <xf numFmtId="167" fontId="17" fillId="2" borderId="1" xfId="1" applyNumberFormat="1" applyFont="1" applyFill="1" applyBorder="1" applyAlignment="1">
      <alignment horizontal="right"/>
    </xf>
    <xf numFmtId="167" fontId="17" fillId="2" borderId="44" xfId="1" applyNumberFormat="1" applyFont="1" applyFill="1" applyBorder="1" applyAlignment="1">
      <alignment horizontal="right"/>
    </xf>
    <xf numFmtId="172" fontId="17" fillId="2" borderId="90" xfId="2" applyNumberFormat="1" applyFont="1" applyFill="1" applyBorder="1" applyAlignment="1">
      <alignment horizontal="right"/>
    </xf>
    <xf numFmtId="0" fontId="34" fillId="10" borderId="42" xfId="0" applyFont="1" applyFill="1" applyBorder="1" applyAlignment="1">
      <alignment horizontal="right"/>
    </xf>
    <xf numFmtId="168" fontId="34" fillId="10" borderId="1" xfId="0" applyNumberFormat="1" applyFont="1" applyFill="1" applyBorder="1" applyAlignment="1">
      <alignment horizontal="right"/>
    </xf>
    <xf numFmtId="168" fontId="34" fillId="10" borderId="44" xfId="0" applyNumberFormat="1" applyFont="1" applyFill="1" applyBorder="1" applyAlignment="1">
      <alignment horizontal="right"/>
    </xf>
    <xf numFmtId="172" fontId="32" fillId="10" borderId="91" xfId="2" applyNumberFormat="1" applyFont="1" applyFill="1" applyBorder="1"/>
    <xf numFmtId="168" fontId="34" fillId="10" borderId="92" xfId="0" applyNumberFormat="1" applyFont="1" applyFill="1" applyBorder="1" applyAlignment="1">
      <alignment horizontal="right"/>
    </xf>
    <xf numFmtId="0" fontId="11" fillId="2" borderId="93" xfId="0" applyFont="1" applyFill="1" applyBorder="1" applyAlignment="1">
      <alignment horizontal="right"/>
    </xf>
    <xf numFmtId="172" fontId="11" fillId="2" borderId="3" xfId="2" applyNumberFormat="1" applyFont="1" applyFill="1" applyBorder="1" applyAlignment="1"/>
    <xf numFmtId="172" fontId="11" fillId="2" borderId="14" xfId="2" applyNumberFormat="1" applyFont="1" applyFill="1" applyBorder="1" applyAlignment="1"/>
    <xf numFmtId="172" fontId="11" fillId="2" borderId="90" xfId="2" applyNumberFormat="1" applyFont="1" applyFill="1" applyBorder="1" applyAlignment="1"/>
    <xf numFmtId="172" fontId="38" fillId="10" borderId="1" xfId="2" applyNumberFormat="1" applyFont="1" applyFill="1" applyBorder="1" applyAlignment="1">
      <alignment horizontal="right"/>
    </xf>
    <xf numFmtId="172" fontId="40" fillId="10" borderId="44" xfId="2" applyNumberFormat="1" applyFont="1" applyFill="1" applyBorder="1" applyAlignment="1">
      <alignment horizontal="right"/>
    </xf>
    <xf numFmtId="172" fontId="38" fillId="10" borderId="44" xfId="2" applyNumberFormat="1" applyFont="1" applyFill="1" applyBorder="1" applyAlignment="1">
      <alignment horizontal="right"/>
    </xf>
    <xf numFmtId="168" fontId="34" fillId="10" borderId="94" xfId="0" applyNumberFormat="1" applyFont="1" applyFill="1" applyBorder="1" applyAlignment="1">
      <alignment horizontal="right"/>
    </xf>
    <xf numFmtId="172" fontId="34" fillId="10" borderId="94" xfId="2" applyNumberFormat="1" applyFont="1" applyFill="1" applyBorder="1" applyAlignment="1">
      <alignment horizontal="right"/>
    </xf>
    <xf numFmtId="43" fontId="21" fillId="2" borderId="47" xfId="1" applyFont="1" applyFill="1" applyBorder="1" applyAlignment="1">
      <alignment horizontal="center"/>
    </xf>
    <xf numFmtId="44" fontId="21" fillId="2" borderId="46" xfId="0" applyNumberFormat="1" applyFont="1" applyFill="1" applyBorder="1" applyAlignment="1">
      <alignment horizontal="center"/>
    </xf>
    <xf numFmtId="10" fontId="21" fillId="2" borderId="48" xfId="3" applyNumberFormat="1" applyFont="1" applyFill="1" applyBorder="1" applyAlignment="1">
      <alignment horizontal="center"/>
    </xf>
    <xf numFmtId="44" fontId="59" fillId="0" borderId="49" xfId="0" applyNumberFormat="1" applyFont="1" applyBorder="1" applyAlignment="1">
      <alignment horizontal="center" wrapText="1"/>
    </xf>
    <xf numFmtId="44" fontId="21" fillId="0" borderId="47" xfId="0" applyNumberFormat="1" applyFont="1" applyBorder="1" applyAlignment="1">
      <alignment horizontal="center"/>
    </xf>
    <xf numFmtId="44" fontId="60" fillId="0" borderId="46" xfId="0" applyNumberFormat="1" applyFont="1" applyBorder="1" applyAlignment="1">
      <alignment horizontal="center"/>
    </xf>
    <xf numFmtId="44" fontId="60" fillId="0" borderId="51" xfId="0" applyNumberFormat="1" applyFont="1" applyBorder="1" applyAlignment="1">
      <alignment horizontal="center"/>
    </xf>
    <xf numFmtId="43" fontId="60" fillId="2" borderId="46" xfId="1" applyFont="1" applyFill="1" applyBorder="1" applyAlignment="1">
      <alignment horizontal="center"/>
    </xf>
    <xf numFmtId="44" fontId="21" fillId="0" borderId="0" xfId="2" applyFont="1" applyFill="1" applyBorder="1"/>
    <xf numFmtId="44" fontId="21" fillId="0" borderId="20" xfId="2" applyFont="1" applyFill="1" applyBorder="1"/>
    <xf numFmtId="44" fontId="1" fillId="0" borderId="20" xfId="2" applyFont="1" applyFill="1" applyBorder="1"/>
    <xf numFmtId="44" fontId="56" fillId="2" borderId="3" xfId="2" applyFont="1" applyFill="1" applyBorder="1"/>
    <xf numFmtId="174" fontId="60" fillId="2" borderId="47" xfId="0" applyNumberFormat="1" applyFont="1" applyFill="1" applyBorder="1" applyAlignment="1">
      <alignment horizontal="center"/>
    </xf>
    <xf numFmtId="172" fontId="30" fillId="6" borderId="0" xfId="2" applyNumberFormat="1" applyFont="1" applyFill="1" applyBorder="1"/>
    <xf numFmtId="44" fontId="1" fillId="0" borderId="0" xfId="2" applyFont="1" applyFill="1" applyBorder="1"/>
    <xf numFmtId="44" fontId="61" fillId="2" borderId="50" xfId="0" applyNumberFormat="1" applyFont="1" applyFill="1" applyBorder="1" applyAlignment="1">
      <alignment horizontal="center"/>
    </xf>
    <xf numFmtId="167" fontId="21" fillId="2" borderId="12" xfId="1" applyNumberFormat="1" applyFont="1" applyFill="1" applyBorder="1" applyAlignment="1">
      <alignment horizontal="center"/>
    </xf>
    <xf numFmtId="167" fontId="17" fillId="7" borderId="84" xfId="1" applyNumberFormat="1" applyFont="1" applyFill="1" applyBorder="1" applyAlignment="1">
      <alignment horizontal="right"/>
    </xf>
    <xf numFmtId="167" fontId="17" fillId="2" borderId="62" xfId="1" applyNumberFormat="1" applyFont="1" applyFill="1" applyBorder="1" applyAlignment="1">
      <alignment horizontal="right"/>
    </xf>
    <xf numFmtId="168" fontId="38" fillId="10" borderId="1" xfId="0" applyNumberFormat="1" applyFont="1" applyFill="1" applyBorder="1" applyAlignment="1">
      <alignment horizontal="right"/>
    </xf>
    <xf numFmtId="168" fontId="40" fillId="7" borderId="84" xfId="0" applyNumberFormat="1" applyFont="1" applyFill="1" applyBorder="1" applyAlignment="1">
      <alignment horizontal="right"/>
    </xf>
    <xf numFmtId="168" fontId="38" fillId="10" borderId="62" xfId="0" applyNumberFormat="1" applyFont="1" applyFill="1" applyBorder="1" applyAlignment="1">
      <alignment horizontal="right"/>
    </xf>
    <xf numFmtId="0" fontId="0" fillId="4" borderId="4" xfId="0" applyFill="1" applyBorder="1"/>
    <xf numFmtId="0" fontId="0" fillId="4" borderId="7" xfId="0" applyFill="1" applyBorder="1"/>
    <xf numFmtId="0" fontId="8" fillId="4" borderId="7" xfId="0" applyFont="1" applyFill="1" applyBorder="1"/>
    <xf numFmtId="14" fontId="8" fillId="4" borderId="0" xfId="0" applyNumberFormat="1" applyFont="1" applyFill="1"/>
    <xf numFmtId="0" fontId="5" fillId="0" borderId="7" xfId="0" applyFont="1" applyBorder="1" applyAlignment="1">
      <alignment horizontal="left" wrapText="1"/>
    </xf>
    <xf numFmtId="0" fontId="5" fillId="0" borderId="78" xfId="0" applyFont="1" applyBorder="1" applyAlignment="1">
      <alignment horizontal="left" wrapText="1"/>
    </xf>
    <xf numFmtId="43" fontId="5" fillId="0" borderId="7" xfId="1" applyFont="1" applyBorder="1" applyAlignment="1">
      <alignment horizontal="left" wrapText="1"/>
    </xf>
    <xf numFmtId="0" fontId="5" fillId="0" borderId="97" xfId="0" applyFont="1" applyBorder="1" applyAlignment="1">
      <alignment horizontal="left" wrapText="1"/>
    </xf>
    <xf numFmtId="43" fontId="18" fillId="2" borderId="95" xfId="0" applyNumberFormat="1" applyFont="1" applyFill="1" applyBorder="1" applyAlignment="1">
      <alignment horizontal="right"/>
    </xf>
    <xf numFmtId="0" fontId="14" fillId="2" borderId="97" xfId="0" applyFont="1" applyFill="1" applyBorder="1" applyAlignment="1">
      <alignment horizontal="right"/>
    </xf>
    <xf numFmtId="43" fontId="18" fillId="2" borderId="97" xfId="0" applyNumberFormat="1" applyFont="1" applyFill="1" applyBorder="1" applyAlignment="1">
      <alignment horizontal="right"/>
    </xf>
    <xf numFmtId="0" fontId="18" fillId="2" borderId="97" xfId="0" applyFont="1" applyFill="1" applyBorder="1" applyAlignment="1">
      <alignment horizontal="right"/>
    </xf>
    <xf numFmtId="0" fontId="24" fillId="2" borderId="98" xfId="0" applyFont="1" applyFill="1" applyBorder="1" applyAlignment="1">
      <alignment horizontal="left"/>
    </xf>
    <xf numFmtId="0" fontId="5" fillId="0" borderId="95" xfId="0" applyFont="1" applyBorder="1" applyAlignment="1">
      <alignment horizontal="right" wrapText="1"/>
    </xf>
    <xf numFmtId="0" fontId="5" fillId="7" borderId="96" xfId="0" applyFont="1" applyFill="1" applyBorder="1" applyAlignment="1">
      <alignment horizontal="right" wrapText="1"/>
    </xf>
    <xf numFmtId="167" fontId="21" fillId="2" borderId="33" xfId="1" applyNumberFormat="1" applyFont="1" applyFill="1" applyBorder="1" applyAlignment="1">
      <alignment horizontal="center"/>
    </xf>
    <xf numFmtId="44" fontId="0" fillId="0" borderId="38" xfId="2" applyFont="1" applyBorder="1" applyAlignment="1"/>
    <xf numFmtId="172" fontId="17" fillId="2" borderId="43" xfId="2" applyNumberFormat="1" applyFont="1" applyFill="1" applyBorder="1" applyAlignment="1">
      <alignment horizontal="right"/>
    </xf>
    <xf numFmtId="167" fontId="17" fillId="2" borderId="1" xfId="1" applyNumberFormat="1" applyFont="1" applyFill="1" applyBorder="1"/>
    <xf numFmtId="167" fontId="17" fillId="2" borderId="99" xfId="1" applyNumberFormat="1" applyFont="1" applyFill="1" applyBorder="1"/>
    <xf numFmtId="0" fontId="34" fillId="10" borderId="43" xfId="0" applyFont="1" applyFill="1" applyBorder="1" applyAlignment="1">
      <alignment horizontal="right"/>
    </xf>
    <xf numFmtId="168" fontId="34" fillId="10" borderId="99" xfId="0" applyNumberFormat="1" applyFont="1" applyFill="1" applyBorder="1" applyAlignment="1">
      <alignment horizontal="right"/>
    </xf>
    <xf numFmtId="172" fontId="11" fillId="2" borderId="100" xfId="2" applyNumberFormat="1" applyFont="1" applyFill="1" applyBorder="1" applyAlignment="1">
      <alignment horizontal="right"/>
    </xf>
    <xf numFmtId="172" fontId="11" fillId="2" borderId="3" xfId="2" applyNumberFormat="1" applyFont="1" applyFill="1" applyBorder="1"/>
    <xf numFmtId="172" fontId="11" fillId="2" borderId="80" xfId="2" applyNumberFormat="1" applyFont="1" applyFill="1" applyBorder="1"/>
    <xf numFmtId="44" fontId="8" fillId="0" borderId="0" xfId="0" applyNumberFormat="1" applyFont="1" applyAlignment="1">
      <alignment horizontal="right"/>
    </xf>
    <xf numFmtId="44" fontId="29" fillId="0" borderId="0" xfId="0" applyNumberFormat="1" applyFont="1" applyAlignment="1">
      <alignment horizontal="right"/>
    </xf>
    <xf numFmtId="172" fontId="57" fillId="12" borderId="92" xfId="2" applyNumberFormat="1" applyFont="1" applyFill="1" applyBorder="1" applyAlignment="1">
      <alignment horizontal="right"/>
    </xf>
    <xf numFmtId="43" fontId="20" fillId="3" borderId="20" xfId="1" applyFont="1" applyFill="1" applyBorder="1"/>
    <xf numFmtId="0" fontId="51" fillId="0" borderId="0" xfId="0" applyFont="1" applyAlignment="1">
      <alignment horizontal="center"/>
    </xf>
    <xf numFmtId="178" fontId="32" fillId="4" borderId="52" xfId="0" applyNumberFormat="1" applyFont="1" applyFill="1" applyBorder="1" applyAlignment="1">
      <alignment horizontal="center"/>
    </xf>
    <xf numFmtId="178" fontId="32" fillId="4" borderId="53" xfId="0" applyNumberFormat="1" applyFont="1" applyFill="1" applyBorder="1" applyAlignment="1">
      <alignment horizontal="center"/>
    </xf>
    <xf numFmtId="178" fontId="32" fillId="4" borderId="54" xfId="0" applyNumberFormat="1" applyFont="1" applyFill="1" applyBorder="1" applyAlignment="1">
      <alignment horizontal="center"/>
    </xf>
    <xf numFmtId="0" fontId="45" fillId="0" borderId="28" xfId="0" applyFont="1" applyBorder="1" applyAlignment="1">
      <alignment horizontal="center" vertical="center" wrapText="1"/>
    </xf>
    <xf numFmtId="0" fontId="45" fillId="0" borderId="44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wrapText="1"/>
    </xf>
    <xf numFmtId="0" fontId="45" fillId="0" borderId="20" xfId="0" applyFont="1" applyBorder="1" applyAlignment="1">
      <alignment horizontal="center" wrapText="1"/>
    </xf>
    <xf numFmtId="0" fontId="45" fillId="0" borderId="26" xfId="0" applyFont="1" applyBorder="1" applyAlignment="1">
      <alignment horizontal="center" wrapText="1"/>
    </xf>
    <xf numFmtId="0" fontId="45" fillId="0" borderId="14" xfId="0" applyFont="1" applyBorder="1" applyAlignment="1">
      <alignment horizontal="center" wrapText="1"/>
    </xf>
    <xf numFmtId="43" fontId="46" fillId="2" borderId="23" xfId="0" applyNumberFormat="1" applyFont="1" applyFill="1" applyBorder="1" applyAlignment="1">
      <alignment horizontal="right" vertical="center" textRotation="90"/>
    </xf>
    <xf numFmtId="43" fontId="46" fillId="2" borderId="22" xfId="0" applyNumberFormat="1" applyFont="1" applyFill="1" applyBorder="1" applyAlignment="1">
      <alignment horizontal="right" vertical="center" textRotation="90"/>
    </xf>
    <xf numFmtId="0" fontId="45" fillId="0" borderId="25" xfId="0" applyFont="1" applyBorder="1" applyAlignment="1">
      <alignment horizontal="center" wrapText="1"/>
    </xf>
    <xf numFmtId="0" fontId="45" fillId="0" borderId="75" xfId="0" applyFont="1" applyBorder="1" applyAlignment="1">
      <alignment horizontal="center" wrapText="1"/>
    </xf>
    <xf numFmtId="0" fontId="45" fillId="2" borderId="26" xfId="0" applyFont="1" applyFill="1" applyBorder="1" applyAlignment="1">
      <alignment horizontal="right" wrapText="1"/>
    </xf>
    <xf numFmtId="0" fontId="45" fillId="2" borderId="14" xfId="0" applyFont="1" applyFill="1" applyBorder="1" applyAlignment="1">
      <alignment horizontal="right" wrapText="1"/>
    </xf>
    <xf numFmtId="0" fontId="45" fillId="0" borderId="61" xfId="0" applyFont="1" applyBorder="1" applyAlignment="1">
      <alignment horizontal="center" wrapText="1"/>
    </xf>
    <xf numFmtId="0" fontId="45" fillId="0" borderId="85" xfId="0" applyFont="1" applyBorder="1" applyAlignment="1">
      <alignment horizontal="center" wrapText="1"/>
    </xf>
    <xf numFmtId="0" fontId="45" fillId="0" borderId="28" xfId="0" applyFont="1" applyBorder="1" applyAlignment="1">
      <alignment horizontal="center" wrapText="1"/>
    </xf>
    <xf numFmtId="0" fontId="45" fillId="0" borderId="44" xfId="0" applyFont="1" applyBorder="1" applyAlignment="1">
      <alignment horizontal="center" wrapText="1"/>
    </xf>
    <xf numFmtId="0" fontId="45" fillId="2" borderId="23" xfId="0" applyFont="1" applyFill="1" applyBorder="1" applyAlignment="1">
      <alignment horizontal="right" wrapText="1"/>
    </xf>
    <xf numFmtId="0" fontId="45" fillId="2" borderId="17" xfId="0" applyFont="1" applyFill="1" applyBorder="1" applyAlignment="1">
      <alignment horizontal="right" wrapText="1"/>
    </xf>
    <xf numFmtId="0" fontId="45" fillId="0" borderId="23" xfId="0" applyFont="1" applyBorder="1" applyAlignment="1">
      <alignment horizontal="center" wrapText="1"/>
    </xf>
    <xf numFmtId="0" fontId="45" fillId="0" borderId="17" xfId="0" applyFont="1" applyBorder="1" applyAlignment="1">
      <alignment horizontal="center" wrapText="1"/>
    </xf>
  </cellXfs>
  <cellStyles count="8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- Student Count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5"/>
          <c:order val="1"/>
          <c:tx>
            <c:v>Expenses</c:v>
          </c:tx>
          <c:spPr>
            <a:solidFill>
              <a:schemeClr val="accent3">
                <a:shade val="86000"/>
              </a:schemeClr>
            </a:solidFill>
          </c:spPr>
          <c:cat>
            <c:numRef>
              <c:f>('Monthly Detail'!$P$4:$AM$4,'Monthly Detail'!$AZ$4:$DG$4)</c:f>
              <c:numCache>
                <c:formatCode>m/d/yyyy</c:formatCode>
                <c:ptCount val="7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46053</c:v>
                </c:pt>
                <c:pt idx="13">
                  <c:v>46081</c:v>
                </c:pt>
                <c:pt idx="14">
                  <c:v>46112</c:v>
                </c:pt>
                <c:pt idx="15">
                  <c:v>46142</c:v>
                </c:pt>
                <c:pt idx="16">
                  <c:v>46173</c:v>
                </c:pt>
                <c:pt idx="17">
                  <c:v>46203</c:v>
                </c:pt>
                <c:pt idx="18">
                  <c:v>46234</c:v>
                </c:pt>
                <c:pt idx="19">
                  <c:v>46265</c:v>
                </c:pt>
                <c:pt idx="20">
                  <c:v>46295</c:v>
                </c:pt>
                <c:pt idx="21">
                  <c:v>46326</c:v>
                </c:pt>
                <c:pt idx="22">
                  <c:v>46356</c:v>
                </c:pt>
                <c:pt idx="23">
                  <c:v>46387</c:v>
                </c:pt>
                <c:pt idx="24">
                  <c:v>46418</c:v>
                </c:pt>
                <c:pt idx="25">
                  <c:v>46446</c:v>
                </c:pt>
                <c:pt idx="26">
                  <c:v>46477</c:v>
                </c:pt>
                <c:pt idx="27">
                  <c:v>46507</c:v>
                </c:pt>
                <c:pt idx="28">
                  <c:v>46538</c:v>
                </c:pt>
                <c:pt idx="29">
                  <c:v>46568</c:v>
                </c:pt>
                <c:pt idx="30">
                  <c:v>46599</c:v>
                </c:pt>
                <c:pt idx="31">
                  <c:v>46630</c:v>
                </c:pt>
                <c:pt idx="32">
                  <c:v>46660</c:v>
                </c:pt>
                <c:pt idx="33">
                  <c:v>46691</c:v>
                </c:pt>
                <c:pt idx="34">
                  <c:v>46721</c:v>
                </c:pt>
                <c:pt idx="35">
                  <c:v>46752</c:v>
                </c:pt>
                <c:pt idx="36">
                  <c:v>46783</c:v>
                </c:pt>
                <c:pt idx="37">
                  <c:v>46812</c:v>
                </c:pt>
                <c:pt idx="38">
                  <c:v>46843</c:v>
                </c:pt>
                <c:pt idx="39">
                  <c:v>46873</c:v>
                </c:pt>
                <c:pt idx="40">
                  <c:v>46904</c:v>
                </c:pt>
                <c:pt idx="41">
                  <c:v>46934</c:v>
                </c:pt>
                <c:pt idx="42">
                  <c:v>46965</c:v>
                </c:pt>
                <c:pt idx="43">
                  <c:v>46996</c:v>
                </c:pt>
                <c:pt idx="44">
                  <c:v>47026</c:v>
                </c:pt>
                <c:pt idx="45">
                  <c:v>47057</c:v>
                </c:pt>
                <c:pt idx="46">
                  <c:v>47087</c:v>
                </c:pt>
                <c:pt idx="47">
                  <c:v>47118</c:v>
                </c:pt>
                <c:pt idx="48">
                  <c:v>47149</c:v>
                </c:pt>
                <c:pt idx="49">
                  <c:v>47177</c:v>
                </c:pt>
                <c:pt idx="50">
                  <c:v>47208</c:v>
                </c:pt>
                <c:pt idx="51">
                  <c:v>47238</c:v>
                </c:pt>
                <c:pt idx="52">
                  <c:v>47269</c:v>
                </c:pt>
                <c:pt idx="53">
                  <c:v>47299</c:v>
                </c:pt>
                <c:pt idx="54">
                  <c:v>47330</c:v>
                </c:pt>
                <c:pt idx="55">
                  <c:v>47361</c:v>
                </c:pt>
                <c:pt idx="56">
                  <c:v>47391</c:v>
                </c:pt>
                <c:pt idx="57">
                  <c:v>47422</c:v>
                </c:pt>
                <c:pt idx="58">
                  <c:v>47452</c:v>
                </c:pt>
                <c:pt idx="59">
                  <c:v>47483</c:v>
                </c:pt>
                <c:pt idx="60">
                  <c:v>47514</c:v>
                </c:pt>
                <c:pt idx="61">
                  <c:v>47542</c:v>
                </c:pt>
                <c:pt idx="62">
                  <c:v>47573</c:v>
                </c:pt>
                <c:pt idx="63">
                  <c:v>47603</c:v>
                </c:pt>
                <c:pt idx="64">
                  <c:v>47634</c:v>
                </c:pt>
                <c:pt idx="65">
                  <c:v>47664</c:v>
                </c:pt>
                <c:pt idx="66">
                  <c:v>47695</c:v>
                </c:pt>
                <c:pt idx="67">
                  <c:v>47726</c:v>
                </c:pt>
                <c:pt idx="68">
                  <c:v>47756</c:v>
                </c:pt>
                <c:pt idx="69">
                  <c:v>47787</c:v>
                </c:pt>
                <c:pt idx="70">
                  <c:v>47817</c:v>
                </c:pt>
                <c:pt idx="71">
                  <c:v>47848</c:v>
                </c:pt>
              </c:numCache>
            </c:numRef>
          </c:cat>
          <c:val>
            <c:numRef>
              <c:f>('Monthly Detail'!$K$86:$N$86,'Monthly Detail'!$T$86:$AM$86)</c:f>
            </c:numRef>
          </c:val>
          <c:extLst>
            <c:ext xmlns:c16="http://schemas.microsoft.com/office/drawing/2014/chart" uri="{C3380CC4-5D6E-409C-BE32-E72D297353CC}">
              <c16:uniqueId val="{00000009-B93C-4B32-A5CD-C473B209565A}"/>
            </c:ext>
          </c:extLst>
        </c:ser>
        <c:ser>
          <c:idx val="1"/>
          <c:order val="3"/>
          <c:tx>
            <c:v>Cash Balance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cat>
            <c:numLit>
              <c:formatCode>General</c:formatCode>
              <c:ptCount val="24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  <c:pt idx="18">
                <c:v>45869</c:v>
              </c:pt>
              <c:pt idx="19">
                <c:v>45900</c:v>
              </c:pt>
              <c:pt idx="20">
                <c:v>45930</c:v>
              </c:pt>
              <c:pt idx="21">
                <c:v>45961</c:v>
              </c:pt>
              <c:pt idx="22">
                <c:v>45991</c:v>
              </c:pt>
              <c:pt idx="23">
                <c:v>46022</c:v>
              </c:pt>
            </c:numLit>
          </c:cat>
          <c:val>
            <c:numRef>
              <c:f>'Monthly Detail'!$AB$149:$AS$149</c:f>
              <c:numCache>
                <c:formatCode>_("$"* #,##0.00_);_("$"* \(#,##0.00\);_("$"* "-"??_);_(@_)</c:formatCode>
                <c:ptCount val="18"/>
                <c:pt idx="0">
                  <c:v>1291.7799999999991</c:v>
                </c:pt>
                <c:pt idx="1">
                  <c:v>551.31999999999903</c:v>
                </c:pt>
                <c:pt idx="2">
                  <c:v>177.78999999999928</c:v>
                </c:pt>
                <c:pt idx="3">
                  <c:v>1342.9899999999991</c:v>
                </c:pt>
                <c:pt idx="4">
                  <c:v>1278.089999999999</c:v>
                </c:pt>
                <c:pt idx="5">
                  <c:v>1615.6999999999991</c:v>
                </c:pt>
                <c:pt idx="6">
                  <c:v>3158.9800000000023</c:v>
                </c:pt>
                <c:pt idx="7">
                  <c:v>3192.6000000000031</c:v>
                </c:pt>
                <c:pt idx="8">
                  <c:v>4422.5200000000032</c:v>
                </c:pt>
                <c:pt idx="9">
                  <c:v>4966.6341477980141</c:v>
                </c:pt>
                <c:pt idx="10">
                  <c:v>7281.696660683735</c:v>
                </c:pt>
                <c:pt idx="11">
                  <c:v>8043.4721598922515</c:v>
                </c:pt>
                <c:pt idx="12">
                  <c:v>8467.644344095459</c:v>
                </c:pt>
                <c:pt idx="13">
                  <c:v>9038.2010487513708</c:v>
                </c:pt>
                <c:pt idx="14">
                  <c:v>10534.837764456097</c:v>
                </c:pt>
                <c:pt idx="15">
                  <c:v>11064.948567042764</c:v>
                </c:pt>
                <c:pt idx="16">
                  <c:v>12313.537251108821</c:v>
                </c:pt>
                <c:pt idx="17">
                  <c:v>13674.417446611582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C-4B32-A5CD-C473B209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stacked"/>
        <c:varyColors val="0"/>
        <c:ser>
          <c:idx val="4"/>
          <c:order val="0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93C-4B32-A5CD-C473B209565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B93C-4B32-A5CD-C473B209565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B93C-4B32-A5CD-C473B209565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B93C-4B32-A5CD-C473B209565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B93C-4B32-A5CD-C473B209565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B93C-4B32-A5CD-C473B209565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0-D989-4236-9F53-E4F43D2199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39E9-4893-BB40-24E831E39D1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821A-4582-BBAC-B15DEDC620F8}"/>
              </c:ext>
            </c:extLst>
          </c:dPt>
          <c:cat>
            <c:numRef>
              <c:f>('Monthly Detail'!$P$4:$AM$4,'Monthly Detail'!$AZ$4:$DG$4)</c:f>
              <c:numCache>
                <c:formatCode>m/d/yyyy</c:formatCode>
                <c:ptCount val="7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46053</c:v>
                </c:pt>
                <c:pt idx="13">
                  <c:v>46081</c:v>
                </c:pt>
                <c:pt idx="14">
                  <c:v>46112</c:v>
                </c:pt>
                <c:pt idx="15">
                  <c:v>46142</c:v>
                </c:pt>
                <c:pt idx="16">
                  <c:v>46173</c:v>
                </c:pt>
                <c:pt idx="17">
                  <c:v>46203</c:v>
                </c:pt>
                <c:pt idx="18">
                  <c:v>46234</c:v>
                </c:pt>
                <c:pt idx="19">
                  <c:v>46265</c:v>
                </c:pt>
                <c:pt idx="20">
                  <c:v>46295</c:v>
                </c:pt>
                <c:pt idx="21">
                  <c:v>46326</c:v>
                </c:pt>
                <c:pt idx="22">
                  <c:v>46356</c:v>
                </c:pt>
                <c:pt idx="23">
                  <c:v>46387</c:v>
                </c:pt>
                <c:pt idx="24">
                  <c:v>46418</c:v>
                </c:pt>
                <c:pt idx="25">
                  <c:v>46446</c:v>
                </c:pt>
                <c:pt idx="26">
                  <c:v>46477</c:v>
                </c:pt>
                <c:pt idx="27">
                  <c:v>46507</c:v>
                </c:pt>
                <c:pt idx="28">
                  <c:v>46538</c:v>
                </c:pt>
                <c:pt idx="29">
                  <c:v>46568</c:v>
                </c:pt>
                <c:pt idx="30">
                  <c:v>46599</c:v>
                </c:pt>
                <c:pt idx="31">
                  <c:v>46630</c:v>
                </c:pt>
                <c:pt idx="32">
                  <c:v>46660</c:v>
                </c:pt>
                <c:pt idx="33">
                  <c:v>46691</c:v>
                </c:pt>
                <c:pt idx="34">
                  <c:v>46721</c:v>
                </c:pt>
                <c:pt idx="35">
                  <c:v>46752</c:v>
                </c:pt>
                <c:pt idx="36">
                  <c:v>46783</c:v>
                </c:pt>
                <c:pt idx="37">
                  <c:v>46812</c:v>
                </c:pt>
                <c:pt idx="38">
                  <c:v>46843</c:v>
                </c:pt>
                <c:pt idx="39">
                  <c:v>46873</c:v>
                </c:pt>
                <c:pt idx="40">
                  <c:v>46904</c:v>
                </c:pt>
                <c:pt idx="41">
                  <c:v>46934</c:v>
                </c:pt>
                <c:pt idx="42">
                  <c:v>46965</c:v>
                </c:pt>
                <c:pt idx="43">
                  <c:v>46996</c:v>
                </c:pt>
                <c:pt idx="44">
                  <c:v>47026</c:v>
                </c:pt>
                <c:pt idx="45">
                  <c:v>47057</c:v>
                </c:pt>
                <c:pt idx="46">
                  <c:v>47087</c:v>
                </c:pt>
                <c:pt idx="47">
                  <c:v>47118</c:v>
                </c:pt>
                <c:pt idx="48">
                  <c:v>47149</c:v>
                </c:pt>
                <c:pt idx="49">
                  <c:v>47177</c:v>
                </c:pt>
                <c:pt idx="50">
                  <c:v>47208</c:v>
                </c:pt>
                <c:pt idx="51">
                  <c:v>47238</c:v>
                </c:pt>
                <c:pt idx="52">
                  <c:v>47269</c:v>
                </c:pt>
                <c:pt idx="53">
                  <c:v>47299</c:v>
                </c:pt>
                <c:pt idx="54">
                  <c:v>47330</c:v>
                </c:pt>
                <c:pt idx="55">
                  <c:v>47361</c:v>
                </c:pt>
                <c:pt idx="56">
                  <c:v>47391</c:v>
                </c:pt>
                <c:pt idx="57">
                  <c:v>47422</c:v>
                </c:pt>
                <c:pt idx="58">
                  <c:v>47452</c:v>
                </c:pt>
                <c:pt idx="59">
                  <c:v>47483</c:v>
                </c:pt>
                <c:pt idx="60">
                  <c:v>47514</c:v>
                </c:pt>
                <c:pt idx="61">
                  <c:v>47542</c:v>
                </c:pt>
                <c:pt idx="62">
                  <c:v>47573</c:v>
                </c:pt>
                <c:pt idx="63">
                  <c:v>47603</c:v>
                </c:pt>
                <c:pt idx="64">
                  <c:v>47634</c:v>
                </c:pt>
                <c:pt idx="65">
                  <c:v>47664</c:v>
                </c:pt>
                <c:pt idx="66">
                  <c:v>47695</c:v>
                </c:pt>
                <c:pt idx="67">
                  <c:v>47726</c:v>
                </c:pt>
                <c:pt idx="68">
                  <c:v>47756</c:v>
                </c:pt>
                <c:pt idx="69">
                  <c:v>47787</c:v>
                </c:pt>
                <c:pt idx="70">
                  <c:v>47817</c:v>
                </c:pt>
                <c:pt idx="71">
                  <c:v>47848</c:v>
                </c:pt>
              </c:numCache>
            </c:numRef>
          </c:cat>
          <c:val>
            <c:numRef>
              <c:f>'Monthly Detail'!$AB$14:$AS$14</c:f>
              <c:numCache>
                <c:formatCode>_("$"* #,##0.00_);_("$"* \(#,##0.00\);_("$"* "-"??_);_(@_)</c:formatCode>
                <c:ptCount val="18"/>
                <c:pt idx="0">
                  <c:v>3002</c:v>
                </c:pt>
                <c:pt idx="1">
                  <c:v>4357.5</c:v>
                </c:pt>
                <c:pt idx="2">
                  <c:v>3479.5</c:v>
                </c:pt>
                <c:pt idx="3">
                  <c:v>4018</c:v>
                </c:pt>
                <c:pt idx="4">
                  <c:v>5420.08</c:v>
                </c:pt>
                <c:pt idx="5">
                  <c:v>4308.26</c:v>
                </c:pt>
                <c:pt idx="6">
                  <c:v>9060.8900000000012</c:v>
                </c:pt>
                <c:pt idx="7">
                  <c:v>14111.26</c:v>
                </c:pt>
                <c:pt idx="8">
                  <c:v>9897.5</c:v>
                </c:pt>
                <c:pt idx="9">
                  <c:v>12364.236231048502</c:v>
                </c:pt>
                <c:pt idx="10">
                  <c:v>5667.4082264242952</c:v>
                </c:pt>
                <c:pt idx="11">
                  <c:v>5456.0995153157173</c:v>
                </c:pt>
                <c:pt idx="12">
                  <c:v>4543.4824885819553</c:v>
                </c:pt>
                <c:pt idx="13">
                  <c:v>8404.831965729838</c:v>
                </c:pt>
                <c:pt idx="14">
                  <c:v>5347.1934813694088</c:v>
                </c:pt>
                <c:pt idx="15">
                  <c:v>7172.0897270070318</c:v>
                </c:pt>
                <c:pt idx="16">
                  <c:v>8020.7311110865776</c:v>
                </c:pt>
                <c:pt idx="17">
                  <c:v>4573.1015152840446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3C-4B32-A5CD-C473B209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7"/>
          <c:order val="2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93C-4B32-A5CD-C473B209565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B93C-4B32-A5CD-C473B209565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93C-4B32-A5CD-C473B209565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B93C-4B32-A5CD-C473B209565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93C-4B32-A5CD-C473B209565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B93C-4B32-A5CD-C473B209565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D989-4236-9F53-E4F43D2199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8-39E9-4893-BB40-24E831E39D1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E-821A-4582-BBAC-B15DEDC620F8}"/>
              </c:ext>
            </c:extLst>
          </c:dPt>
          <c:cat>
            <c:numRef>
              <c:f>'Monthly Detail'!$AB$4:$AS$4</c:f>
              <c:numCache>
                <c:formatCode>m/d/yyyy</c:formatCode>
                <c:ptCount val="18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</c:numCache>
            </c:numRef>
          </c:cat>
          <c:val>
            <c:numRef>
              <c:f>'Monthly Detail'!$AB$88:$AS$88</c:f>
              <c:numCache>
                <c:formatCode>_("$"* #,##0.00_);_("$"* \(#,##0.00\);_("$"* "-"??_);_(@_)</c:formatCode>
                <c:ptCount val="18"/>
                <c:pt idx="0">
                  <c:v>2584.7600000000002</c:v>
                </c:pt>
                <c:pt idx="1">
                  <c:v>2742.04</c:v>
                </c:pt>
                <c:pt idx="2">
                  <c:v>2536.4700000000003</c:v>
                </c:pt>
                <c:pt idx="3">
                  <c:v>1235.1999999999998</c:v>
                </c:pt>
                <c:pt idx="4">
                  <c:v>4730.13</c:v>
                </c:pt>
                <c:pt idx="5">
                  <c:v>2728.84</c:v>
                </c:pt>
                <c:pt idx="6">
                  <c:v>6314.130000000001</c:v>
                </c:pt>
                <c:pt idx="7">
                  <c:v>11774.94</c:v>
                </c:pt>
                <c:pt idx="8">
                  <c:v>8439.7900000000009</c:v>
                </c:pt>
                <c:pt idx="9">
                  <c:v>4780.6767337445845</c:v>
                </c:pt>
                <c:pt idx="10">
                  <c:v>3222.0101166414752</c:v>
                </c:pt>
                <c:pt idx="11">
                  <c:v>3016.8604265834592</c:v>
                </c:pt>
                <c:pt idx="12">
                  <c:v>1353.8201411146392</c:v>
                </c:pt>
                <c:pt idx="13">
                  <c:v>5501.9878339012575</c:v>
                </c:pt>
                <c:pt idx="14">
                  <c:v>3284.105346592256</c:v>
                </c:pt>
                <c:pt idx="15">
                  <c:v>3805.8112891278142</c:v>
                </c:pt>
                <c:pt idx="16">
                  <c:v>5452.2390376270141</c:v>
                </c:pt>
                <c:pt idx="17">
                  <c:v>2532.5758611977144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3C-4B32-A5CD-C473B209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lineChart>
        <c:grouping val="standard"/>
        <c:varyColors val="0"/>
        <c:ser>
          <c:idx val="0"/>
          <c:order val="4"/>
          <c:tx>
            <c:strRef>
              <c:f>'Monthly Detail'!$C$17</c:f>
              <c:strCache>
                <c:ptCount val="1"/>
                <c:pt idx="0">
                  <c:v> # of Students 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93C-4B32-A5CD-C473B209565A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B93C-4B32-A5CD-C473B209565A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93C-4B32-A5CD-C473B209565A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B93C-4B32-A5CD-C473B209565A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B93C-4B32-A5CD-C473B209565A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2E-D989-4236-9F53-E4F43D2199A9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2A-39E9-4893-BB40-24E831E39D19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30-821A-4582-BBAC-B15DEDC620F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'Monthly Detail'!$AB$4:$AS$4</c:f>
              <c:numCache>
                <c:formatCode>m/d/yyyy</c:formatCode>
                <c:ptCount val="18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</c:numCache>
            </c:numRef>
          </c:cat>
          <c:val>
            <c:numRef>
              <c:f>'Monthly Detail'!$AB$17:$AS$17</c:f>
              <c:numCache>
                <c:formatCode>_(* #,##0_);_(* \(#,##0\);_(* "-"??_);_(@_)</c:formatCode>
                <c:ptCount val="18"/>
                <c:pt idx="0">
                  <c:v>16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37</c:v>
                </c:pt>
                <c:pt idx="11">
                  <c:v>32</c:v>
                </c:pt>
                <c:pt idx="12">
                  <c:v>25.6</c:v>
                </c:pt>
                <c:pt idx="13">
                  <c:v>29.6</c:v>
                </c:pt>
                <c:pt idx="14">
                  <c:v>29.4</c:v>
                </c:pt>
                <c:pt idx="15">
                  <c:v>29.199999999999996</c:v>
                </c:pt>
                <c:pt idx="16">
                  <c:v>31.199999999999996</c:v>
                </c:pt>
                <c:pt idx="17">
                  <c:v>27.999999999999993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3C-4B32-A5CD-C473B209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516912"/>
        <c:axId val="900006399"/>
      </c:lineChart>
      <c:cat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Algn val="ctr"/>
        <c:lblOffset val="100"/>
        <c:tickLblSkip val="3"/>
        <c:noMultiLvlLbl val="0"/>
      </c:cat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  <c:valAx>
        <c:axId val="900006399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154516912"/>
        <c:crosses val="max"/>
        <c:crossBetween val="between"/>
      </c:valAx>
      <c:dateAx>
        <c:axId val="1154516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00006399"/>
        <c:crosses val="autoZero"/>
        <c:auto val="1"/>
        <c:lblOffset val="100"/>
        <c:baseTimeUnit val="months"/>
      </c:date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B2-4A63-A64D-58B388678D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'2023 Overview'!$C$29:$N$29</c:f>
              <c:numCache>
                <c:formatCode>_("$"* #,##0.00_);_("$"* \(#,##0.00\);_("$"* "-"??_);_(@_)</c:formatCode>
                <c:ptCount val="12"/>
                <c:pt idx="0">
                  <c:v>169.96000000000117</c:v>
                </c:pt>
                <c:pt idx="1">
                  <c:v>212.95000000000118</c:v>
                </c:pt>
                <c:pt idx="2">
                  <c:v>127.39000000000124</c:v>
                </c:pt>
                <c:pt idx="3">
                  <c:v>395.42000000000144</c:v>
                </c:pt>
                <c:pt idx="4">
                  <c:v>300.21000000000186</c:v>
                </c:pt>
                <c:pt idx="5">
                  <c:v>433.57000000000198</c:v>
                </c:pt>
                <c:pt idx="6">
                  <c:v>566.72999999999774</c:v>
                </c:pt>
                <c:pt idx="7">
                  <c:v>503.449999999998</c:v>
                </c:pt>
                <c:pt idx="8">
                  <c:v>741.17999999999756</c:v>
                </c:pt>
                <c:pt idx="9">
                  <c:v>653.29999999999927</c:v>
                </c:pt>
                <c:pt idx="10">
                  <c:v>727.48999999999887</c:v>
                </c:pt>
                <c:pt idx="11">
                  <c:v>997.01999999999884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Overview'!$C$30:$N$30</c:f>
              <c:numCache>
                <c:formatCode>_("$"* #,##0.00_);_("$"* \(#,##0.00\);_("$"* "-"??_);_(@_)</c:formatCode>
                <c:ptCount val="12"/>
                <c:pt idx="0">
                  <c:v>225.86000000000104</c:v>
                </c:pt>
                <c:pt idx="1">
                  <c:v>42.990000000000009</c:v>
                </c:pt>
                <c:pt idx="2">
                  <c:v>-85.559999999999945</c:v>
                </c:pt>
                <c:pt idx="3">
                  <c:v>268.0300000000002</c:v>
                </c:pt>
                <c:pt idx="4">
                  <c:v>-95.209999999999582</c:v>
                </c:pt>
                <c:pt idx="5">
                  <c:v>133.36000000000013</c:v>
                </c:pt>
                <c:pt idx="6">
                  <c:v>133.15999999999576</c:v>
                </c:pt>
                <c:pt idx="7">
                  <c:v>-63.279999999999745</c:v>
                </c:pt>
                <c:pt idx="8">
                  <c:v>237.72999999999956</c:v>
                </c:pt>
                <c:pt idx="9">
                  <c:v>-87.87999999999829</c:v>
                </c:pt>
                <c:pt idx="10">
                  <c:v>74.1899999999996</c:v>
                </c:pt>
                <c:pt idx="11">
                  <c:v>269.52999999999997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 - Student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'2024 Overview (Budget)'!$B$32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</c:spPr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(Budget)'!$C$32:$N$32</c:f>
              <c:numCache>
                <c:formatCode>_("$"* #,##0.00_);_("$"* \(#,##0.00\);_("$"* "-"??_);_(@_)</c:formatCode>
                <c:ptCount val="12"/>
                <c:pt idx="0">
                  <c:v>1291.7799999999991</c:v>
                </c:pt>
                <c:pt idx="1">
                  <c:v>551.31999999999903</c:v>
                </c:pt>
                <c:pt idx="2">
                  <c:v>177.78999999999928</c:v>
                </c:pt>
                <c:pt idx="3">
                  <c:v>1342.9899999999991</c:v>
                </c:pt>
                <c:pt idx="4">
                  <c:v>1278.089999999999</c:v>
                </c:pt>
                <c:pt idx="5">
                  <c:v>1615.6999999999991</c:v>
                </c:pt>
                <c:pt idx="6">
                  <c:v>3158.9800000000023</c:v>
                </c:pt>
                <c:pt idx="7">
                  <c:v>3192.6000000000031</c:v>
                </c:pt>
                <c:pt idx="8">
                  <c:v>4422.5200000000032</c:v>
                </c:pt>
                <c:pt idx="9">
                  <c:v>34722.533705780268</c:v>
                </c:pt>
                <c:pt idx="10">
                  <c:v>36536.590043550263</c:v>
                </c:pt>
                <c:pt idx="11">
                  <c:v>38730.025353412595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38-4434-9D99-9254E94B4A43}"/>
            </c:ext>
          </c:extLst>
        </c:ser>
        <c:ser>
          <c:idx val="5"/>
          <c:order val="1"/>
          <c:tx>
            <c:strRef>
              <c:f>'2024 Overview (Budget)'!$B$33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rgbClr val="FF0000"/>
              </a:solidFill>
            </a:ln>
            <a:effectLst/>
          </c:spPr>
          <c:cat>
            <c:strRef>
              <c:f>'2024 Overview (Budget)'!$C$10:$N$10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(Budget)'!$C$33:$N$33</c:f>
              <c:numCache>
                <c:formatCode>_("$"* #,##0.00_);_("$"* \(#,##0.00\);_("$"* "-"??_);_(@_)</c:formatCode>
                <c:ptCount val="12"/>
                <c:pt idx="0">
                  <c:v>294.76000000000022</c:v>
                </c:pt>
                <c:pt idx="1">
                  <c:v>-740.46</c:v>
                </c:pt>
                <c:pt idx="2">
                  <c:v>-373.52999999999975</c:v>
                </c:pt>
                <c:pt idx="3">
                  <c:v>1165.1999999999998</c:v>
                </c:pt>
                <c:pt idx="4">
                  <c:v>-64.900000000000091</c:v>
                </c:pt>
                <c:pt idx="5">
                  <c:v>337.61000000000013</c:v>
                </c:pt>
                <c:pt idx="6">
                  <c:v>1543.2800000000034</c:v>
                </c:pt>
                <c:pt idx="7">
                  <c:v>33.6200000000008</c:v>
                </c:pt>
                <c:pt idx="8">
                  <c:v>1229.92</c:v>
                </c:pt>
                <c:pt idx="9">
                  <c:v>1709.4541630043368</c:v>
                </c:pt>
                <c:pt idx="10">
                  <c:v>1814.0563377699918</c:v>
                </c:pt>
                <c:pt idx="11">
                  <c:v>2193.4353098623324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38-4434-9D99-9254E94B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stacked"/>
        <c:varyColors val="0"/>
        <c:ser>
          <c:idx val="6"/>
          <c:order val="2"/>
          <c:tx>
            <c:strRef>
              <c:f>'2024 Overview (Budget)'!$B$12</c:f>
              <c:strCache>
                <c:ptCount val="1"/>
                <c:pt idx="0">
                  <c:v>Service Income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C03D-48C3-AD49-5236454D66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D-48C3-AD49-5236454D660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3D-48C3-AD49-5236454D660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D-48C3-AD49-5236454D660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03D-48C3-AD49-5236454D660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3D-48C3-AD49-5236454D660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2FA-44C2-9797-2C7C41224D4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5DD-409D-B3D5-325F3F3417A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74E-4F76-9E9B-5EBBCFB87F58}"/>
              </c:ext>
            </c:extLst>
          </c:dPt>
          <c:cat>
            <c:strRef>
              <c:f>'2024 Overview (Budget)'!$C$10:$N$10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(Budget)'!$C$12:$N$12</c:f>
              <c:numCache>
                <c:formatCode>_(* #,##0_);_(* \(#,##0\);_(* "-"??_);_(@_)</c:formatCode>
                <c:ptCount val="12"/>
                <c:pt idx="0">
                  <c:v>2885</c:v>
                </c:pt>
                <c:pt idx="1">
                  <c:v>4357.5</c:v>
                </c:pt>
                <c:pt idx="2">
                  <c:v>3467.5</c:v>
                </c:pt>
                <c:pt idx="3">
                  <c:v>4000</c:v>
                </c:pt>
                <c:pt idx="4">
                  <c:v>5370</c:v>
                </c:pt>
                <c:pt idx="5">
                  <c:v>4296.26</c:v>
                </c:pt>
                <c:pt idx="6">
                  <c:v>9031.27</c:v>
                </c:pt>
                <c:pt idx="7">
                  <c:v>14073.76</c:v>
                </c:pt>
                <c:pt idx="8">
                  <c:v>9897.5</c:v>
                </c:pt>
                <c:pt idx="9">
                  <c:v>10145.197088068182</c:v>
                </c:pt>
                <c:pt idx="10">
                  <c:v>5993.1640625</c:v>
                </c:pt>
                <c:pt idx="11">
                  <c:v>4062.5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038-4434-9D99-9254E94B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8911"/>
        <c:axId val="1908237535"/>
      </c:barChart>
      <c:lineChart>
        <c:grouping val="standard"/>
        <c:varyColors val="0"/>
        <c:ser>
          <c:idx val="7"/>
          <c:order val="3"/>
          <c:tx>
            <c:strRef>
              <c:f>'2024 Overview (Budget)'!$B$15</c:f>
              <c:strCache>
                <c:ptCount val="1"/>
                <c:pt idx="0">
                  <c:v> # of Students 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03D-48C3-AD49-5236454D6603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03D-48C3-AD49-5236454D6603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03D-48C3-AD49-5236454D6603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03D-48C3-AD49-5236454D6603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03D-48C3-AD49-5236454D6603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72FA-44C2-9797-2C7C41224D45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95DD-409D-B3D5-325F3F3417A3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D74E-4F76-9E9B-5EBBCFB87F5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'2024 Overview (Budget)'!$C$15:$N$15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38</c:v>
                </c:pt>
                <c:pt idx="8">
                  <c:v>42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38-4434-9D99-9254E94B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784431"/>
        <c:axId val="1073801231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073801231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073784431"/>
        <c:crosses val="max"/>
        <c:crossBetween val="between"/>
      </c:valAx>
      <c:catAx>
        <c:axId val="1073784431"/>
        <c:scaling>
          <c:orientation val="minMax"/>
        </c:scaling>
        <c:delete val="1"/>
        <c:axPos val="b"/>
        <c:majorTickMark val="out"/>
        <c:minorTickMark val="none"/>
        <c:tickLblPos val="nextTo"/>
        <c:crossAx val="1073801231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 - Student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'2024 Overview'!$B$36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</c:spPr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Overview'!$C$36:$N$36</c:f>
              <c:numCache>
                <c:formatCode>_("$"* #,##0.00_);_("$"* \(#,##0.00\);_("$"* "-"??_);_(@_)</c:formatCode>
                <c:ptCount val="12"/>
                <c:pt idx="0">
                  <c:v>1291.7799999999991</c:v>
                </c:pt>
                <c:pt idx="1">
                  <c:v>551.31999999999903</c:v>
                </c:pt>
                <c:pt idx="2">
                  <c:v>177.78999999999928</c:v>
                </c:pt>
                <c:pt idx="3">
                  <c:v>1342.9899999999991</c:v>
                </c:pt>
                <c:pt idx="4">
                  <c:v>1278.089999999999</c:v>
                </c:pt>
                <c:pt idx="5">
                  <c:v>1615.6999999999991</c:v>
                </c:pt>
                <c:pt idx="6">
                  <c:v>3158.9800000000023</c:v>
                </c:pt>
                <c:pt idx="7">
                  <c:v>3192.6000000000031</c:v>
                </c:pt>
                <c:pt idx="8">
                  <c:v>4422.5200000000032</c:v>
                </c:pt>
                <c:pt idx="9">
                  <c:v>4966.6341477980141</c:v>
                </c:pt>
                <c:pt idx="10">
                  <c:v>7281.696660683735</c:v>
                </c:pt>
                <c:pt idx="11">
                  <c:v>8043.4721598922515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20-409A-AE4F-420159AD250F}"/>
            </c:ext>
          </c:extLst>
        </c:ser>
        <c:ser>
          <c:idx val="4"/>
          <c:order val="1"/>
          <c:tx>
            <c:strRef>
              <c:f>'2024 Overview'!$B$37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rgbClr val="FF0000"/>
              </a:solidFill>
            </a:ln>
          </c:spPr>
          <c:val>
            <c:numRef>
              <c:f>'2024 Overview'!$C$37:$N$37</c:f>
              <c:numCache>
                <c:formatCode>_("$"* #,##0.00_);_("$"* \(#,##0.00\);_("$"* "-"??_);_(@_)</c:formatCode>
                <c:ptCount val="12"/>
                <c:pt idx="0">
                  <c:v>294.76000000000022</c:v>
                </c:pt>
                <c:pt idx="1">
                  <c:v>-740.46</c:v>
                </c:pt>
                <c:pt idx="2">
                  <c:v>-373.52999999999975</c:v>
                </c:pt>
                <c:pt idx="3">
                  <c:v>1165.1999999999998</c:v>
                </c:pt>
                <c:pt idx="4">
                  <c:v>-64.900000000000091</c:v>
                </c:pt>
                <c:pt idx="5">
                  <c:v>337.61000000000013</c:v>
                </c:pt>
                <c:pt idx="6">
                  <c:v>1543.2800000000034</c:v>
                </c:pt>
                <c:pt idx="7">
                  <c:v>33.6200000000008</c:v>
                </c:pt>
                <c:pt idx="8">
                  <c:v>1229.92</c:v>
                </c:pt>
                <c:pt idx="9">
                  <c:v>544.11414779801089</c:v>
                </c:pt>
                <c:pt idx="10">
                  <c:v>2315.0625128857209</c:v>
                </c:pt>
                <c:pt idx="11">
                  <c:v>761.77549920851652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20-409A-AE4F-420159AD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stacked"/>
        <c:varyColors val="0"/>
        <c:ser>
          <c:idx val="3"/>
          <c:order val="2"/>
          <c:tx>
            <c:strRef>
              <c:f>'2024 Overview'!$B$12</c:f>
              <c:strCache>
                <c:ptCount val="1"/>
                <c:pt idx="0">
                  <c:v>Service Income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EF2-4EDC-A90F-CA117A97E4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F2-4EDC-A90F-CA117A97E4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F2-4EDC-A90F-CA117A97E4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F2-4EDC-A90F-CA117A97E4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F2-4EDC-A90F-CA117A97E4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F2-4EDC-A90F-CA117A97E45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E22-4A9B-A1B6-EC6275AC10D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F01-4AEE-97BE-37FE30AD05E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0AA5-4250-B57D-52F17B964AF7}"/>
              </c:ext>
            </c:extLst>
          </c:dPt>
          <c:cat>
            <c:strRef>
              <c:f>'2024 Overview (Budget)'!$C$10:$N$10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Overview'!$C$12:$N$12</c:f>
              <c:numCache>
                <c:formatCode>_(* #,##0_);_(* \(#,##0\);_(* "-"??_);_(@_)</c:formatCode>
                <c:ptCount val="12"/>
                <c:pt idx="0">
                  <c:v>2885</c:v>
                </c:pt>
                <c:pt idx="1">
                  <c:v>4357.5</c:v>
                </c:pt>
                <c:pt idx="2">
                  <c:v>3467.5</c:v>
                </c:pt>
                <c:pt idx="3">
                  <c:v>4000</c:v>
                </c:pt>
                <c:pt idx="4">
                  <c:v>5370</c:v>
                </c:pt>
                <c:pt idx="5">
                  <c:v>4296.26</c:v>
                </c:pt>
                <c:pt idx="6">
                  <c:v>9031.27</c:v>
                </c:pt>
                <c:pt idx="7">
                  <c:v>14073.76</c:v>
                </c:pt>
                <c:pt idx="8">
                  <c:v>9897.5</c:v>
                </c:pt>
                <c:pt idx="9">
                  <c:v>12317.914179655192</c:v>
                </c:pt>
                <c:pt idx="10">
                  <c:v>5646.1755380296772</c:v>
                </c:pt>
                <c:pt idx="11">
                  <c:v>5435.6584854427347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20-409A-AE4F-420159AD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8911"/>
        <c:axId val="1908237535"/>
      </c:barChart>
      <c:lineChart>
        <c:grouping val="standard"/>
        <c:varyColors val="0"/>
        <c:ser>
          <c:idx val="0"/>
          <c:order val="3"/>
          <c:tx>
            <c:strRef>
              <c:f>'2024 Overview'!$B$15</c:f>
              <c:strCache>
                <c:ptCount val="1"/>
                <c:pt idx="0">
                  <c:v> # of Students 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6EF2-4EDC-A90F-CA117A97E45E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EF2-4EDC-A90F-CA117A97E45E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6EF2-4EDC-A90F-CA117A97E45E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EF2-4EDC-A90F-CA117A97E45E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6EF2-4EDC-A90F-CA117A97E45E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3E22-4A9B-A1B6-EC6275AC10DB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5F01-4AEE-97BE-37FE30AD05E9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0AA5-4250-B57D-52F17B964AF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'2024 Overview'!$C$15:$N$15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37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20-409A-AE4F-420159AD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874879"/>
        <c:axId val="1637885439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637885439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637874879"/>
        <c:crosses val="max"/>
        <c:crossBetween val="between"/>
      </c:valAx>
      <c:catAx>
        <c:axId val="1637874879"/>
        <c:scaling>
          <c:orientation val="minMax"/>
        </c:scaling>
        <c:delete val="1"/>
        <c:axPos val="b"/>
        <c:majorTickMark val="out"/>
        <c:minorTickMark val="none"/>
        <c:tickLblPos val="nextTo"/>
        <c:crossAx val="1637885439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AOP'!$B$31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4.2760672807200294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2F-44A8-899B-C46B10C35ACC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2F-44A8-899B-C46B10C35A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AOP'!$C$31:$N$31</c:f>
              <c:numCache>
                <c:formatCode>_("$"* #,##0.00_);_("$"* \(#,##0.00\);_("$"* "-"??_);_(@_)</c:formatCode>
                <c:ptCount val="12"/>
                <c:pt idx="0">
                  <c:v>583.93523734582391</c:v>
                </c:pt>
                <c:pt idx="1">
                  <c:v>3316.6412282455376</c:v>
                </c:pt>
                <c:pt idx="2">
                  <c:v>5497.8005183445657</c:v>
                </c:pt>
                <c:pt idx="3">
                  <c:v>8902.7836486269971</c:v>
                </c:pt>
                <c:pt idx="4">
                  <c:v>15222.718101502005</c:v>
                </c:pt>
                <c:pt idx="5">
                  <c:v>20447.590030793574</c:v>
                </c:pt>
                <c:pt idx="6">
                  <c:v>26375.12213383965</c:v>
                </c:pt>
                <c:pt idx="7">
                  <c:v>28510.127406483367</c:v>
                </c:pt>
                <c:pt idx="8">
                  <c:v>33013.079542775929</c:v>
                </c:pt>
                <c:pt idx="9">
                  <c:v>34722.533705780268</c:v>
                </c:pt>
                <c:pt idx="10">
                  <c:v>36536.590043550263</c:v>
                </c:pt>
                <c:pt idx="11">
                  <c:v>38730.025353412595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F-44A8-899B-C46B10C35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AOP'!$B$32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AOP'!$C$32:$N$32</c:f>
              <c:numCache>
                <c:formatCode>_("$"* #,##0.00_);_("$"* \(#,##0.00\);_("$"* "-"??_);_(@_)</c:formatCode>
                <c:ptCount val="12"/>
                <c:pt idx="0">
                  <c:v>-413.08476265417585</c:v>
                </c:pt>
                <c:pt idx="1">
                  <c:v>2732.7059908997135</c:v>
                </c:pt>
                <c:pt idx="2">
                  <c:v>2181.1592900990277</c:v>
                </c:pt>
                <c:pt idx="3">
                  <c:v>3404.9831302824314</c:v>
                </c:pt>
                <c:pt idx="4">
                  <c:v>6319.934452875008</c:v>
                </c:pt>
                <c:pt idx="5">
                  <c:v>5224.8719292915684</c:v>
                </c:pt>
                <c:pt idx="6">
                  <c:v>5927.5321030460782</c:v>
                </c:pt>
                <c:pt idx="7">
                  <c:v>2135.005272643717</c:v>
                </c:pt>
                <c:pt idx="8">
                  <c:v>4502.9521362925589</c:v>
                </c:pt>
                <c:pt idx="9">
                  <c:v>1709.4541630043368</c:v>
                </c:pt>
                <c:pt idx="10">
                  <c:v>1814.0563377699918</c:v>
                </c:pt>
                <c:pt idx="11">
                  <c:v>2193.4353098623324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F-44A8-899B-C46B10C35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2024 AOP Total Income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('Quarterly Overview'!$C$38,'Quarterly Overview'!$D$38,'Quarterly Overview'!$F$38,'Quarterly Overview'!$H$38)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Overview'!$C$39,'Quarterly Overview'!$D$39,'Quarterly Overview'!$F$39,'Quarterly Overview'!$H$39)</c:f>
              <c:numCache>
                <c:formatCode>_("$"* #,##0.00_);_("$"* \(#,##0.00\);_("$"* "-"??_);_(@_)</c:formatCode>
                <c:ptCount val="4"/>
                <c:pt idx="0">
                  <c:v>11954.273503051107</c:v>
                </c:pt>
                <c:pt idx="1">
                  <c:v>22926.618235930739</c:v>
                </c:pt>
                <c:pt idx="2">
                  <c:v>31597.807610506723</c:v>
                </c:pt>
                <c:pt idx="3">
                  <c:v>20349.361150568184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7-43B8-B02D-AEF0D403B2BE}"/>
            </c:ext>
          </c:extLst>
        </c:ser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A7-43B8-B02D-AEF0D403B2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A7-43B8-B02D-AEF0D403B2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A7-43B8-B02D-AEF0D403B2B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A7-43B8-B02D-AEF0D403B2B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A7-43B8-B02D-AEF0D403B2B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A7-43B8-B02D-AEF0D403B2BE}"/>
              </c:ext>
            </c:extLst>
          </c:dPt>
          <c:cat>
            <c:strRef>
              <c:f>('Quarterly Overview'!$C$38,'Quarterly Overview'!$D$38,'Quarterly Overview'!$F$38,'Quarterly Overview'!$H$38)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Overview'!$C$14,'Quarterly Overview'!$D$14,'Quarterly Overview'!$F$14,'Quarterly Overview'!$H$14)</c:f>
              <c:numCache>
                <c:formatCode>_("$"* #,##0_);_("$"* \(#,##0\);_("$"* "-"??_);_(@_)</c:formatCode>
                <c:ptCount val="4"/>
                <c:pt idx="0">
                  <c:v>10839</c:v>
                </c:pt>
                <c:pt idx="1">
                  <c:v>13746.34</c:v>
                </c:pt>
                <c:pt idx="2">
                  <c:v>33069.65</c:v>
                </c:pt>
                <c:pt idx="3">
                  <c:v>23487.743972788518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A7-43B8-B02D-AEF0D403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1"/>
          <c:order val="1"/>
          <c:tx>
            <c:v>2024 AOP # of Students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72843450479233E-2"/>
                  <c:y val="-2.836879432624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97A-45C1-8DE9-40590AEA04CE}"/>
                </c:ext>
              </c:extLst>
            </c:dLbl>
            <c:dLbl>
              <c:idx val="1"/>
              <c:layout>
                <c:manualLayout>
                  <c:x val="-3.6208732694355698E-2"/>
                  <c:y val="-3.5460992907801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97A-45C1-8DE9-40590AEA04CE}"/>
                </c:ext>
              </c:extLst>
            </c:dLbl>
            <c:dLbl>
              <c:idx val="2"/>
              <c:layout>
                <c:manualLayout>
                  <c:x val="-8.3067092651757268E-2"/>
                  <c:y val="-6.6216002938995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97A-45C1-8DE9-40590AEA04CE}"/>
                </c:ext>
              </c:extLst>
            </c:dLbl>
            <c:dLbl>
              <c:idx val="3"/>
              <c:layout>
                <c:manualLayout>
                  <c:x val="-4.0468583599574018E-2"/>
                  <c:y val="-3.368704733030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51-4411-994C-261E95EDE6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Overview'!$C$38,'Quarterly Overview'!$D$38,'Quarterly Overview'!$F$38,'Quarterly Overview'!$H$38)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Overview'!$C$41,'Quarterly Overview'!$D$41,'Quarterly Overview'!$F$41,'Quarterly Overview'!$H$41)</c:f>
              <c:numCache>
                <c:formatCode>_(* #,##0_);_(* \(#,##0\);_(* "-"??_);_(@_)</c:formatCode>
                <c:ptCount val="4"/>
                <c:pt idx="0">
                  <c:v>29.666666666666668</c:v>
                </c:pt>
                <c:pt idx="1">
                  <c:v>33.666666666666664</c:v>
                </c:pt>
                <c:pt idx="2">
                  <c:v>35.333333333333336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5A7-43B8-B02D-AEF0D403B2BE}"/>
            </c:ext>
          </c:extLst>
        </c:ser>
        <c:ser>
          <c:idx val="3"/>
          <c:order val="3"/>
          <c:tx>
            <c:v>Rolling Forecast # of Students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5A7-43B8-B02D-AEF0D403B2B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75A7-43B8-B02D-AEF0D403B2BE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75A7-43B8-B02D-AEF0D403B2BE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75A7-43B8-B02D-AEF0D403B2BE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75A7-43B8-B02D-AEF0D403B2BE}"/>
              </c:ext>
            </c:extLst>
          </c:dPt>
          <c:dLbls>
            <c:dLbl>
              <c:idx val="0"/>
              <c:layout>
                <c:manualLayout>
                  <c:x val="-2.7689030883919101E-2"/>
                  <c:y val="-2.4822695035460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97A-45C1-8DE9-40590AEA04CE}"/>
                </c:ext>
              </c:extLst>
            </c:dLbl>
            <c:dLbl>
              <c:idx val="1"/>
              <c:layout>
                <c:manualLayout>
                  <c:x val="-1.9172004840391121E-2"/>
                  <c:y val="-7.3441157693126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5A7-43B8-B02D-AEF0D403B2BE}"/>
                </c:ext>
              </c:extLst>
            </c:dLbl>
            <c:dLbl>
              <c:idx val="2"/>
              <c:layout>
                <c:manualLayout>
                  <c:x val="-8.5102389021295705E-3"/>
                  <c:y val="-4.8930487119463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5A7-43B8-B02D-AEF0D403B2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Overview'!$C$38,'Quarterly Overview'!$D$38,'Quarterly Overview'!$F$38,'Quarterly Overview'!$H$38)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17</c:v>
                </c:pt>
                <c:pt idx="1">
                  <c:v>20.333333333333332</c:v>
                </c:pt>
                <c:pt idx="2">
                  <c:v>36.666666666666664</c:v>
                </c:pt>
                <c:pt idx="3">
                  <c:v>37.666666666666664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5A7-43B8-B02D-AEF0D403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2024 AOP Total Income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'2024 AOP'!$C$10:$N$10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AOP'!$C$14:$N$14</c:f>
              <c:numCache>
                <c:formatCode>_("$"* #,##0_);_("$"* \(#,##0\);_("$"* "-"??_);_(@_)</c:formatCode>
                <c:ptCount val="12"/>
                <c:pt idx="0">
                  <c:v>3066.4791666666665</c:v>
                </c:pt>
                <c:pt idx="1">
                  <c:v>4893.6611842105267</c:v>
                </c:pt>
                <c:pt idx="2">
                  <c:v>3994.133152173913</c:v>
                </c:pt>
                <c:pt idx="3">
                  <c:v>5964.4553571428578</c:v>
                </c:pt>
                <c:pt idx="4">
                  <c:v>10231.791666666668</c:v>
                </c:pt>
                <c:pt idx="5">
                  <c:v>6730.371212121212</c:v>
                </c:pt>
                <c:pt idx="6">
                  <c:v>9868.4732142857138</c:v>
                </c:pt>
                <c:pt idx="7">
                  <c:v>9248.9884910485926</c:v>
                </c:pt>
                <c:pt idx="8">
                  <c:v>12480.345905172415</c:v>
                </c:pt>
                <c:pt idx="9">
                  <c:v>10194.697088068182</c:v>
                </c:pt>
                <c:pt idx="10">
                  <c:v>6042.6640625</c:v>
                </c:pt>
                <c:pt idx="11">
                  <c:v>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9-4292-8D52-288D23B4EA61}"/>
            </c:ext>
          </c:extLst>
        </c:ser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29-4292-8D52-288D23B4EA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29-4292-8D52-288D23B4EA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29-4292-8D52-288D23B4EA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29-4292-8D52-288D23B4EA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29-4292-8D52-288D23B4EA6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29-4292-8D52-288D23B4EA6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821-40CC-A849-E3368B3008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3E7-4CA4-82CD-860EB116856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646-4F99-AEEE-88611C190129}"/>
              </c:ext>
            </c:extLst>
          </c:dPt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Overview'!$C$14:$N$14</c:f>
              <c:numCache>
                <c:formatCode>_("$"* #,##0_);_("$"* \(#,##0\);_("$"* "-"??_);_(@_)</c:formatCode>
                <c:ptCount val="12"/>
                <c:pt idx="0">
                  <c:v>3002</c:v>
                </c:pt>
                <c:pt idx="1">
                  <c:v>4357.5</c:v>
                </c:pt>
                <c:pt idx="2">
                  <c:v>3479.5</c:v>
                </c:pt>
                <c:pt idx="3">
                  <c:v>4018</c:v>
                </c:pt>
                <c:pt idx="4">
                  <c:v>5420.08</c:v>
                </c:pt>
                <c:pt idx="5">
                  <c:v>4308.26</c:v>
                </c:pt>
                <c:pt idx="6">
                  <c:v>9060.8900000000012</c:v>
                </c:pt>
                <c:pt idx="7">
                  <c:v>14111.26</c:v>
                </c:pt>
                <c:pt idx="8">
                  <c:v>9897.5</c:v>
                </c:pt>
                <c:pt idx="9">
                  <c:v>12364.236231048502</c:v>
                </c:pt>
                <c:pt idx="10">
                  <c:v>5667.4082264242952</c:v>
                </c:pt>
                <c:pt idx="11">
                  <c:v>5456.0995153157173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9-4292-8D52-288D23B4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1"/>
          <c:order val="1"/>
          <c:tx>
            <c:v>2024 AOP # of Students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AOP'!$C$15:$N$15</c:f>
              <c:numCache>
                <c:formatCode>_(* #,##0_);_(* \(#,##0\);_(* "-"??_);_(@_)</c:formatCode>
                <c:ptCount val="12"/>
                <c:pt idx="0">
                  <c:v>21</c:v>
                </c:pt>
                <c:pt idx="1">
                  <c:v>33</c:v>
                </c:pt>
                <c:pt idx="2">
                  <c:v>35</c:v>
                </c:pt>
                <c:pt idx="3">
                  <c:v>33</c:v>
                </c:pt>
                <c:pt idx="4">
                  <c:v>34</c:v>
                </c:pt>
                <c:pt idx="5">
                  <c:v>34</c:v>
                </c:pt>
                <c:pt idx="6">
                  <c:v>31</c:v>
                </c:pt>
                <c:pt idx="7">
                  <c:v>32</c:v>
                </c:pt>
                <c:pt idx="8">
                  <c:v>43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9-4292-8D52-288D23B4EA61}"/>
            </c:ext>
          </c:extLst>
        </c:ser>
        <c:ser>
          <c:idx val="3"/>
          <c:order val="3"/>
          <c:tx>
            <c:v>Rolling Forecast # of Students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29-4292-8D52-288D23B4EA6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29-4292-8D52-288D23B4EA61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A29-4292-8D52-288D23B4EA61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29-4292-8D52-288D23B4EA61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A29-4292-8D52-288D23B4EA61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1821-40CC-A849-E3368B3008B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93E7-4CA4-82CD-860EB116856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4646-4F99-AEEE-88611C190129}"/>
              </c:ext>
            </c:extLst>
          </c:dPt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Overview'!$C$15:$N$15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37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9-4292-8D52-288D23B4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192406</xdr:colOff>
      <xdr:row>9</xdr:row>
      <xdr:rowOff>114300</xdr:rowOff>
    </xdr:from>
    <xdr:to>
      <xdr:col>24</xdr:col>
      <xdr:colOff>310515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185824</xdr:colOff>
      <xdr:row>2</xdr:row>
      <xdr:rowOff>166775</xdr:rowOff>
    </xdr:from>
    <xdr:to>
      <xdr:col>2</xdr:col>
      <xdr:colOff>613930</xdr:colOff>
      <xdr:row>8</xdr:row>
      <xdr:rowOff>71661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E8F563-0E8F-41C6-B006-5DDBEC23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733" y="547775"/>
          <a:ext cx="1049540" cy="1001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7</xdr:col>
      <xdr:colOff>190500</xdr:colOff>
      <xdr:row>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AE5CA-9AD6-43C2-BB21-0A9E75E61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6" y="76201"/>
          <a:ext cx="1552574" cy="1552574"/>
        </a:xfrm>
        <a:prstGeom prst="rect">
          <a:avLst/>
        </a:prstGeom>
      </xdr:spPr>
    </xdr:pic>
    <xdr:clientData/>
  </xdr:twoCellAnchor>
  <xdr:twoCellAnchor>
    <xdr:from>
      <xdr:col>0</xdr:col>
      <xdr:colOff>594360</xdr:colOff>
      <xdr:row>30</xdr:row>
      <xdr:rowOff>64770</xdr:rowOff>
    </xdr:from>
    <xdr:to>
      <xdr:col>14</xdr:col>
      <xdr:colOff>15240</xdr:colOff>
      <xdr:row>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150496</xdr:colOff>
      <xdr:row>0</xdr:row>
      <xdr:rowOff>0</xdr:rowOff>
    </xdr:from>
    <xdr:to>
      <xdr:col>7</xdr:col>
      <xdr:colOff>678180</xdr:colOff>
      <xdr:row>6</xdr:row>
      <xdr:rowOff>140109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1386A-6343-41EF-B545-42E1F7B03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736" y="0"/>
          <a:ext cx="1312544" cy="1227864"/>
        </a:xfrm>
        <a:prstGeom prst="rect">
          <a:avLst/>
        </a:prstGeom>
      </xdr:spPr>
    </xdr:pic>
    <xdr:clientData/>
  </xdr:twoCellAnchor>
  <xdr:twoCellAnchor>
    <xdr:from>
      <xdr:col>0</xdr:col>
      <xdr:colOff>603884</xdr:colOff>
      <xdr:row>33</xdr:row>
      <xdr:rowOff>81915</xdr:rowOff>
    </xdr:from>
    <xdr:to>
      <xdr:col>16</xdr:col>
      <xdr:colOff>9525</xdr:colOff>
      <xdr:row>50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A7A23-4236-4D55-94DE-E86D62B1E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848847</xdr:colOff>
      <xdr:row>0</xdr:row>
      <xdr:rowOff>45721</xdr:rowOff>
    </xdr:from>
    <xdr:to>
      <xdr:col>8</xdr:col>
      <xdr:colOff>192616</xdr:colOff>
      <xdr:row>6</xdr:row>
      <xdr:rowOff>111227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DDC5F8-3088-4F80-9EA8-6B20A97D1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9112" y="45721"/>
          <a:ext cx="1203945" cy="1208506"/>
        </a:xfrm>
        <a:prstGeom prst="rect">
          <a:avLst/>
        </a:prstGeom>
      </xdr:spPr>
    </xdr:pic>
    <xdr:clientData/>
  </xdr:twoCellAnchor>
  <xdr:twoCellAnchor>
    <xdr:from>
      <xdr:col>1</xdr:col>
      <xdr:colOff>11206</xdr:colOff>
      <xdr:row>37</xdr:row>
      <xdr:rowOff>177950</xdr:rowOff>
    </xdr:from>
    <xdr:to>
      <xdr:col>16</xdr:col>
      <xdr:colOff>8565</xdr:colOff>
      <xdr:row>57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026F9-39AC-4358-ABF9-DF86A8EA2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6</xdr:col>
      <xdr:colOff>803089</xdr:colOff>
      <xdr:row>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040B40-B191-4B32-9170-AACCCB7A0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736" y="76201"/>
          <a:ext cx="1594484" cy="1491614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180976</xdr:colOff>
      <xdr:row>0</xdr:row>
      <xdr:rowOff>76201</xdr:rowOff>
    </xdr:from>
    <xdr:to>
      <xdr:col>6</xdr:col>
      <xdr:colOff>803089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46A424-79DE-4C68-8EDF-B6CE634E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736" y="76201"/>
          <a:ext cx="1594484" cy="149161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32</xdr:row>
      <xdr:rowOff>144780</xdr:rowOff>
    </xdr:from>
    <xdr:to>
      <xdr:col>14</xdr:col>
      <xdr:colOff>69075</xdr:colOff>
      <xdr:row>49</xdr:row>
      <xdr:rowOff>60218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D4C0E-BF01-41EE-A154-B191349EC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752476</xdr:colOff>
      <xdr:row>0</xdr:row>
      <xdr:rowOff>60961</xdr:rowOff>
    </xdr:from>
    <xdr:to>
      <xdr:col>5</xdr:col>
      <xdr:colOff>605790</xdr:colOff>
      <xdr:row>8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96A3A1-30D5-4DA7-9D5E-8B6599713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3796" y="60961"/>
          <a:ext cx="1598294" cy="1482089"/>
        </a:xfrm>
        <a:prstGeom prst="rect">
          <a:avLst/>
        </a:prstGeom>
      </xdr:spPr>
    </xdr:pic>
    <xdr:clientData/>
  </xdr:twoCellAnchor>
  <xdr:twoCellAnchor>
    <xdr:from>
      <xdr:col>11</xdr:col>
      <xdr:colOff>586740</xdr:colOff>
      <xdr:row>9</xdr:row>
      <xdr:rowOff>0</xdr:rowOff>
    </xdr:from>
    <xdr:to>
      <xdr:col>21</xdr:col>
      <xdr:colOff>449580</xdr:colOff>
      <xdr:row>33</xdr:row>
      <xdr:rowOff>60960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310E380F-EFE8-4922-99EC-A9D4BC8BB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457200</xdr:colOff>
      <xdr:row>4</xdr:row>
      <xdr:rowOff>38192</xdr:rowOff>
    </xdr:from>
    <xdr:to>
      <xdr:col>40</xdr:col>
      <xdr:colOff>568607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872AD9-BF9A-4371-8B21-37A977C62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1920" y="769712"/>
          <a:ext cx="1795427" cy="142484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18317</xdr:colOff>
      <xdr:row>49</xdr:row>
      <xdr:rowOff>109308</xdr:rowOff>
    </xdr:from>
    <xdr:to>
      <xdr:col>45</xdr:col>
      <xdr:colOff>1325217</xdr:colOff>
      <xdr:row>81</xdr:row>
      <xdr:rowOff>182217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7A728F83-DFBA-2C19-DE6A-ACCE1BF10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77" dT="2022-12-01T04:02:35.34" personId="{1EAB70DF-57F2-4E03-B78C-7A4DE89F3DCA}" id="{735C9239-FB8A-4B36-9D20-C68BC4D2B976}">
    <text>Tax Advice JMM Group LLC</text>
  </threadedComment>
  <threadedComment ref="T77" dT="2022-12-01T04:02:35.34" personId="{1EAB70DF-57F2-4E03-B78C-7A4DE89F3DCA}" id="{701A54C3-1B46-4893-BC62-B2EFF266C055}">
    <text>Offboarding JMM Group LLC</text>
  </threadedComment>
  <threadedComment ref="AE127" dT="2024-02-20T00:31:08.36" personId="{1EAB70DF-57F2-4E03-B78C-7A4DE89F3DCA}" id="{C6FCD979-1374-4A1B-A294-11D803D8AB2C}">
    <text>$4k Contribution for taxes</text>
  </threadedComment>
  <threadedComment ref="AD128" dT="2024-02-03T19:01:21.33" personId="{1EAB70DF-57F2-4E03-B78C-7A4DE89F3DCA}" id="{652DF29B-C80F-474D-9452-32A45BAD392F}">
    <text>Maximum $800 Distribution</text>
  </threadedComment>
  <threadedComment ref="AE128" dT="2024-01-11T04:17:29.88" personId="{1EAB70DF-57F2-4E03-B78C-7A4DE89F3DCA}" id="{973B5C3F-CC1C-478B-AAEB-95C45A193E9C}">
    <text>Estimated 2023 Tax Payment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51"/>
  <sheetViews>
    <sheetView tabSelected="1" topLeftCell="B1" zoomScale="85" zoomScaleNormal="85" workbookViewId="0">
      <pane xSplit="2" ySplit="4" topLeftCell="O14" activePane="bottomRight" state="frozen"/>
      <selection activeCell="B1" sqref="B1"/>
      <selection pane="topRight" activeCell="D1" sqref="D1"/>
      <selection pane="bottomLeft" activeCell="B5" sqref="B5"/>
      <selection pane="bottomRight" activeCell="C27" sqref="C27"/>
    </sheetView>
  </sheetViews>
  <sheetFormatPr defaultRowHeight="14.4" outlineLevelCol="1" x14ac:dyDescent="0.3"/>
  <cols>
    <col min="1" max="1" width="0" hidden="1" customWidth="1" outlineLevel="1"/>
    <col min="2" max="2" width="36.44140625" bestFit="1" customWidth="1" collapsed="1"/>
    <col min="3" max="3" width="30.5546875" bestFit="1" customWidth="1"/>
    <col min="4" max="9" width="10.6640625" hidden="1" customWidth="1" outlineLevel="1"/>
    <col min="10" max="10" width="10.6640625" hidden="1" customWidth="1" outlineLevel="1" collapsed="1"/>
    <col min="11" max="11" width="10.6640625" hidden="1" customWidth="1" outlineLevel="1"/>
    <col min="12" max="12" width="14.33203125" hidden="1" customWidth="1" outlineLevel="1"/>
    <col min="13" max="15" width="13.109375" hidden="1" customWidth="1" outlineLevel="1"/>
    <col min="16" max="16" width="13.109375" hidden="1" customWidth="1" outlineLevel="1" collapsed="1"/>
    <col min="17" max="25" width="13.109375" hidden="1" customWidth="1" outlineLevel="1"/>
    <col min="26" max="27" width="14.33203125" hidden="1" customWidth="1" outlineLevel="1"/>
    <col min="28" max="28" width="15" bestFit="1" customWidth="1" collapsed="1"/>
    <col min="29" max="30" width="15" bestFit="1" customWidth="1"/>
    <col min="31" max="31" width="15.44140625" bestFit="1" customWidth="1"/>
    <col min="32" max="34" width="15" bestFit="1" customWidth="1"/>
    <col min="35" max="35" width="16.44140625" bestFit="1" customWidth="1"/>
    <col min="36" max="36" width="16" bestFit="1" customWidth="1"/>
    <col min="37" max="38" width="15" bestFit="1" customWidth="1"/>
    <col min="39" max="39" width="14.33203125" bestFit="1" customWidth="1"/>
    <col min="40" max="40" width="15.44140625" bestFit="1" customWidth="1"/>
    <col min="41" max="41" width="16" bestFit="1" customWidth="1"/>
    <col min="42" max="43" width="16.44140625" bestFit="1" customWidth="1"/>
    <col min="44" max="44" width="16" bestFit="1" customWidth="1"/>
    <col min="45" max="48" width="16.44140625" bestFit="1" customWidth="1"/>
    <col min="49" max="50" width="17.109375" bestFit="1" customWidth="1"/>
    <col min="51" max="51" width="16.88671875" bestFit="1" customWidth="1"/>
    <col min="52" max="111" width="13.5546875" bestFit="1" customWidth="1"/>
    <col min="112" max="113" width="5.109375" bestFit="1" customWidth="1"/>
    <col min="114" max="114" width="8.5546875" bestFit="1" customWidth="1"/>
  </cols>
  <sheetData>
    <row r="1" spans="1:114" ht="15" thickBot="1" x14ac:dyDescent="0.35">
      <c r="A1" s="29"/>
      <c r="B1" s="29"/>
      <c r="C1" s="29"/>
      <c r="D1" s="30">
        <f t="shared" ref="D1:AD1" si="0">YEAR(D4)</f>
        <v>2022</v>
      </c>
      <c r="E1" s="30">
        <f t="shared" si="0"/>
        <v>2022</v>
      </c>
      <c r="F1" s="30">
        <f t="shared" si="0"/>
        <v>2022</v>
      </c>
      <c r="G1" s="30">
        <f t="shared" si="0"/>
        <v>2022</v>
      </c>
      <c r="H1" s="30">
        <f t="shared" si="0"/>
        <v>2022</v>
      </c>
      <c r="I1" s="30">
        <f t="shared" si="0"/>
        <v>2022</v>
      </c>
      <c r="J1" s="30">
        <f t="shared" si="0"/>
        <v>2022</v>
      </c>
      <c r="K1" s="30">
        <f t="shared" si="0"/>
        <v>2022</v>
      </c>
      <c r="L1" s="30">
        <f t="shared" si="0"/>
        <v>2022</v>
      </c>
      <c r="M1" s="30">
        <f t="shared" si="0"/>
        <v>2022</v>
      </c>
      <c r="N1" s="30">
        <f t="shared" si="0"/>
        <v>2022</v>
      </c>
      <c r="O1" s="30">
        <f t="shared" si="0"/>
        <v>2022</v>
      </c>
      <c r="P1" s="30">
        <f t="shared" si="0"/>
        <v>2023</v>
      </c>
      <c r="Q1" s="30">
        <f t="shared" si="0"/>
        <v>2023</v>
      </c>
      <c r="R1" s="30">
        <f t="shared" si="0"/>
        <v>2023</v>
      </c>
      <c r="S1" s="30">
        <f t="shared" si="0"/>
        <v>2023</v>
      </c>
      <c r="T1" s="30">
        <f t="shared" si="0"/>
        <v>2023</v>
      </c>
      <c r="U1" s="30">
        <f t="shared" si="0"/>
        <v>2023</v>
      </c>
      <c r="V1" s="30">
        <f t="shared" si="0"/>
        <v>2023</v>
      </c>
      <c r="W1" s="30">
        <f t="shared" si="0"/>
        <v>2023</v>
      </c>
      <c r="X1" s="30">
        <f t="shared" si="0"/>
        <v>2023</v>
      </c>
      <c r="Y1" s="30">
        <f t="shared" si="0"/>
        <v>2023</v>
      </c>
      <c r="Z1" s="30">
        <f t="shared" si="0"/>
        <v>2023</v>
      </c>
      <c r="AA1" s="30">
        <f t="shared" si="0"/>
        <v>2023</v>
      </c>
      <c r="AB1" s="30">
        <f t="shared" si="0"/>
        <v>2024</v>
      </c>
      <c r="AC1" s="30">
        <f t="shared" si="0"/>
        <v>2024</v>
      </c>
      <c r="AD1" s="30">
        <f t="shared" si="0"/>
        <v>2024</v>
      </c>
      <c r="AE1" s="30">
        <f t="shared" ref="AE1:AF1" si="1">YEAR(AE4)</f>
        <v>2024</v>
      </c>
      <c r="AF1" s="30">
        <f t="shared" si="1"/>
        <v>2024</v>
      </c>
      <c r="AG1" s="30">
        <f t="shared" ref="AG1" si="2">YEAR(AG4)</f>
        <v>2024</v>
      </c>
      <c r="AH1" s="30">
        <f>YEAR(AH4)</f>
        <v>2024</v>
      </c>
      <c r="AI1" s="356">
        <f>YEAR(AI4)</f>
        <v>2024</v>
      </c>
      <c r="AJ1" s="356">
        <f>YEAR(AJ4)</f>
        <v>2024</v>
      </c>
      <c r="AK1" s="30">
        <f t="shared" ref="AK1:BO1" si="3">YEAR(AK4)</f>
        <v>2024</v>
      </c>
      <c r="AL1" s="30">
        <f t="shared" si="3"/>
        <v>2024</v>
      </c>
      <c r="AM1" s="356">
        <f t="shared" si="3"/>
        <v>2024</v>
      </c>
      <c r="AN1" s="30">
        <f t="shared" si="3"/>
        <v>2025</v>
      </c>
      <c r="AO1" s="30">
        <f t="shared" si="3"/>
        <v>2025</v>
      </c>
      <c r="AP1" s="30">
        <f t="shared" si="3"/>
        <v>2025</v>
      </c>
      <c r="AQ1" s="30">
        <f t="shared" si="3"/>
        <v>2025</v>
      </c>
      <c r="AR1" s="30">
        <f t="shared" si="3"/>
        <v>2025</v>
      </c>
      <c r="AS1" s="30">
        <f t="shared" si="3"/>
        <v>2025</v>
      </c>
      <c r="AT1" s="30">
        <f t="shared" si="3"/>
        <v>2025</v>
      </c>
      <c r="AU1" s="30">
        <f t="shared" si="3"/>
        <v>2025</v>
      </c>
      <c r="AV1" s="30">
        <f t="shared" si="3"/>
        <v>2025</v>
      </c>
      <c r="AW1" s="30">
        <f t="shared" si="3"/>
        <v>2025</v>
      </c>
      <c r="AX1" s="30">
        <f t="shared" si="3"/>
        <v>2025</v>
      </c>
      <c r="AY1" s="356">
        <f t="shared" si="3"/>
        <v>2025</v>
      </c>
      <c r="AZ1" s="30">
        <f t="shared" si="3"/>
        <v>2026</v>
      </c>
      <c r="BA1" s="30">
        <f t="shared" si="3"/>
        <v>2026</v>
      </c>
      <c r="BB1" s="30">
        <f t="shared" si="3"/>
        <v>2026</v>
      </c>
      <c r="BC1" s="30">
        <f t="shared" si="3"/>
        <v>2026</v>
      </c>
      <c r="BD1" s="30">
        <f t="shared" si="3"/>
        <v>2026</v>
      </c>
      <c r="BE1" s="30">
        <f t="shared" si="3"/>
        <v>2026</v>
      </c>
      <c r="BF1" s="30">
        <f t="shared" si="3"/>
        <v>2026</v>
      </c>
      <c r="BG1" s="30">
        <f t="shared" si="3"/>
        <v>2026</v>
      </c>
      <c r="BH1" s="30">
        <f t="shared" si="3"/>
        <v>2026</v>
      </c>
      <c r="BI1" s="30">
        <f t="shared" si="3"/>
        <v>2026</v>
      </c>
      <c r="BJ1" s="30">
        <f t="shared" si="3"/>
        <v>2026</v>
      </c>
      <c r="BK1" s="356">
        <f t="shared" si="3"/>
        <v>2026</v>
      </c>
      <c r="BL1" s="30">
        <f t="shared" si="3"/>
        <v>2027</v>
      </c>
      <c r="BM1" s="30">
        <f t="shared" si="3"/>
        <v>2027</v>
      </c>
      <c r="BN1" s="30">
        <f t="shared" si="3"/>
        <v>2027</v>
      </c>
      <c r="BO1" s="30">
        <f t="shared" si="3"/>
        <v>2027</v>
      </c>
      <c r="BP1" s="30">
        <f t="shared" ref="BP1:CU1" si="4">YEAR(BP4)</f>
        <v>2027</v>
      </c>
      <c r="BQ1" s="30">
        <f t="shared" si="4"/>
        <v>2027</v>
      </c>
      <c r="BR1" s="30">
        <f t="shared" si="4"/>
        <v>2027</v>
      </c>
      <c r="BS1" s="30">
        <f t="shared" si="4"/>
        <v>2027</v>
      </c>
      <c r="BT1" s="30">
        <f t="shared" si="4"/>
        <v>2027</v>
      </c>
      <c r="BU1" s="30">
        <f t="shared" si="4"/>
        <v>2027</v>
      </c>
      <c r="BV1" s="30">
        <f t="shared" si="4"/>
        <v>2027</v>
      </c>
      <c r="BW1" s="356">
        <f t="shared" si="4"/>
        <v>2027</v>
      </c>
      <c r="BX1" s="30">
        <f t="shared" si="4"/>
        <v>2028</v>
      </c>
      <c r="BY1" s="30">
        <f t="shared" si="4"/>
        <v>2028</v>
      </c>
      <c r="BZ1" s="30">
        <f t="shared" si="4"/>
        <v>2028</v>
      </c>
      <c r="CA1" s="30">
        <f t="shared" si="4"/>
        <v>2028</v>
      </c>
      <c r="CB1" s="30">
        <f t="shared" si="4"/>
        <v>2028</v>
      </c>
      <c r="CC1" s="30">
        <f t="shared" si="4"/>
        <v>2028</v>
      </c>
      <c r="CD1" s="30">
        <f t="shared" si="4"/>
        <v>2028</v>
      </c>
      <c r="CE1" s="30">
        <f t="shared" si="4"/>
        <v>2028</v>
      </c>
      <c r="CF1" s="30">
        <f t="shared" si="4"/>
        <v>2028</v>
      </c>
      <c r="CG1" s="30">
        <f t="shared" si="4"/>
        <v>2028</v>
      </c>
      <c r="CH1" s="30">
        <f t="shared" si="4"/>
        <v>2028</v>
      </c>
      <c r="CI1" s="356">
        <f t="shared" si="4"/>
        <v>2028</v>
      </c>
      <c r="CJ1" s="30">
        <f t="shared" si="4"/>
        <v>2029</v>
      </c>
      <c r="CK1" s="30">
        <f t="shared" si="4"/>
        <v>2029</v>
      </c>
      <c r="CL1" s="30">
        <f t="shared" si="4"/>
        <v>2029</v>
      </c>
      <c r="CM1" s="30">
        <f t="shared" si="4"/>
        <v>2029</v>
      </c>
      <c r="CN1" s="30">
        <f t="shared" si="4"/>
        <v>2029</v>
      </c>
      <c r="CO1" s="30">
        <f t="shared" si="4"/>
        <v>2029</v>
      </c>
      <c r="CP1" s="30">
        <f t="shared" si="4"/>
        <v>2029</v>
      </c>
      <c r="CQ1" s="30">
        <f t="shared" si="4"/>
        <v>2029</v>
      </c>
      <c r="CR1" s="30">
        <f t="shared" si="4"/>
        <v>2029</v>
      </c>
      <c r="CS1" s="30">
        <f t="shared" si="4"/>
        <v>2029</v>
      </c>
      <c r="CT1" s="30">
        <f t="shared" si="4"/>
        <v>2029</v>
      </c>
      <c r="CU1" s="356">
        <f t="shared" si="4"/>
        <v>2029</v>
      </c>
      <c r="CV1" s="30">
        <f t="shared" ref="CV1:DG1" si="5">YEAR(CV4)</f>
        <v>2030</v>
      </c>
      <c r="CW1" s="30">
        <f t="shared" si="5"/>
        <v>2030</v>
      </c>
      <c r="CX1" s="30">
        <f t="shared" si="5"/>
        <v>2030</v>
      </c>
      <c r="CY1" s="30">
        <f t="shared" si="5"/>
        <v>2030</v>
      </c>
      <c r="CZ1" s="30">
        <f t="shared" si="5"/>
        <v>2030</v>
      </c>
      <c r="DA1" s="30">
        <f t="shared" si="5"/>
        <v>2030</v>
      </c>
      <c r="DB1" s="30">
        <f t="shared" si="5"/>
        <v>2030</v>
      </c>
      <c r="DC1" s="30">
        <f t="shared" si="5"/>
        <v>2030</v>
      </c>
      <c r="DD1" s="30">
        <f t="shared" si="5"/>
        <v>2030</v>
      </c>
      <c r="DE1" s="30">
        <f t="shared" si="5"/>
        <v>2030</v>
      </c>
      <c r="DF1" s="30">
        <f t="shared" si="5"/>
        <v>2030</v>
      </c>
      <c r="DG1" s="30">
        <f t="shared" si="5"/>
        <v>2030</v>
      </c>
      <c r="DH1" s="30"/>
      <c r="DI1" s="30"/>
      <c r="DJ1" s="52"/>
    </row>
    <row r="2" spans="1:114" x14ac:dyDescent="0.3">
      <c r="A2" s="29"/>
      <c r="B2" s="29"/>
      <c r="C2" s="583" t="s">
        <v>353</v>
      </c>
      <c r="D2" s="342"/>
      <c r="E2" s="342"/>
      <c r="F2" s="342"/>
      <c r="G2" s="343" t="s">
        <v>205</v>
      </c>
      <c r="H2" s="343" t="s">
        <v>205</v>
      </c>
      <c r="I2" s="343" t="s">
        <v>207</v>
      </c>
      <c r="J2" s="343" t="s">
        <v>207</v>
      </c>
      <c r="K2" s="343" t="s">
        <v>206</v>
      </c>
      <c r="L2" s="343" t="s">
        <v>207</v>
      </c>
      <c r="M2" s="343" t="s">
        <v>207</v>
      </c>
      <c r="N2" s="343" t="s">
        <v>206</v>
      </c>
      <c r="O2" s="343" t="s">
        <v>207</v>
      </c>
      <c r="P2" s="343" t="s">
        <v>206</v>
      </c>
      <c r="Q2" s="343" t="s">
        <v>205</v>
      </c>
      <c r="R2" s="343" t="s">
        <v>207</v>
      </c>
      <c r="S2" s="343" t="s">
        <v>207</v>
      </c>
      <c r="T2" s="343" t="s">
        <v>205</v>
      </c>
      <c r="U2" s="343" t="s">
        <v>207</v>
      </c>
      <c r="V2" s="343" t="s">
        <v>205</v>
      </c>
      <c r="W2" s="343" t="s">
        <v>205</v>
      </c>
      <c r="X2" s="343" t="s">
        <v>205</v>
      </c>
      <c r="Y2" s="343" t="s">
        <v>207</v>
      </c>
      <c r="Z2" s="343" t="s">
        <v>206</v>
      </c>
      <c r="AA2" s="343" t="s">
        <v>206</v>
      </c>
      <c r="AB2" s="343" t="str">
        <f>+P2</f>
        <v>Trough</v>
      </c>
      <c r="AC2" s="343" t="str">
        <f t="shared" ref="AC2:CN2" si="6">+Q2</f>
        <v>Peak</v>
      </c>
      <c r="AD2" s="343" t="str">
        <f t="shared" si="6"/>
        <v>Shoulder</v>
      </c>
      <c r="AE2" s="343" t="str">
        <f t="shared" si="6"/>
        <v>Shoulder</v>
      </c>
      <c r="AF2" s="343" t="str">
        <f t="shared" si="6"/>
        <v>Peak</v>
      </c>
      <c r="AG2" s="343" t="str">
        <f t="shared" si="6"/>
        <v>Shoulder</v>
      </c>
      <c r="AH2" s="343" t="str">
        <f t="shared" si="6"/>
        <v>Peak</v>
      </c>
      <c r="AI2" s="357" t="str">
        <f t="shared" si="6"/>
        <v>Peak</v>
      </c>
      <c r="AJ2" s="357" t="str">
        <f t="shared" si="6"/>
        <v>Peak</v>
      </c>
      <c r="AK2" s="343" t="s">
        <v>205</v>
      </c>
      <c r="AL2" s="343" t="s">
        <v>207</v>
      </c>
      <c r="AM2" s="356" t="s">
        <v>207</v>
      </c>
      <c r="AN2" s="30" t="str">
        <f t="shared" si="6"/>
        <v>Trough</v>
      </c>
      <c r="AO2" s="30" t="str">
        <f t="shared" si="6"/>
        <v>Peak</v>
      </c>
      <c r="AP2" s="30" t="str">
        <f t="shared" si="6"/>
        <v>Shoulder</v>
      </c>
      <c r="AQ2" s="30" t="str">
        <f t="shared" si="6"/>
        <v>Shoulder</v>
      </c>
      <c r="AR2" s="30" t="str">
        <f t="shared" si="6"/>
        <v>Peak</v>
      </c>
      <c r="AS2" s="30" t="str">
        <f t="shared" si="6"/>
        <v>Shoulder</v>
      </c>
      <c r="AT2" s="30" t="str">
        <f t="shared" si="6"/>
        <v>Peak</v>
      </c>
      <c r="AU2" s="30" t="str">
        <f t="shared" si="6"/>
        <v>Peak</v>
      </c>
      <c r="AV2" s="30" t="str">
        <f t="shared" si="6"/>
        <v>Peak</v>
      </c>
      <c r="AW2" s="30" t="str">
        <f t="shared" si="6"/>
        <v>Peak</v>
      </c>
      <c r="AX2" s="30" t="str">
        <f t="shared" si="6"/>
        <v>Shoulder</v>
      </c>
      <c r="AY2" s="356" t="str">
        <f t="shared" si="6"/>
        <v>Shoulder</v>
      </c>
      <c r="AZ2" s="30" t="str">
        <f t="shared" si="6"/>
        <v>Trough</v>
      </c>
      <c r="BA2" s="30" t="str">
        <f t="shared" si="6"/>
        <v>Peak</v>
      </c>
      <c r="BB2" s="30" t="str">
        <f t="shared" si="6"/>
        <v>Shoulder</v>
      </c>
      <c r="BC2" s="30" t="str">
        <f t="shared" si="6"/>
        <v>Shoulder</v>
      </c>
      <c r="BD2" s="30" t="str">
        <f t="shared" si="6"/>
        <v>Peak</v>
      </c>
      <c r="BE2" s="30" t="str">
        <f t="shared" si="6"/>
        <v>Shoulder</v>
      </c>
      <c r="BF2" s="30" t="str">
        <f t="shared" si="6"/>
        <v>Peak</v>
      </c>
      <c r="BG2" s="30" t="str">
        <f t="shared" si="6"/>
        <v>Peak</v>
      </c>
      <c r="BH2" s="30" t="str">
        <f t="shared" si="6"/>
        <v>Peak</v>
      </c>
      <c r="BI2" s="30" t="str">
        <f t="shared" si="6"/>
        <v>Peak</v>
      </c>
      <c r="BJ2" s="30" t="str">
        <f t="shared" si="6"/>
        <v>Shoulder</v>
      </c>
      <c r="BK2" s="356" t="str">
        <f t="shared" si="6"/>
        <v>Shoulder</v>
      </c>
      <c r="BL2" s="30" t="str">
        <f t="shared" si="6"/>
        <v>Trough</v>
      </c>
      <c r="BM2" s="30" t="str">
        <f t="shared" si="6"/>
        <v>Peak</v>
      </c>
      <c r="BN2" s="30" t="str">
        <f t="shared" si="6"/>
        <v>Shoulder</v>
      </c>
      <c r="BO2" s="30" t="str">
        <f t="shared" si="6"/>
        <v>Shoulder</v>
      </c>
      <c r="BP2" s="30" t="str">
        <f t="shared" si="6"/>
        <v>Peak</v>
      </c>
      <c r="BQ2" s="30" t="str">
        <f t="shared" si="6"/>
        <v>Shoulder</v>
      </c>
      <c r="BR2" s="30" t="str">
        <f t="shared" si="6"/>
        <v>Peak</v>
      </c>
      <c r="BS2" s="30" t="str">
        <f t="shared" si="6"/>
        <v>Peak</v>
      </c>
      <c r="BT2" s="30" t="str">
        <f t="shared" si="6"/>
        <v>Peak</v>
      </c>
      <c r="BU2" s="30" t="str">
        <f t="shared" si="6"/>
        <v>Peak</v>
      </c>
      <c r="BV2" s="30" t="str">
        <f t="shared" si="6"/>
        <v>Shoulder</v>
      </c>
      <c r="BW2" s="356" t="str">
        <f t="shared" si="6"/>
        <v>Shoulder</v>
      </c>
      <c r="BX2" s="30" t="str">
        <f t="shared" si="6"/>
        <v>Trough</v>
      </c>
      <c r="BY2" s="30" t="str">
        <f t="shared" si="6"/>
        <v>Peak</v>
      </c>
      <c r="BZ2" s="30" t="str">
        <f t="shared" si="6"/>
        <v>Shoulder</v>
      </c>
      <c r="CA2" s="30" t="str">
        <f t="shared" si="6"/>
        <v>Shoulder</v>
      </c>
      <c r="CB2" s="30" t="str">
        <f t="shared" si="6"/>
        <v>Peak</v>
      </c>
      <c r="CC2" s="30" t="str">
        <f t="shared" si="6"/>
        <v>Shoulder</v>
      </c>
      <c r="CD2" s="30" t="str">
        <f t="shared" si="6"/>
        <v>Peak</v>
      </c>
      <c r="CE2" s="30" t="str">
        <f t="shared" si="6"/>
        <v>Peak</v>
      </c>
      <c r="CF2" s="30" t="str">
        <f t="shared" si="6"/>
        <v>Peak</v>
      </c>
      <c r="CG2" s="30" t="str">
        <f t="shared" si="6"/>
        <v>Peak</v>
      </c>
      <c r="CH2" s="30" t="str">
        <f t="shared" si="6"/>
        <v>Shoulder</v>
      </c>
      <c r="CI2" s="356" t="str">
        <f t="shared" si="6"/>
        <v>Shoulder</v>
      </c>
      <c r="CJ2" s="30" t="str">
        <f t="shared" si="6"/>
        <v>Trough</v>
      </c>
      <c r="CK2" s="30" t="str">
        <f t="shared" si="6"/>
        <v>Peak</v>
      </c>
      <c r="CL2" s="30" t="str">
        <f t="shared" si="6"/>
        <v>Shoulder</v>
      </c>
      <c r="CM2" s="30" t="str">
        <f t="shared" si="6"/>
        <v>Shoulder</v>
      </c>
      <c r="CN2" s="30" t="str">
        <f t="shared" si="6"/>
        <v>Peak</v>
      </c>
      <c r="CO2" s="30" t="str">
        <f t="shared" ref="CO2:DG2" si="7">+CC2</f>
        <v>Shoulder</v>
      </c>
      <c r="CP2" s="30" t="str">
        <f t="shared" si="7"/>
        <v>Peak</v>
      </c>
      <c r="CQ2" s="30" t="str">
        <f t="shared" si="7"/>
        <v>Peak</v>
      </c>
      <c r="CR2" s="30" t="str">
        <f t="shared" si="7"/>
        <v>Peak</v>
      </c>
      <c r="CS2" s="30" t="str">
        <f t="shared" si="7"/>
        <v>Peak</v>
      </c>
      <c r="CT2" s="30" t="str">
        <f t="shared" si="7"/>
        <v>Shoulder</v>
      </c>
      <c r="CU2" s="356" t="str">
        <f t="shared" si="7"/>
        <v>Shoulder</v>
      </c>
      <c r="CV2" s="30" t="str">
        <f t="shared" si="7"/>
        <v>Trough</v>
      </c>
      <c r="CW2" s="30" t="str">
        <f t="shared" si="7"/>
        <v>Peak</v>
      </c>
      <c r="CX2" s="30" t="str">
        <f t="shared" si="7"/>
        <v>Shoulder</v>
      </c>
      <c r="CY2" s="30" t="str">
        <f t="shared" si="7"/>
        <v>Shoulder</v>
      </c>
      <c r="CZ2" s="30" t="str">
        <f t="shared" si="7"/>
        <v>Peak</v>
      </c>
      <c r="DA2" s="30" t="str">
        <f t="shared" si="7"/>
        <v>Shoulder</v>
      </c>
      <c r="DB2" s="30" t="str">
        <f t="shared" si="7"/>
        <v>Peak</v>
      </c>
      <c r="DC2" s="30" t="str">
        <f t="shared" si="7"/>
        <v>Peak</v>
      </c>
      <c r="DD2" s="30" t="str">
        <f t="shared" si="7"/>
        <v>Peak</v>
      </c>
      <c r="DE2" s="30" t="str">
        <f t="shared" si="7"/>
        <v>Peak</v>
      </c>
      <c r="DF2" s="30" t="str">
        <f t="shared" si="7"/>
        <v>Shoulder</v>
      </c>
      <c r="DG2" s="30" t="str">
        <f t="shared" si="7"/>
        <v>Shoulder</v>
      </c>
      <c r="DH2" s="30"/>
      <c r="DI2" s="30"/>
      <c r="DJ2" s="30"/>
    </row>
    <row r="3" spans="1:114" x14ac:dyDescent="0.3">
      <c r="A3" s="29"/>
      <c r="B3" s="29"/>
      <c r="C3" s="584"/>
      <c r="D3" s="166" t="str">
        <f>+"Q1 "&amp;D1</f>
        <v>Q1 2022</v>
      </c>
      <c r="E3" s="166" t="str">
        <f>+"Q1 "&amp;E1</f>
        <v>Q1 2022</v>
      </c>
      <c r="F3" s="166" t="str">
        <f>+"Q1 "&amp;F1</f>
        <v>Q1 2022</v>
      </c>
      <c r="G3" s="166" t="str">
        <f>+"Q2 "&amp;G1</f>
        <v>Q2 2022</v>
      </c>
      <c r="H3" s="166" t="str">
        <f>+"Q2 "&amp;H1</f>
        <v>Q2 2022</v>
      </c>
      <c r="I3" s="166" t="str">
        <f>+"Q2 "&amp;I1</f>
        <v>Q2 2022</v>
      </c>
      <c r="J3" s="166" t="str">
        <f>+"Q3 "&amp;J1</f>
        <v>Q3 2022</v>
      </c>
      <c r="K3" s="166" t="str">
        <f>+"Q3 "&amp;K1</f>
        <v>Q3 2022</v>
      </c>
      <c r="L3" s="166" t="str">
        <f>+"Q3 "&amp;L1</f>
        <v>Q3 2022</v>
      </c>
      <c r="M3" s="166" t="str">
        <f>+"Q4 "&amp;M1</f>
        <v>Q4 2022</v>
      </c>
      <c r="N3" s="166" t="str">
        <f>+"Q4 "&amp;N1</f>
        <v>Q4 2022</v>
      </c>
      <c r="O3" s="166" t="str">
        <f>+"Q4 "&amp;O1</f>
        <v>Q4 2022</v>
      </c>
      <c r="P3" s="166" t="str">
        <f>+"Q1 "&amp;P1</f>
        <v>Q1 2023</v>
      </c>
      <c r="Q3" s="166" t="str">
        <f>+"Q1 "&amp;Q1</f>
        <v>Q1 2023</v>
      </c>
      <c r="R3" s="166" t="str">
        <f>+"Q1 "&amp;R1</f>
        <v>Q1 2023</v>
      </c>
      <c r="S3" s="166" t="str">
        <f>+"Q2 "&amp;S1</f>
        <v>Q2 2023</v>
      </c>
      <c r="T3" s="166" t="str">
        <f>+"Q2 "&amp;T1</f>
        <v>Q2 2023</v>
      </c>
      <c r="U3" s="166" t="str">
        <f>+"Q2 "&amp;U1</f>
        <v>Q2 2023</v>
      </c>
      <c r="V3" s="166" t="str">
        <f>+"Q3 "&amp;V1</f>
        <v>Q3 2023</v>
      </c>
      <c r="W3" s="166" t="str">
        <f>+"Q3 "&amp;W1</f>
        <v>Q3 2023</v>
      </c>
      <c r="X3" s="166" t="str">
        <f>+"Q3 "&amp;X1</f>
        <v>Q3 2023</v>
      </c>
      <c r="Y3" s="166" t="str">
        <f>+"Q4 "&amp;Y1</f>
        <v>Q4 2023</v>
      </c>
      <c r="Z3" s="166" t="str">
        <f>+"Q4 "&amp;Z1</f>
        <v>Q4 2023</v>
      </c>
      <c r="AA3" s="166" t="str">
        <f>+"Q4 "&amp;AA1</f>
        <v>Q4 2023</v>
      </c>
      <c r="AB3" s="166" t="str">
        <f>+"Q1 "&amp;AB1</f>
        <v>Q1 2024</v>
      </c>
      <c r="AC3" s="166" t="str">
        <f>+"Q1 "&amp;AC1</f>
        <v>Q1 2024</v>
      </c>
      <c r="AD3" s="166" t="str">
        <f>+"Q1 "&amp;AD1</f>
        <v>Q1 2024</v>
      </c>
      <c r="AE3" s="166" t="str">
        <f>+"Q2 "&amp;AE1</f>
        <v>Q2 2024</v>
      </c>
      <c r="AF3" s="166" t="str">
        <f>+"Q2 "&amp;AF1</f>
        <v>Q2 2024</v>
      </c>
      <c r="AG3" s="166" t="str">
        <f>+"Q2 "&amp;AG1</f>
        <v>Q2 2024</v>
      </c>
      <c r="AH3" s="166" t="str">
        <f>+"Q3 "&amp;AH1</f>
        <v>Q3 2024</v>
      </c>
      <c r="AI3" s="358" t="str">
        <f>+"Q3 "&amp;AI1</f>
        <v>Q3 2024</v>
      </c>
      <c r="AJ3" s="358" t="str">
        <f>+"Q3 "&amp;AJ1</f>
        <v>Q3 2024</v>
      </c>
      <c r="AK3" s="166" t="str">
        <f>+"Q4 "&amp;AK1</f>
        <v>Q4 2024</v>
      </c>
      <c r="AL3" s="166" t="str">
        <f>+"Q4 "&amp;AL1</f>
        <v>Q4 2024</v>
      </c>
      <c r="AM3" s="358" t="str">
        <f>+"Q4 "&amp;AM1</f>
        <v>Q4 2024</v>
      </c>
      <c r="AN3" s="166" t="str">
        <f>+"Q1 "&amp;AN1</f>
        <v>Q1 2025</v>
      </c>
      <c r="AO3" s="166" t="str">
        <f>+"Q1 "&amp;AO1</f>
        <v>Q1 2025</v>
      </c>
      <c r="AP3" s="166" t="str">
        <f>+"Q1 "&amp;AP1</f>
        <v>Q1 2025</v>
      </c>
      <c r="AQ3" s="166" t="str">
        <f>+"Q2 "&amp;AQ1</f>
        <v>Q2 2025</v>
      </c>
      <c r="AR3" s="166" t="str">
        <f>+"Q2 "&amp;AR1</f>
        <v>Q2 2025</v>
      </c>
      <c r="AS3" s="166" t="str">
        <f>+"Q2 "&amp;AS1</f>
        <v>Q2 2025</v>
      </c>
      <c r="AT3" s="166" t="str">
        <f>+"Q3 "&amp;AT1</f>
        <v>Q3 2025</v>
      </c>
      <c r="AU3" s="166" t="str">
        <f>+"Q3 "&amp;AU1</f>
        <v>Q3 2025</v>
      </c>
      <c r="AV3" s="166" t="str">
        <f>+"Q3 "&amp;AV1</f>
        <v>Q3 2025</v>
      </c>
      <c r="AW3" s="166" t="str">
        <f>+"Q4 "&amp;AW1</f>
        <v>Q4 2025</v>
      </c>
      <c r="AX3" s="166" t="str">
        <f>+"Q4 "&amp;AX1</f>
        <v>Q4 2025</v>
      </c>
      <c r="AY3" s="358" t="str">
        <f>+"Q4 "&amp;AY1</f>
        <v>Q4 2025</v>
      </c>
      <c r="AZ3" s="166" t="str">
        <f>+"Q1 "&amp;AZ1</f>
        <v>Q1 2026</v>
      </c>
      <c r="BA3" s="166" t="str">
        <f>+"Q1 "&amp;BA1</f>
        <v>Q1 2026</v>
      </c>
      <c r="BB3" s="166" t="str">
        <f>+"Q1 "&amp;BB1</f>
        <v>Q1 2026</v>
      </c>
      <c r="BC3" s="166" t="str">
        <f>+"Q2 "&amp;BC1</f>
        <v>Q2 2026</v>
      </c>
      <c r="BD3" s="166" t="str">
        <f>+"Q2 "&amp;BD1</f>
        <v>Q2 2026</v>
      </c>
      <c r="BE3" s="166" t="str">
        <f>+"Q2 "&amp;BE1</f>
        <v>Q2 2026</v>
      </c>
      <c r="BF3" s="166" t="str">
        <f>+"Q3 "&amp;BF1</f>
        <v>Q3 2026</v>
      </c>
      <c r="BG3" s="166" t="str">
        <f>+"Q3 "&amp;BG1</f>
        <v>Q3 2026</v>
      </c>
      <c r="BH3" s="166" t="str">
        <f>+"Q3 "&amp;BH1</f>
        <v>Q3 2026</v>
      </c>
      <c r="BI3" s="166" t="str">
        <f>+"Q4 "&amp;BI1</f>
        <v>Q4 2026</v>
      </c>
      <c r="BJ3" s="166" t="str">
        <f>+"Q4 "&amp;BJ1</f>
        <v>Q4 2026</v>
      </c>
      <c r="BK3" s="358" t="str">
        <f>+"Q4 "&amp;BK1</f>
        <v>Q4 2026</v>
      </c>
      <c r="BL3" s="166" t="str">
        <f>+"Q1 "&amp;BL1</f>
        <v>Q1 2027</v>
      </c>
      <c r="BM3" s="166" t="str">
        <f>+"Q1 "&amp;BM1</f>
        <v>Q1 2027</v>
      </c>
      <c r="BN3" s="166" t="str">
        <f>+"Q1 "&amp;BN1</f>
        <v>Q1 2027</v>
      </c>
      <c r="BO3" s="166" t="str">
        <f>+"Q2 "&amp;BO1</f>
        <v>Q2 2027</v>
      </c>
      <c r="BP3" s="166" t="str">
        <f>+"Q2 "&amp;BP1</f>
        <v>Q2 2027</v>
      </c>
      <c r="BQ3" s="166" t="str">
        <f>+"Q2 "&amp;BQ1</f>
        <v>Q2 2027</v>
      </c>
      <c r="BR3" s="166" t="str">
        <f>+"Q3 "&amp;BR1</f>
        <v>Q3 2027</v>
      </c>
      <c r="BS3" s="166" t="str">
        <f>+"Q3 "&amp;BS1</f>
        <v>Q3 2027</v>
      </c>
      <c r="BT3" s="166" t="str">
        <f>+"Q3 "&amp;BT1</f>
        <v>Q3 2027</v>
      </c>
      <c r="BU3" s="166" t="str">
        <f>+"Q4 "&amp;BU1</f>
        <v>Q4 2027</v>
      </c>
      <c r="BV3" s="166" t="str">
        <f>+"Q4 "&amp;BV1</f>
        <v>Q4 2027</v>
      </c>
      <c r="BW3" s="358" t="str">
        <f>+"Q4 "&amp;BW1</f>
        <v>Q4 2027</v>
      </c>
      <c r="BX3" s="166" t="str">
        <f>+"Q1 "&amp;BX1</f>
        <v>Q1 2028</v>
      </c>
      <c r="BY3" s="166" t="str">
        <f>+"Q1 "&amp;BY1</f>
        <v>Q1 2028</v>
      </c>
      <c r="BZ3" s="166" t="str">
        <f>+"Q1 "&amp;BZ1</f>
        <v>Q1 2028</v>
      </c>
      <c r="CA3" s="166" t="str">
        <f>+"Q2 "&amp;CA1</f>
        <v>Q2 2028</v>
      </c>
      <c r="CB3" s="166" t="str">
        <f>+"Q2 "&amp;CB1</f>
        <v>Q2 2028</v>
      </c>
      <c r="CC3" s="166" t="str">
        <f>+"Q2 "&amp;CC1</f>
        <v>Q2 2028</v>
      </c>
      <c r="CD3" s="166" t="str">
        <f>+"Q3 "&amp;CD1</f>
        <v>Q3 2028</v>
      </c>
      <c r="CE3" s="166" t="str">
        <f>+"Q3 "&amp;CE1</f>
        <v>Q3 2028</v>
      </c>
      <c r="CF3" s="166" t="str">
        <f>+"Q3 "&amp;CF1</f>
        <v>Q3 2028</v>
      </c>
      <c r="CG3" s="166" t="str">
        <f>+"Q4 "&amp;CG1</f>
        <v>Q4 2028</v>
      </c>
      <c r="CH3" s="166" t="str">
        <f>+"Q4 "&amp;CH1</f>
        <v>Q4 2028</v>
      </c>
      <c r="CI3" s="358" t="str">
        <f>+"Q4 "&amp;CI1</f>
        <v>Q4 2028</v>
      </c>
      <c r="CJ3" s="166" t="str">
        <f>+"Q1 "&amp;CJ1</f>
        <v>Q1 2029</v>
      </c>
      <c r="CK3" s="166" t="str">
        <f>+"Q1 "&amp;CK1</f>
        <v>Q1 2029</v>
      </c>
      <c r="CL3" s="166" t="str">
        <f>+"Q1 "&amp;CL1</f>
        <v>Q1 2029</v>
      </c>
      <c r="CM3" s="166" t="str">
        <f>+"Q2 "&amp;CM1</f>
        <v>Q2 2029</v>
      </c>
      <c r="CN3" s="166" t="str">
        <f>+"Q2 "&amp;CN1</f>
        <v>Q2 2029</v>
      </c>
      <c r="CO3" s="166" t="str">
        <f>+"Q2 "&amp;CO1</f>
        <v>Q2 2029</v>
      </c>
      <c r="CP3" s="166" t="str">
        <f>+"Q3 "&amp;CP1</f>
        <v>Q3 2029</v>
      </c>
      <c r="CQ3" s="166" t="str">
        <f>+"Q3 "&amp;CQ1</f>
        <v>Q3 2029</v>
      </c>
      <c r="CR3" s="166" t="str">
        <f>+"Q3 "&amp;CR1</f>
        <v>Q3 2029</v>
      </c>
      <c r="CS3" s="166" t="str">
        <f>+"Q4 "&amp;CS1</f>
        <v>Q4 2029</v>
      </c>
      <c r="CT3" s="166" t="str">
        <f>+"Q4 "&amp;CT1</f>
        <v>Q4 2029</v>
      </c>
      <c r="CU3" s="358" t="str">
        <f>+"Q4 "&amp;CU1</f>
        <v>Q4 2029</v>
      </c>
      <c r="CV3" s="166" t="str">
        <f>+"Q1 "&amp;CV1</f>
        <v>Q1 2030</v>
      </c>
      <c r="CW3" s="166" t="str">
        <f>+"Q1 "&amp;CW1</f>
        <v>Q1 2030</v>
      </c>
      <c r="CX3" s="166" t="str">
        <f>+"Q1 "&amp;CX1</f>
        <v>Q1 2030</v>
      </c>
      <c r="CY3" s="166" t="str">
        <f>+"Q2 "&amp;CY1</f>
        <v>Q2 2030</v>
      </c>
      <c r="CZ3" s="166" t="str">
        <f>+"Q2 "&amp;CZ1</f>
        <v>Q2 2030</v>
      </c>
      <c r="DA3" s="166" t="str">
        <f>+"Q2 "&amp;DA1</f>
        <v>Q2 2030</v>
      </c>
      <c r="DB3" s="166" t="str">
        <f>+"Q3 "&amp;DB1</f>
        <v>Q3 2030</v>
      </c>
      <c r="DC3" s="166" t="str">
        <f>+"Q3 "&amp;DC1</f>
        <v>Q3 2030</v>
      </c>
      <c r="DD3" s="166" t="str">
        <f>+"Q3 "&amp;DD1</f>
        <v>Q3 2030</v>
      </c>
      <c r="DE3" s="166" t="str">
        <f>+"Q4 "&amp;DE1</f>
        <v>Q4 2030</v>
      </c>
      <c r="DF3" s="166" t="str">
        <f>+"Q4 "&amp;DF1</f>
        <v>Q4 2030</v>
      </c>
      <c r="DG3" s="166" t="str">
        <f>+"Q4 "&amp;DG1</f>
        <v>Q4 2030</v>
      </c>
      <c r="DH3" s="30"/>
      <c r="DI3" s="30"/>
      <c r="DJ3" s="30"/>
    </row>
    <row r="4" spans="1:114" ht="15" thickBot="1" x14ac:dyDescent="0.35">
      <c r="A4" s="31"/>
      <c r="B4" s="32"/>
      <c r="C4" s="585"/>
      <c r="D4" s="586">
        <v>44592</v>
      </c>
      <c r="E4" s="586">
        <v>44620</v>
      </c>
      <c r="F4" s="586">
        <v>44651</v>
      </c>
      <c r="G4" s="33">
        <v>44681</v>
      </c>
      <c r="H4" s="33">
        <v>44712</v>
      </c>
      <c r="I4" s="33">
        <v>44742</v>
      </c>
      <c r="J4" s="33">
        <v>44773</v>
      </c>
      <c r="K4" s="33">
        <v>44804</v>
      </c>
      <c r="L4" s="33">
        <v>44834</v>
      </c>
      <c r="M4" s="33">
        <v>44865</v>
      </c>
      <c r="N4" s="33">
        <v>44895</v>
      </c>
      <c r="O4" s="33">
        <v>44926</v>
      </c>
      <c r="P4" s="164">
        <v>44957</v>
      </c>
      <c r="Q4" s="33">
        <v>44985</v>
      </c>
      <c r="R4" s="33">
        <v>45016</v>
      </c>
      <c r="S4" s="33">
        <v>45046</v>
      </c>
      <c r="T4" s="33">
        <v>45077</v>
      </c>
      <c r="U4" s="33">
        <v>45107</v>
      </c>
      <c r="V4" s="33">
        <v>45138</v>
      </c>
      <c r="W4" s="33">
        <v>45169</v>
      </c>
      <c r="X4" s="33">
        <v>45199</v>
      </c>
      <c r="Y4" s="33">
        <v>45230</v>
      </c>
      <c r="Z4" s="33">
        <v>45260</v>
      </c>
      <c r="AA4" s="33">
        <v>45291</v>
      </c>
      <c r="AB4" s="33">
        <v>45322</v>
      </c>
      <c r="AC4" s="33">
        <v>45351</v>
      </c>
      <c r="AD4" s="33">
        <v>45382</v>
      </c>
      <c r="AE4" s="33">
        <v>45412</v>
      </c>
      <c r="AF4" s="33">
        <v>45443</v>
      </c>
      <c r="AG4" s="33">
        <v>45473</v>
      </c>
      <c r="AH4" s="33">
        <v>45504</v>
      </c>
      <c r="AI4" s="359">
        <v>45535</v>
      </c>
      <c r="AJ4" s="359">
        <v>45565</v>
      </c>
      <c r="AK4" s="33">
        <v>45596</v>
      </c>
      <c r="AL4" s="33">
        <v>45626</v>
      </c>
      <c r="AM4" s="359">
        <v>45657</v>
      </c>
      <c r="AN4" s="33">
        <v>45688</v>
      </c>
      <c r="AO4" s="33">
        <v>45716</v>
      </c>
      <c r="AP4" s="33">
        <v>45747</v>
      </c>
      <c r="AQ4" s="33">
        <v>45777</v>
      </c>
      <c r="AR4" s="33">
        <v>45808</v>
      </c>
      <c r="AS4" s="33">
        <v>45838</v>
      </c>
      <c r="AT4" s="33">
        <v>45869</v>
      </c>
      <c r="AU4" s="33">
        <v>45900</v>
      </c>
      <c r="AV4" s="33">
        <v>45930</v>
      </c>
      <c r="AW4" s="33">
        <v>45961</v>
      </c>
      <c r="AX4" s="33">
        <v>45991</v>
      </c>
      <c r="AY4" s="359">
        <v>46022</v>
      </c>
      <c r="AZ4" s="33">
        <v>46053</v>
      </c>
      <c r="BA4" s="33">
        <v>46081</v>
      </c>
      <c r="BB4" s="33">
        <v>46112</v>
      </c>
      <c r="BC4" s="33">
        <v>46142</v>
      </c>
      <c r="BD4" s="33">
        <v>46173</v>
      </c>
      <c r="BE4" s="33">
        <v>46203</v>
      </c>
      <c r="BF4" s="33">
        <v>46234</v>
      </c>
      <c r="BG4" s="33">
        <v>46265</v>
      </c>
      <c r="BH4" s="33">
        <v>46295</v>
      </c>
      <c r="BI4" s="33">
        <v>46326</v>
      </c>
      <c r="BJ4" s="33">
        <v>46356</v>
      </c>
      <c r="BK4" s="359">
        <v>46387</v>
      </c>
      <c r="BL4" s="33">
        <v>46418</v>
      </c>
      <c r="BM4" s="33">
        <v>46446</v>
      </c>
      <c r="BN4" s="33">
        <v>46477</v>
      </c>
      <c r="BO4" s="33">
        <v>46507</v>
      </c>
      <c r="BP4" s="33">
        <v>46538</v>
      </c>
      <c r="BQ4" s="33">
        <v>46568</v>
      </c>
      <c r="BR4" s="33">
        <v>46599</v>
      </c>
      <c r="BS4" s="33">
        <v>46630</v>
      </c>
      <c r="BT4" s="33">
        <v>46660</v>
      </c>
      <c r="BU4" s="33">
        <v>46691</v>
      </c>
      <c r="BV4" s="33">
        <v>46721</v>
      </c>
      <c r="BW4" s="359">
        <v>46752</v>
      </c>
      <c r="BX4" s="33">
        <v>46783</v>
      </c>
      <c r="BY4" s="33">
        <v>46812</v>
      </c>
      <c r="BZ4" s="33">
        <v>46843</v>
      </c>
      <c r="CA4" s="33">
        <v>46873</v>
      </c>
      <c r="CB4" s="33">
        <v>46904</v>
      </c>
      <c r="CC4" s="33">
        <v>46934</v>
      </c>
      <c r="CD4" s="33">
        <v>46965</v>
      </c>
      <c r="CE4" s="33">
        <v>46996</v>
      </c>
      <c r="CF4" s="33">
        <v>47026</v>
      </c>
      <c r="CG4" s="33">
        <v>47057</v>
      </c>
      <c r="CH4" s="33">
        <v>47087</v>
      </c>
      <c r="CI4" s="359">
        <v>47118</v>
      </c>
      <c r="CJ4" s="33">
        <v>47149</v>
      </c>
      <c r="CK4" s="33">
        <v>47177</v>
      </c>
      <c r="CL4" s="33">
        <v>47208</v>
      </c>
      <c r="CM4" s="33">
        <v>47238</v>
      </c>
      <c r="CN4" s="33">
        <v>47269</v>
      </c>
      <c r="CO4" s="33">
        <v>47299</v>
      </c>
      <c r="CP4" s="33">
        <v>47330</v>
      </c>
      <c r="CQ4" s="33">
        <v>47361</v>
      </c>
      <c r="CR4" s="33">
        <v>47391</v>
      </c>
      <c r="CS4" s="33">
        <v>47422</v>
      </c>
      <c r="CT4" s="33">
        <v>47452</v>
      </c>
      <c r="CU4" s="359">
        <v>47483</v>
      </c>
      <c r="CV4" s="33">
        <v>47514</v>
      </c>
      <c r="CW4" s="33">
        <v>47542</v>
      </c>
      <c r="CX4" s="33">
        <v>47573</v>
      </c>
      <c r="CY4" s="33">
        <v>47603</v>
      </c>
      <c r="CZ4" s="33">
        <v>47634</v>
      </c>
      <c r="DA4" s="33">
        <v>47664</v>
      </c>
      <c r="DB4" s="33">
        <v>47695</v>
      </c>
      <c r="DC4" s="33">
        <v>47726</v>
      </c>
      <c r="DD4" s="33">
        <v>47756</v>
      </c>
      <c r="DE4" s="33">
        <v>47787</v>
      </c>
      <c r="DF4" s="33">
        <v>47817</v>
      </c>
      <c r="DG4" s="33">
        <v>47848</v>
      </c>
      <c r="DH4" s="33"/>
      <c r="DI4" s="33"/>
      <c r="DJ4" s="53"/>
    </row>
    <row r="5" spans="1:114" hidden="1" x14ac:dyDescent="0.3">
      <c r="B5" s="1" t="s">
        <v>1</v>
      </c>
      <c r="C5" s="587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AJ5" s="196"/>
      <c r="AM5" s="196"/>
      <c r="AY5" s="196"/>
      <c r="BK5" s="196"/>
      <c r="BW5" s="196"/>
      <c r="CI5" s="196"/>
      <c r="CU5" s="196"/>
    </row>
    <row r="6" spans="1:114" s="112" customFormat="1" hidden="1" x14ac:dyDescent="0.3">
      <c r="A6"/>
      <c r="B6" s="1" t="s">
        <v>2</v>
      </c>
      <c r="C6" s="587"/>
      <c r="D6" s="114">
        <f>0</f>
        <v>0</v>
      </c>
      <c r="E6" s="114">
        <f>0</f>
        <v>0</v>
      </c>
      <c r="F6" s="114">
        <f>0</f>
        <v>0</v>
      </c>
      <c r="G6" s="114">
        <f>0</f>
        <v>0</v>
      </c>
      <c r="H6" s="114">
        <f>0</f>
        <v>0</v>
      </c>
      <c r="I6" s="114">
        <f>0</f>
        <v>0</v>
      </c>
      <c r="J6" s="114">
        <f>0</f>
        <v>0</v>
      </c>
      <c r="K6" s="114">
        <v>0</v>
      </c>
      <c r="L6" s="114">
        <v>0</v>
      </c>
      <c r="M6" s="114">
        <v>0</v>
      </c>
      <c r="N6" s="114"/>
      <c r="O6" s="161"/>
      <c r="P6" s="161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97"/>
      <c r="AK6" s="114"/>
      <c r="AL6" s="114"/>
      <c r="AM6" s="197"/>
      <c r="AY6" s="197"/>
      <c r="BK6" s="197"/>
      <c r="BW6" s="197"/>
      <c r="CI6" s="197"/>
      <c r="CU6" s="197"/>
    </row>
    <row r="7" spans="1:114" s="112" customFormat="1" hidden="1" x14ac:dyDescent="0.3">
      <c r="A7"/>
      <c r="B7" s="1" t="s">
        <v>3</v>
      </c>
      <c r="C7" s="587"/>
      <c r="D7" s="114">
        <f>0</f>
        <v>0</v>
      </c>
      <c r="E7" s="114">
        <f>0</f>
        <v>0</v>
      </c>
      <c r="F7" s="114">
        <f>0</f>
        <v>0</v>
      </c>
      <c r="G7" s="114">
        <f>0</f>
        <v>0</v>
      </c>
      <c r="H7" s="114">
        <f>0</f>
        <v>0</v>
      </c>
      <c r="I7" s="114">
        <f>0</f>
        <v>0</v>
      </c>
      <c r="J7" s="114">
        <v>0</v>
      </c>
      <c r="K7" s="114">
        <v>50</v>
      </c>
      <c r="L7" s="114">
        <v>350</v>
      </c>
      <c r="M7" s="114">
        <v>2640</v>
      </c>
      <c r="N7" s="114">
        <v>1865</v>
      </c>
      <c r="O7" s="114">
        <v>1932.5</v>
      </c>
      <c r="P7" s="114">
        <v>1360</v>
      </c>
      <c r="Q7" s="114">
        <v>1225</v>
      </c>
      <c r="R7" s="114">
        <v>1177.5</v>
      </c>
      <c r="S7" s="114">
        <v>1875</v>
      </c>
      <c r="T7" s="114">
        <v>2446.25</v>
      </c>
      <c r="U7" s="114">
        <v>1963.75</v>
      </c>
      <c r="V7" s="114">
        <v>2220</v>
      </c>
      <c r="W7" s="114">
        <v>5316.66</v>
      </c>
      <c r="X7" s="114">
        <v>4203.34</v>
      </c>
      <c r="Y7" s="114">
        <v>3105</v>
      </c>
      <c r="Z7" s="114">
        <v>2692.5</v>
      </c>
      <c r="AA7" s="114">
        <v>1350</v>
      </c>
      <c r="AB7" s="114">
        <v>1342.5</v>
      </c>
      <c r="AC7" s="114">
        <v>2167.5</v>
      </c>
      <c r="AD7" s="114">
        <v>1847.5</v>
      </c>
      <c r="AE7" s="114">
        <v>2035</v>
      </c>
      <c r="AF7" s="114">
        <v>1725</v>
      </c>
      <c r="AG7" s="114">
        <v>1285</v>
      </c>
      <c r="AH7" s="114">
        <v>1122.52</v>
      </c>
      <c r="AI7" s="114">
        <v>506.26</v>
      </c>
      <c r="AJ7" s="197">
        <v>326.25</v>
      </c>
      <c r="AK7" s="114">
        <f>+(AK33*AK27)+(AK31*AK37)</f>
        <v>4968.9955306360662</v>
      </c>
      <c r="AL7" s="114">
        <f t="shared" ref="AL7:CQ7" si="8">+(AL33*AL27)+(AL31*AL37)</f>
        <v>3231.041118009553</v>
      </c>
      <c r="AM7" s="197">
        <f t="shared" si="8"/>
        <v>3714.5642652775005</v>
      </c>
      <c r="AN7" s="112">
        <f t="shared" si="8"/>
        <v>2299.5399022923889</v>
      </c>
      <c r="AO7" s="112">
        <f t="shared" si="8"/>
        <v>4110.5386773847067</v>
      </c>
      <c r="AP7" s="112">
        <f t="shared" si="8"/>
        <v>2765.8573416383701</v>
      </c>
      <c r="AQ7" s="112">
        <f t="shared" si="8"/>
        <v>3763.0905100321957</v>
      </c>
      <c r="AR7" s="112">
        <f t="shared" si="8"/>
        <v>2424.6944794735787</v>
      </c>
      <c r="AS7" s="112">
        <f t="shared" si="8"/>
        <v>1086.8722583474816</v>
      </c>
      <c r="AT7" s="112">
        <f t="shared" si="8"/>
        <v>915.87580200501247</v>
      </c>
      <c r="AU7" s="112">
        <f t="shared" si="8"/>
        <v>748.08068285391664</v>
      </c>
      <c r="AV7" s="112">
        <f t="shared" si="8"/>
        <v>301.03781115569626</v>
      </c>
      <c r="AW7" s="112">
        <f t="shared" si="8"/>
        <v>5533.6541136628921</v>
      </c>
      <c r="AX7" s="112">
        <f t="shared" si="8"/>
        <v>3623.5459707521072</v>
      </c>
      <c r="AY7" s="197">
        <f t="shared" si="8"/>
        <v>5080.6441496788939</v>
      </c>
      <c r="AZ7" s="112">
        <f t="shared" si="8"/>
        <v>2787.254819069346</v>
      </c>
      <c r="BA7" s="112">
        <f t="shared" si="8"/>
        <v>5560.3367784622824</v>
      </c>
      <c r="BB7" s="112">
        <f t="shared" si="8"/>
        <v>4017.1681169322283</v>
      </c>
      <c r="BC7" s="112">
        <f t="shared" si="8"/>
        <v>5216.7775289761375</v>
      </c>
      <c r="BD7" s="112">
        <f t="shared" si="8"/>
        <v>3269.9463661991563</v>
      </c>
      <c r="BE7" s="112">
        <f t="shared" si="8"/>
        <v>1618.478485389548</v>
      </c>
      <c r="BF7" s="112">
        <f t="shared" si="8"/>
        <v>1353.2758819928601</v>
      </c>
      <c r="BG7" s="112">
        <f t="shared" si="8"/>
        <v>1059.7809673763811</v>
      </c>
      <c r="BH7" s="112">
        <f t="shared" si="8"/>
        <v>424.25328734965535</v>
      </c>
      <c r="BI7" s="112">
        <f t="shared" si="8"/>
        <v>7475.0976243481655</v>
      </c>
      <c r="BJ7" s="112">
        <f t="shared" si="8"/>
        <v>5976.3689709390874</v>
      </c>
      <c r="BK7" s="197">
        <f t="shared" si="8"/>
        <v>7958.9426968129928</v>
      </c>
      <c r="BL7" s="112">
        <f t="shared" si="8"/>
        <v>3741.1889535366149</v>
      </c>
      <c r="BM7" s="112">
        <f t="shared" si="8"/>
        <v>7784.4714898471912</v>
      </c>
      <c r="BN7" s="112">
        <f t="shared" si="8"/>
        <v>5900.2806295211012</v>
      </c>
      <c r="BO7" s="112">
        <f t="shared" si="8"/>
        <v>7406.5869107044582</v>
      </c>
      <c r="BP7" s="112">
        <f t="shared" si="8"/>
        <v>4592.7613299483237</v>
      </c>
      <c r="BQ7" s="112">
        <f t="shared" si="8"/>
        <v>2282.1359949764174</v>
      </c>
      <c r="BR7" s="112">
        <f t="shared" si="8"/>
        <v>1848.8479523141168</v>
      </c>
      <c r="BS7" s="112">
        <f t="shared" si="8"/>
        <v>1567.4071450272527</v>
      </c>
      <c r="BT7" s="112">
        <f t="shared" si="8"/>
        <v>598.15512988703892</v>
      </c>
      <c r="BU7" s="112">
        <f t="shared" si="8"/>
        <v>10092.560210782425</v>
      </c>
      <c r="BV7" s="112">
        <f t="shared" si="8"/>
        <v>8805.7866222969351</v>
      </c>
      <c r="BW7" s="197">
        <f t="shared" si="8"/>
        <v>11142.519775538191</v>
      </c>
      <c r="BX7" s="112">
        <f t="shared" si="8"/>
        <v>5303.2764071634074</v>
      </c>
      <c r="BY7" s="112">
        <f t="shared" si="8"/>
        <v>11530.660906519706</v>
      </c>
      <c r="BZ7" s="112">
        <f t="shared" si="8"/>
        <v>8239.7855865910624</v>
      </c>
      <c r="CA7" s="112">
        <f t="shared" si="8"/>
        <v>9356.2708158025798</v>
      </c>
      <c r="CB7" s="112">
        <f t="shared" si="8"/>
        <v>7090.9822674253301</v>
      </c>
      <c r="CC7" s="112">
        <f t="shared" si="8"/>
        <v>3178.7242775359323</v>
      </c>
      <c r="CD7" s="112">
        <f t="shared" si="8"/>
        <v>2464.9048720797418</v>
      </c>
      <c r="CE7" s="112">
        <f t="shared" si="8"/>
        <v>2298.6659077640825</v>
      </c>
      <c r="CF7" s="112">
        <f t="shared" si="8"/>
        <v>798.0162329771041</v>
      </c>
      <c r="CG7" s="112">
        <f t="shared" si="8"/>
        <v>14780.81731408682</v>
      </c>
      <c r="CH7" s="112">
        <f t="shared" si="8"/>
        <v>12408.992201054922</v>
      </c>
      <c r="CI7" s="197">
        <f t="shared" si="8"/>
        <v>14320.026474240392</v>
      </c>
      <c r="CJ7" s="112">
        <f t="shared" si="8"/>
        <v>8185.5859574438673</v>
      </c>
      <c r="CK7" s="112">
        <f t="shared" si="8"/>
        <v>15401.988452008603</v>
      </c>
      <c r="CL7" s="112">
        <f t="shared" si="8"/>
        <v>11093.281631293226</v>
      </c>
      <c r="CM7" s="112">
        <f t="shared" si="8"/>
        <v>13925.939240255542</v>
      </c>
      <c r="CN7" s="112">
        <f t="shared" si="8"/>
        <v>9992.3728119571042</v>
      </c>
      <c r="CO7" s="112">
        <f t="shared" si="8"/>
        <v>4294.5117741687536</v>
      </c>
      <c r="CP7" s="112">
        <f t="shared" si="8"/>
        <v>3645.7230057837874</v>
      </c>
      <c r="CQ7" s="112">
        <f t="shared" si="8"/>
        <v>3236.3395255846772</v>
      </c>
      <c r="CR7" s="112">
        <f t="shared" ref="CR7:DG7" si="9">+(CR33*CR27)+(CR31*CR37)</f>
        <v>1075.4776283263479</v>
      </c>
      <c r="CS7" s="112">
        <f t="shared" si="9"/>
        <v>21769.259765089868</v>
      </c>
      <c r="CT7" s="112">
        <f t="shared" si="9"/>
        <v>17433.257278856294</v>
      </c>
      <c r="CU7" s="197">
        <f t="shared" si="9"/>
        <v>20150.676339687623</v>
      </c>
      <c r="CV7" s="112">
        <f t="shared" si="9"/>
        <v>11513.715806881379</v>
      </c>
      <c r="CW7" s="112">
        <f t="shared" si="9"/>
        <v>21590.557742794354</v>
      </c>
      <c r="CX7" s="112">
        <f t="shared" si="9"/>
        <v>14881.10424819764</v>
      </c>
      <c r="CY7" s="112">
        <f t="shared" si="9"/>
        <v>20476.260070777051</v>
      </c>
      <c r="CZ7" s="112">
        <f t="shared" si="9"/>
        <v>13989.321936739936</v>
      </c>
      <c r="DA7" s="112">
        <f t="shared" si="9"/>
        <v>5726.015698891666</v>
      </c>
      <c r="DB7" s="112">
        <f t="shared" si="9"/>
        <v>5336.0127630108109</v>
      </c>
      <c r="DC7" s="112">
        <f t="shared" si="9"/>
        <v>4342.5885734727208</v>
      </c>
      <c r="DD7" s="112">
        <f t="shared" si="9"/>
        <v>1582.2886451480326</v>
      </c>
      <c r="DE7" s="112">
        <f t="shared" si="9"/>
        <v>30612.481731052234</v>
      </c>
      <c r="DF7" s="112">
        <f t="shared" si="9"/>
        <v>23335.778125531193</v>
      </c>
      <c r="DG7" s="112">
        <f t="shared" si="9"/>
        <v>29634.970443441489</v>
      </c>
    </row>
    <row r="8" spans="1:114" s="112" customFormat="1" hidden="1" x14ac:dyDescent="0.3">
      <c r="A8"/>
      <c r="B8" s="1" t="s">
        <v>4</v>
      </c>
      <c r="C8" s="587"/>
      <c r="D8" s="114">
        <f>0</f>
        <v>0</v>
      </c>
      <c r="E8" s="114">
        <f>0</f>
        <v>0</v>
      </c>
      <c r="F8" s="114">
        <f>0</f>
        <v>0</v>
      </c>
      <c r="G8" s="114">
        <f>0</f>
        <v>0</v>
      </c>
      <c r="H8" s="114">
        <f>0</f>
        <v>0</v>
      </c>
      <c r="I8" s="114">
        <f>0</f>
        <v>0</v>
      </c>
      <c r="J8" s="114">
        <v>0</v>
      </c>
      <c r="K8" s="114">
        <v>175</v>
      </c>
      <c r="L8" s="114">
        <v>50</v>
      </c>
      <c r="M8" s="114">
        <v>325</v>
      </c>
      <c r="N8" s="114">
        <v>225</v>
      </c>
      <c r="O8" s="114">
        <v>0</v>
      </c>
      <c r="P8" s="114"/>
      <c r="Q8" s="114"/>
      <c r="R8" s="114"/>
      <c r="S8" s="114"/>
      <c r="T8" s="114"/>
      <c r="U8" s="114"/>
      <c r="V8" s="114">
        <v>150</v>
      </c>
      <c r="W8" s="114">
        <v>140</v>
      </c>
      <c r="X8" s="114">
        <v>1827.5</v>
      </c>
      <c r="Y8" s="114">
        <v>1620</v>
      </c>
      <c r="Z8" s="114">
        <v>1070</v>
      </c>
      <c r="AA8" s="114">
        <v>700</v>
      </c>
      <c r="AB8" s="114">
        <v>1110</v>
      </c>
      <c r="AC8" s="114">
        <v>2115</v>
      </c>
      <c r="AD8" s="114">
        <v>1470</v>
      </c>
      <c r="AE8" s="114">
        <v>1935</v>
      </c>
      <c r="AF8" s="114">
        <v>3645</v>
      </c>
      <c r="AG8" s="114">
        <v>1305.01</v>
      </c>
      <c r="AH8" s="114">
        <v>4406.25</v>
      </c>
      <c r="AI8" s="114">
        <v>8085</v>
      </c>
      <c r="AJ8" s="197">
        <v>1530</v>
      </c>
      <c r="AK8" s="114">
        <f>+AK34*AK28</f>
        <v>1940.625</v>
      </c>
      <c r="AL8" s="114">
        <f t="shared" ref="AL8:AT9" si="10">+AL34*AL28</f>
        <v>1087.453125</v>
      </c>
      <c r="AM8" s="197">
        <f t="shared" si="10"/>
        <v>1586.0869565217392</v>
      </c>
      <c r="AN8" s="112">
        <f t="shared" si="10"/>
        <v>1856.727272727273</v>
      </c>
      <c r="AO8" s="112">
        <f t="shared" si="10"/>
        <v>3974.8571428571422</v>
      </c>
      <c r="AP8" s="112">
        <f t="shared" si="10"/>
        <v>2160.9</v>
      </c>
      <c r="AQ8" s="112">
        <f t="shared" si="10"/>
        <v>3323.6470588235288</v>
      </c>
      <c r="AR8" s="112">
        <f t="shared" si="10"/>
        <v>5438.9739130434773</v>
      </c>
      <c r="AS8" s="112">
        <f t="shared" si="10"/>
        <v>1800.7499999999995</v>
      </c>
      <c r="AT8" s="112">
        <f t="shared" si="10"/>
        <v>4094.9999999999991</v>
      </c>
      <c r="AU8" s="112">
        <f t="shared" ref="AU8:DF9" si="11">+AU34*AU28</f>
        <v>6877.2488038277497</v>
      </c>
      <c r="AV8" s="112">
        <f t="shared" si="11"/>
        <v>1415.7823129251699</v>
      </c>
      <c r="AW8" s="112">
        <f t="shared" si="11"/>
        <v>2161.150568181818</v>
      </c>
      <c r="AX8" s="112">
        <f t="shared" si="11"/>
        <v>1219.5562500000001</v>
      </c>
      <c r="AY8" s="197">
        <f t="shared" si="11"/>
        <v>2169.3913043478251</v>
      </c>
      <c r="AZ8" s="112">
        <f t="shared" si="11"/>
        <v>2250.5249999999987</v>
      </c>
      <c r="BA8" s="112">
        <f t="shared" si="11"/>
        <v>5376.7999999999965</v>
      </c>
      <c r="BB8" s="112">
        <f t="shared" si="11"/>
        <v>3138.5199999999977</v>
      </c>
      <c r="BC8" s="112">
        <f t="shared" si="11"/>
        <v>4607.576470588232</v>
      </c>
      <c r="BD8" s="112">
        <f t="shared" si="11"/>
        <v>7335.0078260869514</v>
      </c>
      <c r="BE8" s="112">
        <f t="shared" si="11"/>
        <v>2681.5249999999978</v>
      </c>
      <c r="BF8" s="112">
        <f t="shared" si="11"/>
        <v>6050.672727272723</v>
      </c>
      <c r="BG8" s="112">
        <f t="shared" si="11"/>
        <v>9742.7691387559717</v>
      </c>
      <c r="BH8" s="112">
        <f t="shared" si="11"/>
        <v>1995.2653061224471</v>
      </c>
      <c r="BI8" s="112">
        <f t="shared" si="11"/>
        <v>2919.3749999999977</v>
      </c>
      <c r="BJ8" s="112">
        <f t="shared" si="11"/>
        <v>2011.4324999999985</v>
      </c>
      <c r="BK8" s="197">
        <f t="shared" si="11"/>
        <v>3398.399999999996</v>
      </c>
      <c r="BL8" s="112">
        <f t="shared" si="11"/>
        <v>3020.7640909090869</v>
      </c>
      <c r="BM8" s="112">
        <f t="shared" si="11"/>
        <v>7527.5199999999913</v>
      </c>
      <c r="BN8" s="112">
        <f t="shared" si="11"/>
        <v>4609.7519999999959</v>
      </c>
      <c r="BO8" s="112">
        <f t="shared" si="11"/>
        <v>6541.6658823529342</v>
      </c>
      <c r="BP8" s="112">
        <f t="shared" si="11"/>
        <v>10302.291391304338</v>
      </c>
      <c r="BQ8" s="112">
        <f t="shared" si="11"/>
        <v>3781.0849999999955</v>
      </c>
      <c r="BR8" s="112">
        <f t="shared" si="11"/>
        <v>8266.4399999999914</v>
      </c>
      <c r="BS8" s="112">
        <f t="shared" si="11"/>
        <v>14409.473684210512</v>
      </c>
      <c r="BT8" s="112">
        <f t="shared" si="11"/>
        <v>2813.1265306122427</v>
      </c>
      <c r="BU8" s="112">
        <f t="shared" si="11"/>
        <v>3941.6164772727238</v>
      </c>
      <c r="BV8" s="112">
        <f t="shared" si="11"/>
        <v>2963.713499999998</v>
      </c>
      <c r="BW8" s="197">
        <f t="shared" si="11"/>
        <v>4757.7599999999939</v>
      </c>
      <c r="BX8" s="112">
        <f t="shared" si="11"/>
        <v>4282.0469999999941</v>
      </c>
      <c r="BY8" s="112">
        <f t="shared" si="11"/>
        <v>11150.054399999986</v>
      </c>
      <c r="BZ8" s="112">
        <f t="shared" si="11"/>
        <v>6437.5527999999922</v>
      </c>
      <c r="CA8" s="112">
        <f t="shared" si="11"/>
        <v>8263.6710160427701</v>
      </c>
      <c r="CB8" s="112">
        <f t="shared" si="11"/>
        <v>15906.196799999982</v>
      </c>
      <c r="CC8" s="112">
        <f t="shared" si="11"/>
        <v>5266.5689999999922</v>
      </c>
      <c r="CD8" s="112">
        <f t="shared" si="11"/>
        <v>11020.910727272714</v>
      </c>
      <c r="CE8" s="112">
        <f t="shared" si="11"/>
        <v>21132.075358851645</v>
      </c>
      <c r="CF8" s="112">
        <f t="shared" si="11"/>
        <v>3753.0742857142823</v>
      </c>
      <c r="CG8" s="112">
        <f t="shared" si="11"/>
        <v>5772.5999999999949</v>
      </c>
      <c r="CH8" s="112">
        <f t="shared" si="11"/>
        <v>4176.423899999997</v>
      </c>
      <c r="CI8" s="197">
        <f t="shared" si="11"/>
        <v>6114.5279999999912</v>
      </c>
      <c r="CJ8" s="112">
        <f t="shared" si="11"/>
        <v>6609.3224454545352</v>
      </c>
      <c r="CK8" s="112">
        <f t="shared" si="11"/>
        <v>14893.596342857123</v>
      </c>
      <c r="CL8" s="112">
        <f t="shared" si="11"/>
        <v>8666.9228799999873</v>
      </c>
      <c r="CM8" s="112">
        <f t="shared" si="11"/>
        <v>12299.706019251316</v>
      </c>
      <c r="CN8" s="112">
        <f t="shared" si="11"/>
        <v>22414.475519999964</v>
      </c>
      <c r="CO8" s="112">
        <f t="shared" si="11"/>
        <v>7115.2262999999866</v>
      </c>
      <c r="CP8" s="112">
        <f t="shared" si="11"/>
        <v>16300.502399999974</v>
      </c>
      <c r="CQ8" s="112">
        <f t="shared" si="11"/>
        <v>29752.288277511903</v>
      </c>
      <c r="CR8" s="112">
        <f t="shared" si="11"/>
        <v>5057.9765986394486</v>
      </c>
      <c r="CS8" s="112">
        <f t="shared" si="11"/>
        <v>8501.9134090908992</v>
      </c>
      <c r="CT8" s="112">
        <f t="shared" si="11"/>
        <v>5867.4122099999913</v>
      </c>
      <c r="CU8" s="197">
        <f t="shared" si="11"/>
        <v>8604.1652869565041</v>
      </c>
      <c r="CV8" s="112">
        <f t="shared" si="11"/>
        <v>9296.5684690908856</v>
      </c>
      <c r="CW8" s="112">
        <f t="shared" si="11"/>
        <v>20877.892022857097</v>
      </c>
      <c r="CX8" s="112">
        <f t="shared" si="11"/>
        <v>11626.260575999973</v>
      </c>
      <c r="CY8" s="112">
        <f t="shared" si="11"/>
        <v>18085.098239999956</v>
      </c>
      <c r="CZ8" s="112">
        <f t="shared" si="11"/>
        <v>31380.265727999926</v>
      </c>
      <c r="DA8" s="112">
        <f t="shared" si="11"/>
        <v>9486.9683999999743</v>
      </c>
      <c r="DB8" s="112">
        <f t="shared" si="11"/>
        <v>23858.00805818176</v>
      </c>
      <c r="DC8" s="112">
        <f t="shared" si="11"/>
        <v>39922.247368420954</v>
      </c>
      <c r="DD8" s="112">
        <f t="shared" si="11"/>
        <v>7441.5113142856972</v>
      </c>
      <c r="DE8" s="112">
        <f t="shared" si="11"/>
        <v>11955.604909090885</v>
      </c>
      <c r="DF8" s="112">
        <f t="shared" si="11"/>
        <v>7853.9900669999824</v>
      </c>
      <c r="DG8" s="112">
        <f>+DG34*DG28</f>
        <v>12653.877203478223</v>
      </c>
    </row>
    <row r="9" spans="1:114" s="112" customFormat="1" hidden="1" x14ac:dyDescent="0.3">
      <c r="A9"/>
      <c r="B9" s="1" t="s">
        <v>295</v>
      </c>
      <c r="C9" s="587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>
        <v>851.25</v>
      </c>
      <c r="AJ9" s="197">
        <v>997.5</v>
      </c>
      <c r="AK9" s="114">
        <f>+AK35*AK29</f>
        <v>0</v>
      </c>
      <c r="AL9" s="114">
        <f t="shared" si="10"/>
        <v>0</v>
      </c>
      <c r="AM9" s="197">
        <f t="shared" si="10"/>
        <v>0</v>
      </c>
      <c r="AN9" s="112">
        <f t="shared" si="10"/>
        <v>0</v>
      </c>
      <c r="AO9" s="112">
        <f t="shared" si="10"/>
        <v>0</v>
      </c>
      <c r="AP9" s="112">
        <f t="shared" si="10"/>
        <v>0</v>
      </c>
      <c r="AQ9" s="112">
        <f t="shared" si="10"/>
        <v>0</v>
      </c>
      <c r="AR9" s="112">
        <f t="shared" si="10"/>
        <v>0</v>
      </c>
      <c r="AS9" s="112">
        <f t="shared" si="10"/>
        <v>0</v>
      </c>
      <c r="AT9" s="112">
        <f t="shared" si="10"/>
        <v>0</v>
      </c>
      <c r="AU9" s="112">
        <f t="shared" si="11"/>
        <v>724.59388971684041</v>
      </c>
      <c r="AV9" s="112">
        <f t="shared" si="11"/>
        <v>1069.8809523809523</v>
      </c>
      <c r="AW9" s="112">
        <f t="shared" si="11"/>
        <v>0</v>
      </c>
      <c r="AX9" s="112">
        <f t="shared" si="11"/>
        <v>0</v>
      </c>
      <c r="AY9" s="197">
        <f t="shared" si="11"/>
        <v>0</v>
      </c>
      <c r="AZ9" s="112">
        <f t="shared" si="11"/>
        <v>0</v>
      </c>
      <c r="BA9" s="112">
        <f t="shared" si="11"/>
        <v>0</v>
      </c>
      <c r="BB9" s="112">
        <f t="shared" si="11"/>
        <v>0</v>
      </c>
      <c r="BC9" s="112">
        <f t="shared" si="11"/>
        <v>0</v>
      </c>
      <c r="BD9" s="112">
        <f t="shared" si="11"/>
        <v>0</v>
      </c>
      <c r="BE9" s="112">
        <f t="shared" si="11"/>
        <v>0</v>
      </c>
      <c r="BF9" s="112">
        <f t="shared" si="11"/>
        <v>0</v>
      </c>
      <c r="BG9" s="112">
        <f t="shared" si="11"/>
        <v>1026.5080104321898</v>
      </c>
      <c r="BH9" s="112">
        <f t="shared" si="11"/>
        <v>1507.7857142857131</v>
      </c>
      <c r="BI9" s="112">
        <f t="shared" si="11"/>
        <v>0</v>
      </c>
      <c r="BJ9" s="112">
        <f t="shared" si="11"/>
        <v>0</v>
      </c>
      <c r="BK9" s="197">
        <f t="shared" si="11"/>
        <v>0</v>
      </c>
      <c r="BL9" s="112">
        <f t="shared" si="11"/>
        <v>0</v>
      </c>
      <c r="BM9" s="112">
        <f t="shared" si="11"/>
        <v>0</v>
      </c>
      <c r="BN9" s="112">
        <f t="shared" si="11"/>
        <v>0</v>
      </c>
      <c r="BO9" s="112">
        <f t="shared" si="11"/>
        <v>0</v>
      </c>
      <c r="BP9" s="112">
        <f t="shared" si="11"/>
        <v>0</v>
      </c>
      <c r="BQ9" s="112">
        <f t="shared" si="11"/>
        <v>0</v>
      </c>
      <c r="BR9" s="112">
        <f t="shared" si="11"/>
        <v>0</v>
      </c>
      <c r="BS9" s="112">
        <f t="shared" si="11"/>
        <v>1518.196721311474</v>
      </c>
      <c r="BT9" s="112">
        <f t="shared" si="11"/>
        <v>2125.8285714285698</v>
      </c>
      <c r="BU9" s="112">
        <f t="shared" si="11"/>
        <v>0</v>
      </c>
      <c r="BV9" s="112">
        <f t="shared" si="11"/>
        <v>0</v>
      </c>
      <c r="BW9" s="197">
        <f t="shared" si="11"/>
        <v>0</v>
      </c>
      <c r="BX9" s="112">
        <f t="shared" si="11"/>
        <v>0</v>
      </c>
      <c r="BY9" s="112">
        <f t="shared" si="11"/>
        <v>0</v>
      </c>
      <c r="BZ9" s="112">
        <f t="shared" si="11"/>
        <v>0</v>
      </c>
      <c r="CA9" s="112">
        <f t="shared" si="11"/>
        <v>0</v>
      </c>
      <c r="CB9" s="112">
        <f t="shared" si="11"/>
        <v>0</v>
      </c>
      <c r="CC9" s="112">
        <f t="shared" si="11"/>
        <v>0</v>
      </c>
      <c r="CD9" s="112">
        <f t="shared" si="11"/>
        <v>0</v>
      </c>
      <c r="CE9" s="112">
        <f t="shared" si="11"/>
        <v>2226.4968330849447</v>
      </c>
      <c r="CF9" s="112">
        <f t="shared" si="11"/>
        <v>2836.1299999999974</v>
      </c>
      <c r="CG9" s="112">
        <f t="shared" si="11"/>
        <v>0</v>
      </c>
      <c r="CH9" s="112">
        <f t="shared" si="11"/>
        <v>0</v>
      </c>
      <c r="CI9" s="197">
        <f t="shared" si="11"/>
        <v>0</v>
      </c>
      <c r="CJ9" s="112">
        <f t="shared" si="11"/>
        <v>0</v>
      </c>
      <c r="CK9" s="112">
        <f t="shared" si="11"/>
        <v>0</v>
      </c>
      <c r="CL9" s="112">
        <f t="shared" si="11"/>
        <v>0</v>
      </c>
      <c r="CM9" s="112">
        <f t="shared" si="11"/>
        <v>0</v>
      </c>
      <c r="CN9" s="112">
        <f t="shared" si="11"/>
        <v>0</v>
      </c>
      <c r="CO9" s="112">
        <f t="shared" si="11"/>
        <v>0</v>
      </c>
      <c r="CP9" s="112">
        <f t="shared" si="11"/>
        <v>0</v>
      </c>
      <c r="CQ9" s="112">
        <f t="shared" si="11"/>
        <v>3134.7311847988017</v>
      </c>
      <c r="CR9" s="112">
        <f t="shared" si="11"/>
        <v>3822.2209523809465</v>
      </c>
      <c r="CS9" s="112">
        <f t="shared" si="11"/>
        <v>0</v>
      </c>
      <c r="CT9" s="112">
        <f t="shared" si="11"/>
        <v>0</v>
      </c>
      <c r="CU9" s="197">
        <f t="shared" si="11"/>
        <v>0</v>
      </c>
      <c r="CV9" s="112">
        <f t="shared" si="11"/>
        <v>0</v>
      </c>
      <c r="CW9" s="112">
        <f t="shared" si="11"/>
        <v>0</v>
      </c>
      <c r="CX9" s="112">
        <f t="shared" si="11"/>
        <v>0</v>
      </c>
      <c r="CY9" s="112">
        <f t="shared" si="11"/>
        <v>0</v>
      </c>
      <c r="CZ9" s="112">
        <f t="shared" si="11"/>
        <v>0</v>
      </c>
      <c r="DA9" s="112">
        <f t="shared" si="11"/>
        <v>0</v>
      </c>
      <c r="DB9" s="112">
        <f t="shared" si="11"/>
        <v>0</v>
      </c>
      <c r="DC9" s="112">
        <f t="shared" si="11"/>
        <v>4206.2483606557271</v>
      </c>
      <c r="DD9" s="112">
        <f t="shared" si="11"/>
        <v>5623.4147999999868</v>
      </c>
      <c r="DE9" s="112">
        <f t="shared" si="11"/>
        <v>0</v>
      </c>
      <c r="DF9" s="112">
        <f t="shared" si="11"/>
        <v>0</v>
      </c>
      <c r="DG9" s="112">
        <f>+DG35*DG29</f>
        <v>0</v>
      </c>
    </row>
    <row r="10" spans="1:114" s="112" customFormat="1" hidden="1" x14ac:dyDescent="0.3">
      <c r="A10"/>
      <c r="B10" s="1" t="s">
        <v>5</v>
      </c>
      <c r="C10" s="587"/>
      <c r="D10" s="114">
        <f>0</f>
        <v>0</v>
      </c>
      <c r="E10" s="114">
        <f>0</f>
        <v>0</v>
      </c>
      <c r="F10" s="114">
        <f>0</f>
        <v>0</v>
      </c>
      <c r="G10" s="114">
        <f>0</f>
        <v>0</v>
      </c>
      <c r="H10" s="114">
        <f>0</f>
        <v>0</v>
      </c>
      <c r="I10" s="114">
        <f>0</f>
        <v>0</v>
      </c>
      <c r="J10" s="114">
        <v>0</v>
      </c>
      <c r="K10" s="114">
        <v>150</v>
      </c>
      <c r="L10" s="114">
        <v>675</v>
      </c>
      <c r="M10" s="114">
        <v>675</v>
      </c>
      <c r="N10" s="114">
        <v>0</v>
      </c>
      <c r="O10" s="114">
        <v>100</v>
      </c>
      <c r="P10" s="114">
        <v>150</v>
      </c>
      <c r="Q10" s="114"/>
      <c r="R10" s="114"/>
      <c r="S10" s="114">
        <v>44.91</v>
      </c>
      <c r="T10" s="114"/>
      <c r="U10" s="114">
        <v>75</v>
      </c>
      <c r="V10" s="114">
        <v>415</v>
      </c>
      <c r="W10" s="114">
        <v>1595</v>
      </c>
      <c r="X10" s="114">
        <v>2690</v>
      </c>
      <c r="Y10" s="114">
        <v>3315</v>
      </c>
      <c r="Z10" s="114">
        <v>1065</v>
      </c>
      <c r="AA10" s="114">
        <v>45</v>
      </c>
      <c r="AB10" s="114">
        <v>195</v>
      </c>
      <c r="AC10" s="114">
        <v>75</v>
      </c>
      <c r="AD10" s="114">
        <v>150</v>
      </c>
      <c r="AE10" s="114">
        <v>30</v>
      </c>
      <c r="AF10" s="114"/>
      <c r="AG10" s="114">
        <v>1706.25</v>
      </c>
      <c r="AH10" s="114">
        <v>3502.5</v>
      </c>
      <c r="AI10" s="114">
        <v>4631.25</v>
      </c>
      <c r="AJ10" s="197">
        <v>7043.75</v>
      </c>
      <c r="AK10" s="114">
        <f>+AK36*AK30</f>
        <v>5408.2936490191269</v>
      </c>
      <c r="AL10" s="114">
        <f t="shared" ref="AL10:CQ10" si="12">+AL36*AL30</f>
        <v>1327.6812950201245</v>
      </c>
      <c r="AM10" s="197">
        <f t="shared" si="12"/>
        <v>135.00726364349555</v>
      </c>
      <c r="AN10" s="112">
        <f t="shared" si="12"/>
        <v>370.19336207189747</v>
      </c>
      <c r="AO10" s="112">
        <f t="shared" si="12"/>
        <v>287.94782295893413</v>
      </c>
      <c r="AP10" s="112">
        <f t="shared" si="12"/>
        <v>400.40312138478805</v>
      </c>
      <c r="AQ10" s="112">
        <f t="shared" si="12"/>
        <v>58.482248621627697</v>
      </c>
      <c r="AR10" s="112">
        <f t="shared" si="12"/>
        <v>127.01341250670957</v>
      </c>
      <c r="AS10" s="112">
        <f t="shared" si="12"/>
        <v>1668.3463391032835</v>
      </c>
      <c r="AT10" s="112">
        <f t="shared" si="12"/>
        <v>3540.9799850355403</v>
      </c>
      <c r="AU10" s="112">
        <f t="shared" si="12"/>
        <v>4233.5856349425421</v>
      </c>
      <c r="AV10" s="112">
        <f t="shared" si="12"/>
        <v>7394.9920507732995</v>
      </c>
      <c r="AW10" s="112">
        <f t="shared" si="12"/>
        <v>6022.8724727712997</v>
      </c>
      <c r="AX10" s="112">
        <f t="shared" si="12"/>
        <v>1488.9671877579888</v>
      </c>
      <c r="AY10" s="197">
        <f t="shared" si="12"/>
        <v>184.65796125975467</v>
      </c>
      <c r="AZ10" s="112">
        <f t="shared" si="12"/>
        <v>448.70855747872218</v>
      </c>
      <c r="BA10" s="112">
        <f t="shared" si="12"/>
        <v>389.50779835390932</v>
      </c>
      <c r="BB10" s="112">
        <f t="shared" si="12"/>
        <v>581.55083739579993</v>
      </c>
      <c r="BC10" s="112">
        <f t="shared" si="12"/>
        <v>81.07402137683178</v>
      </c>
      <c r="BD10" s="112">
        <f t="shared" si="12"/>
        <v>171.29046574768481</v>
      </c>
      <c r="BE10" s="112">
        <f t="shared" si="12"/>
        <v>2484.3606369367931</v>
      </c>
      <c r="BF10" s="112">
        <f t="shared" si="12"/>
        <v>5232.0661839494796</v>
      </c>
      <c r="BG10" s="112">
        <f t="shared" si="12"/>
        <v>5997.5796495019313</v>
      </c>
      <c r="BH10" s="112">
        <f t="shared" si="12"/>
        <v>10421.779494810737</v>
      </c>
      <c r="BI10" s="112">
        <f t="shared" si="12"/>
        <v>8135.954793741812</v>
      </c>
      <c r="BJ10" s="112">
        <f t="shared" si="12"/>
        <v>2455.7760192611195</v>
      </c>
      <c r="BK10" s="197">
        <f t="shared" si="12"/>
        <v>289.27082646982615</v>
      </c>
      <c r="BL10" s="112">
        <f t="shared" si="12"/>
        <v>602.27844512517788</v>
      </c>
      <c r="BM10" s="112">
        <f t="shared" si="12"/>
        <v>545.31091769547277</v>
      </c>
      <c r="BN10" s="112">
        <f t="shared" si="12"/>
        <v>854.16219612650627</v>
      </c>
      <c r="BO10" s="112">
        <f t="shared" si="12"/>
        <v>115.10588331445837</v>
      </c>
      <c r="BP10" s="112">
        <f t="shared" si="12"/>
        <v>240.58383201839061</v>
      </c>
      <c r="BQ10" s="112">
        <f t="shared" si="12"/>
        <v>3503.0733403239387</v>
      </c>
      <c r="BR10" s="112">
        <f t="shared" si="12"/>
        <v>7148.0582631250709</v>
      </c>
      <c r="BS10" s="112">
        <f t="shared" si="12"/>
        <v>8870.3699017843664</v>
      </c>
      <c r="BT10" s="112">
        <f t="shared" si="12"/>
        <v>14693.677228327218</v>
      </c>
      <c r="BU10" s="112">
        <f t="shared" si="12"/>
        <v>10984.821570835797</v>
      </c>
      <c r="BV10" s="112">
        <f t="shared" si="12"/>
        <v>3618.4244518572905</v>
      </c>
      <c r="BW10" s="197">
        <f t="shared" si="12"/>
        <v>404.97915705775659</v>
      </c>
      <c r="BX10" s="112">
        <f t="shared" si="12"/>
        <v>853.75240551697436</v>
      </c>
      <c r="BY10" s="112">
        <f t="shared" si="12"/>
        <v>807.73566821721397</v>
      </c>
      <c r="BZ10" s="112">
        <f t="shared" si="12"/>
        <v>1192.8438313662728</v>
      </c>
      <c r="CA10" s="112">
        <f t="shared" si="12"/>
        <v>145.4059514546102</v>
      </c>
      <c r="CB10" s="112">
        <f t="shared" si="12"/>
        <v>371.44880043022772</v>
      </c>
      <c r="CC10" s="112">
        <f t="shared" si="12"/>
        <v>4879.3342278410837</v>
      </c>
      <c r="CD10" s="112">
        <f t="shared" si="12"/>
        <v>9529.8716244532752</v>
      </c>
      <c r="CE10" s="112">
        <f t="shared" si="12"/>
        <v>13008.755859750681</v>
      </c>
      <c r="CF10" s="112">
        <f t="shared" si="12"/>
        <v>19603.264043803403</v>
      </c>
      <c r="CG10" s="112">
        <f t="shared" si="12"/>
        <v>16087.55731701271</v>
      </c>
      <c r="CH10" s="112">
        <f t="shared" si="12"/>
        <v>5099.0334798155036</v>
      </c>
      <c r="CI10" s="197">
        <f t="shared" si="12"/>
        <v>520.46685735431163</v>
      </c>
      <c r="CJ10" s="112">
        <f t="shared" si="12"/>
        <v>1317.7634287162537</v>
      </c>
      <c r="CK10" s="112">
        <f t="shared" si="12"/>
        <v>1078.9264843546564</v>
      </c>
      <c r="CL10" s="112">
        <f t="shared" si="12"/>
        <v>1605.9340894781024</v>
      </c>
      <c r="CM10" s="112">
        <f t="shared" si="12"/>
        <v>216.42324009138378</v>
      </c>
      <c r="CN10" s="112">
        <f t="shared" si="12"/>
        <v>523.43310904946816</v>
      </c>
      <c r="CO10" s="112">
        <f t="shared" si="12"/>
        <v>6592.0653891414031</v>
      </c>
      <c r="CP10" s="112">
        <f t="shared" si="12"/>
        <v>14095.177715365984</v>
      </c>
      <c r="CQ10" s="112">
        <f t="shared" si="12"/>
        <v>18315.297854025208</v>
      </c>
      <c r="CR10" s="112">
        <f t="shared" ref="CR10:DF10" si="13">+CR36*CR30</f>
        <v>26419.101579716546</v>
      </c>
      <c r="CS10" s="112">
        <f t="shared" si="13"/>
        <v>23693.832808964569</v>
      </c>
      <c r="CT10" s="112">
        <f t="shared" si="13"/>
        <v>7163.5763071531728</v>
      </c>
      <c r="CU10" s="197">
        <f t="shared" si="13"/>
        <v>732.38406415986924</v>
      </c>
      <c r="CV10" s="112">
        <f t="shared" si="13"/>
        <v>1853.5452071263135</v>
      </c>
      <c r="CW10" s="112">
        <f t="shared" si="13"/>
        <v>1512.4426714948886</v>
      </c>
      <c r="CX10" s="112">
        <f t="shared" si="13"/>
        <v>2154.2834118484398</v>
      </c>
      <c r="CY10" s="112">
        <f t="shared" si="13"/>
        <v>318.2218788274763</v>
      </c>
      <c r="CZ10" s="112">
        <f t="shared" si="13"/>
        <v>732.80635266925492</v>
      </c>
      <c r="DA10" s="112">
        <f t="shared" si="13"/>
        <v>8789.4205188551987</v>
      </c>
      <c r="DB10" s="112">
        <f t="shared" si="13"/>
        <v>20630.214656126554</v>
      </c>
      <c r="DC10" s="112">
        <f t="shared" si="13"/>
        <v>24575.852611221431</v>
      </c>
      <c r="DD10" s="112">
        <f t="shared" si="13"/>
        <v>38868.911210780811</v>
      </c>
      <c r="DE10" s="112">
        <f t="shared" si="13"/>
        <v>33318.864850250895</v>
      </c>
      <c r="DF10" s="112">
        <f t="shared" si="13"/>
        <v>9589.007069366533</v>
      </c>
      <c r="DG10" s="112">
        <f t="shared" ref="DG10" si="14">+DG36*DG30</f>
        <v>1077.0943728512955</v>
      </c>
    </row>
    <row r="11" spans="1:114" s="112" customFormat="1" hidden="1" x14ac:dyDescent="0.3">
      <c r="A11"/>
      <c r="B11" s="1" t="s">
        <v>264</v>
      </c>
      <c r="C11" s="587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>
        <v>237.5</v>
      </c>
      <c r="AC11" s="114"/>
      <c r="AD11" s="114"/>
      <c r="AE11" s="114"/>
      <c r="AF11" s="114"/>
      <c r="AG11" s="114"/>
      <c r="AH11" s="114"/>
      <c r="AI11" s="114"/>
      <c r="AJ11" s="197"/>
      <c r="AK11" s="114"/>
      <c r="AL11" s="114"/>
      <c r="AM11" s="197"/>
      <c r="AY11" s="197"/>
      <c r="BK11" s="197"/>
      <c r="BW11" s="197"/>
      <c r="CI11" s="197"/>
      <c r="CU11" s="197"/>
    </row>
    <row r="12" spans="1:114" s="3" customFormat="1" hidden="1" x14ac:dyDescent="0.3">
      <c r="B12" s="4" t="s">
        <v>6</v>
      </c>
      <c r="C12" s="588"/>
      <c r="D12" s="55">
        <f t="shared" ref="D12:J12" si="15">(((D6)+(D7))+(D8))+(D10)</f>
        <v>0</v>
      </c>
      <c r="E12" s="55">
        <f t="shared" si="15"/>
        <v>0</v>
      </c>
      <c r="F12" s="55">
        <f t="shared" si="15"/>
        <v>0</v>
      </c>
      <c r="G12" s="55">
        <f t="shared" si="15"/>
        <v>0</v>
      </c>
      <c r="H12" s="55">
        <f t="shared" si="15"/>
        <v>0</v>
      </c>
      <c r="I12" s="55">
        <f t="shared" si="15"/>
        <v>0</v>
      </c>
      <c r="J12" s="55">
        <f t="shared" si="15"/>
        <v>0</v>
      </c>
      <c r="K12" s="55">
        <f t="shared" ref="K12:Z12" si="16">SUM(K7:K10)</f>
        <v>375</v>
      </c>
      <c r="L12" s="55">
        <f t="shared" si="16"/>
        <v>1075</v>
      </c>
      <c r="M12" s="55">
        <f t="shared" si="16"/>
        <v>3640</v>
      </c>
      <c r="N12" s="55">
        <f t="shared" si="16"/>
        <v>2090</v>
      </c>
      <c r="O12" s="55">
        <f t="shared" si="16"/>
        <v>2032.5</v>
      </c>
      <c r="P12" s="55">
        <f t="shared" si="16"/>
        <v>1510</v>
      </c>
      <c r="Q12" s="55">
        <f t="shared" si="16"/>
        <v>1225</v>
      </c>
      <c r="R12" s="55">
        <f t="shared" si="16"/>
        <v>1177.5</v>
      </c>
      <c r="S12" s="55">
        <f t="shared" si="16"/>
        <v>1919.91</v>
      </c>
      <c r="T12" s="55">
        <f t="shared" si="16"/>
        <v>2446.25</v>
      </c>
      <c r="U12" s="55">
        <f t="shared" si="16"/>
        <v>2038.75</v>
      </c>
      <c r="V12" s="55">
        <f t="shared" si="16"/>
        <v>2785</v>
      </c>
      <c r="W12" s="55">
        <f t="shared" si="16"/>
        <v>7051.66</v>
      </c>
      <c r="X12" s="55">
        <f t="shared" si="16"/>
        <v>8720.84</v>
      </c>
      <c r="Y12" s="55">
        <f t="shared" si="16"/>
        <v>8040</v>
      </c>
      <c r="Z12" s="55">
        <f t="shared" si="16"/>
        <v>4827.5</v>
      </c>
      <c r="AA12" s="55">
        <f t="shared" ref="AA12:BF12" si="17">SUM(AA7:AA11)</f>
        <v>2095</v>
      </c>
      <c r="AB12" s="55">
        <f t="shared" si="17"/>
        <v>2885</v>
      </c>
      <c r="AC12" s="55">
        <f t="shared" si="17"/>
        <v>4357.5</v>
      </c>
      <c r="AD12" s="55">
        <f t="shared" si="17"/>
        <v>3467.5</v>
      </c>
      <c r="AE12" s="55">
        <f t="shared" si="17"/>
        <v>4000</v>
      </c>
      <c r="AF12" s="55">
        <f t="shared" si="17"/>
        <v>5370</v>
      </c>
      <c r="AG12" s="55">
        <f t="shared" si="17"/>
        <v>4296.26</v>
      </c>
      <c r="AH12" s="55">
        <f t="shared" ref="AH12" si="18">SUM(AH7:AH11)</f>
        <v>9031.27</v>
      </c>
      <c r="AI12" s="55">
        <f t="shared" ref="AI12:AJ12" si="19">SUM(AI7:AI11)</f>
        <v>14073.76</v>
      </c>
      <c r="AJ12" s="360">
        <f t="shared" si="19"/>
        <v>9897.5</v>
      </c>
      <c r="AK12" s="65">
        <f t="shared" ref="AK12" si="20">SUM(AK7:AK11)</f>
        <v>12317.914179655192</v>
      </c>
      <c r="AL12" s="65">
        <f t="shared" si="17"/>
        <v>5646.1755380296772</v>
      </c>
      <c r="AM12" s="400">
        <f t="shared" si="17"/>
        <v>5435.6584854427347</v>
      </c>
      <c r="AN12" s="65">
        <f t="shared" si="17"/>
        <v>4526.4605370915597</v>
      </c>
      <c r="AO12" s="65">
        <f t="shared" si="17"/>
        <v>8373.3436432007838</v>
      </c>
      <c r="AP12" s="65">
        <f t="shared" si="17"/>
        <v>5327.1604630231586</v>
      </c>
      <c r="AQ12" s="65">
        <f t="shared" si="17"/>
        <v>7145.2198174773521</v>
      </c>
      <c r="AR12" s="65">
        <f t="shared" si="17"/>
        <v>7990.6818050237662</v>
      </c>
      <c r="AS12" s="65">
        <f>SUM(AS7:AS11)</f>
        <v>4555.9685974507647</v>
      </c>
      <c r="AT12" s="65">
        <f t="shared" si="17"/>
        <v>8551.855787040553</v>
      </c>
      <c r="AU12" s="65">
        <f t="shared" si="17"/>
        <v>12583.509011341048</v>
      </c>
      <c r="AV12" s="65">
        <f t="shared" si="17"/>
        <v>10181.693127235118</v>
      </c>
      <c r="AW12" s="65">
        <f t="shared" si="17"/>
        <v>13717.677154616009</v>
      </c>
      <c r="AX12" s="65">
        <f t="shared" si="17"/>
        <v>6332.0694085100959</v>
      </c>
      <c r="AY12" s="400">
        <f t="shared" si="17"/>
        <v>7434.6934152864733</v>
      </c>
      <c r="AZ12" s="65">
        <f t="shared" si="17"/>
        <v>5486.4883765480672</v>
      </c>
      <c r="BA12" s="65">
        <f t="shared" si="17"/>
        <v>11326.644576816187</v>
      </c>
      <c r="BB12" s="65">
        <f t="shared" si="17"/>
        <v>7737.238954328026</v>
      </c>
      <c r="BC12" s="65">
        <f t="shared" si="17"/>
        <v>9905.4280209412009</v>
      </c>
      <c r="BD12" s="65">
        <f t="shared" si="17"/>
        <v>10776.244658033793</v>
      </c>
      <c r="BE12" s="65">
        <f t="shared" si="17"/>
        <v>6784.3641223263385</v>
      </c>
      <c r="BF12" s="65">
        <f t="shared" si="17"/>
        <v>12636.014793215063</v>
      </c>
      <c r="BG12" s="65">
        <f t="shared" ref="BG12:CL12" si="21">SUM(BG7:BG11)</f>
        <v>17826.637766066473</v>
      </c>
      <c r="BH12" s="65">
        <f t="shared" si="21"/>
        <v>14349.083802568552</v>
      </c>
      <c r="BI12" s="65">
        <f t="shared" si="21"/>
        <v>18530.427418089974</v>
      </c>
      <c r="BJ12" s="65">
        <f t="shared" si="21"/>
        <v>10443.577490200205</v>
      </c>
      <c r="BK12" s="400">
        <f t="shared" si="21"/>
        <v>11646.613523282816</v>
      </c>
      <c r="BL12" s="65">
        <f t="shared" si="21"/>
        <v>7364.2314895708796</v>
      </c>
      <c r="BM12" s="65">
        <f t="shared" si="21"/>
        <v>15857.302407542657</v>
      </c>
      <c r="BN12" s="65">
        <f t="shared" si="21"/>
        <v>11364.194825647604</v>
      </c>
      <c r="BO12" s="65">
        <f t="shared" si="21"/>
        <v>14063.35867637185</v>
      </c>
      <c r="BP12" s="65">
        <f t="shared" si="21"/>
        <v>15135.636553271052</v>
      </c>
      <c r="BQ12" s="65">
        <f t="shared" si="21"/>
        <v>9566.294335300352</v>
      </c>
      <c r="BR12" s="65">
        <f t="shared" si="21"/>
        <v>17263.346215439182</v>
      </c>
      <c r="BS12" s="65">
        <f t="shared" si="21"/>
        <v>26365.447452333603</v>
      </c>
      <c r="BT12" s="65">
        <f t="shared" si="21"/>
        <v>20230.787460255069</v>
      </c>
      <c r="BU12" s="65">
        <f t="shared" si="21"/>
        <v>25018.998258890948</v>
      </c>
      <c r="BV12" s="65">
        <f t="shared" si="21"/>
        <v>15387.924574154224</v>
      </c>
      <c r="BW12" s="400">
        <f t="shared" si="21"/>
        <v>16305.25893259594</v>
      </c>
      <c r="BX12" s="65">
        <f t="shared" si="21"/>
        <v>10439.075812680376</v>
      </c>
      <c r="BY12" s="65">
        <f t="shared" si="21"/>
        <v>23488.450974736905</v>
      </c>
      <c r="BZ12" s="65">
        <f t="shared" si="21"/>
        <v>15870.182217957328</v>
      </c>
      <c r="CA12" s="65">
        <f t="shared" si="21"/>
        <v>17765.34778329996</v>
      </c>
      <c r="CB12" s="65">
        <f t="shared" si="21"/>
        <v>23368.627867855543</v>
      </c>
      <c r="CC12" s="65">
        <f t="shared" si="21"/>
        <v>13324.627505377008</v>
      </c>
      <c r="CD12" s="65">
        <f t="shared" si="21"/>
        <v>23015.687223805733</v>
      </c>
      <c r="CE12" s="65">
        <f t="shared" si="21"/>
        <v>38665.993959451356</v>
      </c>
      <c r="CF12" s="65">
        <f t="shared" si="21"/>
        <v>26990.484562494785</v>
      </c>
      <c r="CG12" s="65">
        <f t="shared" si="21"/>
        <v>36640.974631099525</v>
      </c>
      <c r="CH12" s="65">
        <f t="shared" si="21"/>
        <v>21684.449580870423</v>
      </c>
      <c r="CI12" s="400">
        <f t="shared" si="21"/>
        <v>20955.021331594697</v>
      </c>
      <c r="CJ12" s="65">
        <f t="shared" si="21"/>
        <v>16112.671831614658</v>
      </c>
      <c r="CK12" s="65">
        <f t="shared" si="21"/>
        <v>31374.51127922038</v>
      </c>
      <c r="CL12" s="65">
        <f t="shared" si="21"/>
        <v>21366.138600771315</v>
      </c>
      <c r="CM12" s="65">
        <f t="shared" ref="CM12:DG12" si="22">SUM(CM7:CM11)</f>
        <v>26442.068499598241</v>
      </c>
      <c r="CN12" s="65">
        <f t="shared" si="22"/>
        <v>32930.281441006533</v>
      </c>
      <c r="CO12" s="65">
        <f t="shared" si="22"/>
        <v>18001.803463310145</v>
      </c>
      <c r="CP12" s="65">
        <f t="shared" si="22"/>
        <v>34041.403121149742</v>
      </c>
      <c r="CQ12" s="65">
        <f t="shared" si="22"/>
        <v>54438.656841920587</v>
      </c>
      <c r="CR12" s="65">
        <f t="shared" si="22"/>
        <v>36374.776759063287</v>
      </c>
      <c r="CS12" s="65">
        <f t="shared" si="22"/>
        <v>53965.00598314534</v>
      </c>
      <c r="CT12" s="65">
        <f t="shared" si="22"/>
        <v>30464.245796009458</v>
      </c>
      <c r="CU12" s="400">
        <f t="shared" si="22"/>
        <v>29487.225690803996</v>
      </c>
      <c r="CV12" s="65">
        <f t="shared" si="22"/>
        <v>22663.829483098576</v>
      </c>
      <c r="CW12" s="65">
        <f t="shared" si="22"/>
        <v>43980.892437146336</v>
      </c>
      <c r="CX12" s="65">
        <f t="shared" si="22"/>
        <v>28661.64823604605</v>
      </c>
      <c r="CY12" s="65">
        <f t="shared" si="22"/>
        <v>38879.580189604487</v>
      </c>
      <c r="CZ12" s="65">
        <f t="shared" si="22"/>
        <v>46102.394017409119</v>
      </c>
      <c r="DA12" s="65">
        <f t="shared" si="22"/>
        <v>24002.404617746841</v>
      </c>
      <c r="DB12" s="65">
        <f t="shared" si="22"/>
        <v>49824.235477319125</v>
      </c>
      <c r="DC12" s="65">
        <f t="shared" si="22"/>
        <v>73046.936913770827</v>
      </c>
      <c r="DD12" s="65">
        <f t="shared" si="22"/>
        <v>53516.125970214533</v>
      </c>
      <c r="DE12" s="65">
        <f t="shared" si="22"/>
        <v>75886.951490394014</v>
      </c>
      <c r="DF12" s="65">
        <f t="shared" si="22"/>
        <v>40778.77526189771</v>
      </c>
      <c r="DG12" s="65">
        <f t="shared" si="22"/>
        <v>43365.942019771006</v>
      </c>
    </row>
    <row r="13" spans="1:114" s="112" customFormat="1" hidden="1" x14ac:dyDescent="0.3">
      <c r="B13" s="113" t="s">
        <v>224</v>
      </c>
      <c r="C13" s="589"/>
      <c r="D13" s="114">
        <f>0</f>
        <v>0</v>
      </c>
      <c r="E13" s="114">
        <f>0</f>
        <v>0</v>
      </c>
      <c r="F13" s="114">
        <f>0</f>
        <v>0</v>
      </c>
      <c r="G13" s="114">
        <f>0</f>
        <v>0</v>
      </c>
      <c r="H13" s="114">
        <f>0</f>
        <v>0</v>
      </c>
      <c r="I13" s="114">
        <f>0</f>
        <v>0</v>
      </c>
      <c r="J13" s="114">
        <f>0</f>
        <v>0</v>
      </c>
      <c r="K13" s="114">
        <v>0</v>
      </c>
      <c r="L13" s="114">
        <v>0</v>
      </c>
      <c r="M13" s="114">
        <v>125</v>
      </c>
      <c r="N13" s="114">
        <v>0</v>
      </c>
      <c r="O13" s="114">
        <v>0</v>
      </c>
      <c r="P13" s="114">
        <v>35.99</v>
      </c>
      <c r="Q13" s="114">
        <v>30.75</v>
      </c>
      <c r="R13" s="114">
        <v>29.25</v>
      </c>
      <c r="S13" s="114">
        <v>37.5</v>
      </c>
      <c r="T13" s="114">
        <v>40.68</v>
      </c>
      <c r="U13" s="114">
        <v>4.68</v>
      </c>
      <c r="V13" s="114">
        <v>50.5</v>
      </c>
      <c r="W13" s="114">
        <v>27</v>
      </c>
      <c r="X13" s="114">
        <v>35.25</v>
      </c>
      <c r="Y13" s="114">
        <v>156.37</v>
      </c>
      <c r="Z13" s="114">
        <v>110.62</v>
      </c>
      <c r="AA13" s="114">
        <v>49.5</v>
      </c>
      <c r="AB13" s="114">
        <v>117</v>
      </c>
      <c r="AC13" s="114"/>
      <c r="AD13" s="114">
        <v>12</v>
      </c>
      <c r="AE13" s="114">
        <v>18</v>
      </c>
      <c r="AF13" s="114">
        <v>50.08</v>
      </c>
      <c r="AG13" s="114">
        <v>12</v>
      </c>
      <c r="AH13" s="114">
        <v>29.62</v>
      </c>
      <c r="AI13" s="114">
        <v>37.5</v>
      </c>
      <c r="AJ13" s="197">
        <v>0</v>
      </c>
      <c r="AK13" s="114">
        <f>+AK15*AK12</f>
        <v>46.322051393310794</v>
      </c>
      <c r="AL13" s="114">
        <f t="shared" ref="AL13:CT13" si="23">+AL15*AL12</f>
        <v>21.23268839461797</v>
      </c>
      <c r="AM13" s="197">
        <f t="shared" si="23"/>
        <v>20.44102987298232</v>
      </c>
      <c r="AN13" s="112">
        <f t="shared" si="23"/>
        <v>17.021951490395733</v>
      </c>
      <c r="AO13" s="112">
        <f t="shared" si="23"/>
        <v>31.488322529054702</v>
      </c>
      <c r="AP13" s="112">
        <f t="shared" si="23"/>
        <v>20.033018346250536</v>
      </c>
      <c r="AQ13" s="112">
        <f t="shared" si="23"/>
        <v>26.86990952967929</v>
      </c>
      <c r="AR13" s="112">
        <f t="shared" si="23"/>
        <v>30.049306062811489</v>
      </c>
      <c r="AS13" s="112">
        <f t="shared" si="23"/>
        <v>17.132917833279791</v>
      </c>
      <c r="AT13" s="112">
        <f t="shared" si="23"/>
        <v>32.159625200974062</v>
      </c>
      <c r="AU13" s="112">
        <f t="shared" si="23"/>
        <v>47.320832295963129</v>
      </c>
      <c r="AV13" s="112">
        <f t="shared" si="23"/>
        <v>38.288699322948737</v>
      </c>
      <c r="AW13" s="112">
        <f t="shared" si="23"/>
        <v>51.585920869823383</v>
      </c>
      <c r="AX13" s="112">
        <f t="shared" si="23"/>
        <v>23.812022091489059</v>
      </c>
      <c r="AY13" s="197">
        <f t="shared" si="23"/>
        <v>27.958487569690934</v>
      </c>
      <c r="AZ13" s="112">
        <f t="shared" si="23"/>
        <v>20.632177886660354</v>
      </c>
      <c r="BA13" s="112">
        <f t="shared" si="23"/>
        <v>42.594338988626667</v>
      </c>
      <c r="BB13" s="112">
        <f t="shared" si="23"/>
        <v>29.096223212584658</v>
      </c>
      <c r="BC13" s="112">
        <f t="shared" si="23"/>
        <v>37.249792389089627</v>
      </c>
      <c r="BD13" s="112">
        <f t="shared" si="23"/>
        <v>40.524536183309039</v>
      </c>
      <c r="BE13" s="112">
        <f t="shared" si="23"/>
        <v>25.512896011598254</v>
      </c>
      <c r="BF13" s="112">
        <f t="shared" si="23"/>
        <v>47.518282569681645</v>
      </c>
      <c r="BG13" s="112">
        <f t="shared" si="23"/>
        <v>67.037845752614388</v>
      </c>
      <c r="BH13" s="112">
        <f t="shared" si="23"/>
        <v>53.960352999318424</v>
      </c>
      <c r="BI13" s="112">
        <f t="shared" si="23"/>
        <v>69.684477313415329</v>
      </c>
      <c r="BJ13" s="112">
        <f t="shared" si="23"/>
        <v>39.273526846784662</v>
      </c>
      <c r="BK13" s="197">
        <f t="shared" si="23"/>
        <v>43.797596112058393</v>
      </c>
      <c r="BL13" s="112">
        <f t="shared" si="23"/>
        <v>27.693512436996777</v>
      </c>
      <c r="BM13" s="112">
        <f t="shared" si="23"/>
        <v>59.632074584077316</v>
      </c>
      <c r="BN13" s="112">
        <f t="shared" si="23"/>
        <v>42.73554833063308</v>
      </c>
      <c r="BO13" s="112">
        <f t="shared" si="23"/>
        <v>52.885871249648176</v>
      </c>
      <c r="BP13" s="112">
        <f t="shared" si="23"/>
        <v>56.918218788135846</v>
      </c>
      <c r="BQ13" s="112">
        <f t="shared" si="23"/>
        <v>35.974465431429493</v>
      </c>
      <c r="BR13" s="112">
        <f t="shared" si="23"/>
        <v>64.919563405699591</v>
      </c>
      <c r="BS13" s="112">
        <f t="shared" si="23"/>
        <v>99.148410524875047</v>
      </c>
      <c r="BT13" s="112">
        <f t="shared" si="23"/>
        <v>76.078755119831129</v>
      </c>
      <c r="BU13" s="112">
        <f t="shared" si="23"/>
        <v>94.085029839844296</v>
      </c>
      <c r="BV13" s="112">
        <f t="shared" si="23"/>
        <v>57.866958850683851</v>
      </c>
      <c r="BW13" s="197">
        <f t="shared" si="23"/>
        <v>61.316634556881738</v>
      </c>
      <c r="BX13" s="112">
        <f t="shared" si="23"/>
        <v>39.256598092907318</v>
      </c>
      <c r="BY13" s="112">
        <f t="shared" si="23"/>
        <v>88.32934028701608</v>
      </c>
      <c r="BZ13" s="112">
        <f t="shared" si="23"/>
        <v>59.680509670672571</v>
      </c>
      <c r="CA13" s="112">
        <f t="shared" si="23"/>
        <v>66.807362109832184</v>
      </c>
      <c r="CB13" s="112">
        <f t="shared" si="23"/>
        <v>87.878740288176019</v>
      </c>
      <c r="CC13" s="112">
        <f t="shared" si="23"/>
        <v>50.107840588809331</v>
      </c>
      <c r="CD13" s="112">
        <f t="shared" si="23"/>
        <v>86.551491663610491</v>
      </c>
      <c r="CE13" s="112">
        <f t="shared" si="23"/>
        <v>145.40515003111406</v>
      </c>
      <c r="CF13" s="112">
        <f t="shared" si="23"/>
        <v>101.49888973079716</v>
      </c>
      <c r="CG13" s="112">
        <f t="shared" si="23"/>
        <v>137.78997687498909</v>
      </c>
      <c r="CH13" s="112">
        <f t="shared" si="23"/>
        <v>81.545314675090069</v>
      </c>
      <c r="CI13" s="197">
        <f t="shared" si="23"/>
        <v>78.802268055517928</v>
      </c>
      <c r="CJ13" s="112">
        <f t="shared" si="23"/>
        <v>60.592402397180699</v>
      </c>
      <c r="CK13" s="112">
        <f t="shared" si="23"/>
        <v>117.98521265202855</v>
      </c>
      <c r="CL13" s="112">
        <f t="shared" si="23"/>
        <v>80.34829240620958</v>
      </c>
      <c r="CM13" s="112">
        <f t="shared" si="23"/>
        <v>99.436547301721887</v>
      </c>
      <c r="CN13" s="112">
        <f t="shared" si="23"/>
        <v>123.83575393193662</v>
      </c>
      <c r="CO13" s="112">
        <f t="shared" si="23"/>
        <v>67.69656396673119</v>
      </c>
      <c r="CP13" s="112">
        <f t="shared" si="23"/>
        <v>128.01417527999445</v>
      </c>
      <c r="CQ13" s="112">
        <f t="shared" si="23"/>
        <v>204.71893400420205</v>
      </c>
      <c r="CR13" s="112">
        <f t="shared" si="23"/>
        <v>136.7889282129016</v>
      </c>
      <c r="CS13" s="112">
        <f t="shared" si="23"/>
        <v>202.93774937321066</v>
      </c>
      <c r="CT13" s="112">
        <f t="shared" si="23"/>
        <v>114.56211975822553</v>
      </c>
      <c r="CU13" s="197">
        <f t="shared" ref="CU13:DG13" si="24">+CU15*CU12</f>
        <v>110.88799320842583</v>
      </c>
      <c r="CV13" s="112">
        <f t="shared" si="24"/>
        <v>85.228315344109021</v>
      </c>
      <c r="CW13" s="112">
        <f t="shared" si="24"/>
        <v>165.39205664884696</v>
      </c>
      <c r="CX13" s="112">
        <f t="shared" si="24"/>
        <v>107.78337332467805</v>
      </c>
      <c r="CY13" s="112">
        <f t="shared" si="24"/>
        <v>146.20835032832005</v>
      </c>
      <c r="CZ13" s="112">
        <f t="shared" si="24"/>
        <v>173.37005550471116</v>
      </c>
      <c r="DA13" s="112">
        <f t="shared" si="24"/>
        <v>90.262085288974845</v>
      </c>
      <c r="DB13" s="112">
        <f t="shared" si="24"/>
        <v>187.366202000719</v>
      </c>
      <c r="DC13" s="112">
        <f t="shared" si="24"/>
        <v>274.69617960419509</v>
      </c>
      <c r="DD13" s="112">
        <f t="shared" si="24"/>
        <v>201.2497165841242</v>
      </c>
      <c r="DE13" s="112">
        <f t="shared" si="24"/>
        <v>285.37617779685775</v>
      </c>
      <c r="DF13" s="112">
        <f t="shared" si="24"/>
        <v>153.35035590341911</v>
      </c>
      <c r="DG13" s="112">
        <f t="shared" si="24"/>
        <v>163.07950888933698</v>
      </c>
    </row>
    <row r="14" spans="1:114" s="3" customFormat="1" x14ac:dyDescent="0.3">
      <c r="B14" s="4" t="s">
        <v>7</v>
      </c>
      <c r="C14" s="596" t="s">
        <v>352</v>
      </c>
      <c r="D14" s="55">
        <f t="shared" ref="D14:J14" si="25">(D12)+(D13)</f>
        <v>0</v>
      </c>
      <c r="E14" s="55">
        <f t="shared" si="25"/>
        <v>0</v>
      </c>
      <c r="F14" s="55">
        <f t="shared" si="25"/>
        <v>0</v>
      </c>
      <c r="G14" s="55">
        <f t="shared" si="25"/>
        <v>0</v>
      </c>
      <c r="H14" s="55">
        <f t="shared" si="25"/>
        <v>0</v>
      </c>
      <c r="I14" s="55">
        <f t="shared" si="25"/>
        <v>0</v>
      </c>
      <c r="J14" s="55">
        <f t="shared" si="25"/>
        <v>0</v>
      </c>
      <c r="K14" s="55">
        <f>K13+K12</f>
        <v>375</v>
      </c>
      <c r="L14" s="55">
        <f>L13+L12</f>
        <v>1075</v>
      </c>
      <c r="M14" s="55">
        <f>M13+M12</f>
        <v>3765</v>
      </c>
      <c r="N14" s="55">
        <f t="shared" ref="N14:AR14" si="26">N13+N12</f>
        <v>2090</v>
      </c>
      <c r="O14" s="55">
        <f t="shared" si="26"/>
        <v>2032.5</v>
      </c>
      <c r="P14" s="55">
        <f>P13+P12</f>
        <v>1545.99</v>
      </c>
      <c r="Q14" s="55">
        <f t="shared" ref="Q14:V14" si="27">Q13+Q12</f>
        <v>1255.75</v>
      </c>
      <c r="R14" s="55">
        <f t="shared" si="27"/>
        <v>1206.75</v>
      </c>
      <c r="S14" s="55">
        <f t="shared" si="27"/>
        <v>1957.41</v>
      </c>
      <c r="T14" s="55">
        <f t="shared" si="27"/>
        <v>2486.9299999999998</v>
      </c>
      <c r="U14" s="55">
        <f t="shared" si="27"/>
        <v>2043.43</v>
      </c>
      <c r="V14" s="55">
        <f t="shared" si="27"/>
        <v>2835.5</v>
      </c>
      <c r="W14" s="55">
        <f>W13+W12</f>
        <v>7078.66</v>
      </c>
      <c r="X14" s="55">
        <f>X13+X12</f>
        <v>8756.09</v>
      </c>
      <c r="Y14" s="55">
        <f>Y13+Y12</f>
        <v>8196.3700000000008</v>
      </c>
      <c r="Z14" s="55">
        <f>Z13+Z12</f>
        <v>4938.12</v>
      </c>
      <c r="AA14" s="55">
        <f>AA13+AA12</f>
        <v>2144.5</v>
      </c>
      <c r="AB14" s="55">
        <f t="shared" ref="AB14" si="28">AB13+AB12</f>
        <v>3002</v>
      </c>
      <c r="AC14" s="55">
        <f t="shared" ref="AC14:AD14" si="29">AC13+AC12</f>
        <v>4357.5</v>
      </c>
      <c r="AD14" s="55">
        <f t="shared" si="29"/>
        <v>3479.5</v>
      </c>
      <c r="AE14" s="55">
        <f t="shared" ref="AE14" si="30">AE13+AE12</f>
        <v>4018</v>
      </c>
      <c r="AF14" s="55">
        <f t="shared" ref="AF14:AG14" si="31">AF13+AF12</f>
        <v>5420.08</v>
      </c>
      <c r="AG14" s="55">
        <f t="shared" si="31"/>
        <v>4308.26</v>
      </c>
      <c r="AH14" s="55">
        <f t="shared" ref="AH14" si="32">AH13+AH12</f>
        <v>9060.8900000000012</v>
      </c>
      <c r="AI14" s="55">
        <f t="shared" ref="AI14:AJ14" si="33">AI13+AI12</f>
        <v>14111.26</v>
      </c>
      <c r="AJ14" s="360">
        <f t="shared" si="33"/>
        <v>9897.5</v>
      </c>
      <c r="AK14" s="55">
        <f t="shared" ref="AK14" si="34">AK13+AK12</f>
        <v>12364.236231048502</v>
      </c>
      <c r="AL14" s="55">
        <f t="shared" si="26"/>
        <v>5667.4082264242952</v>
      </c>
      <c r="AM14" s="360">
        <f t="shared" si="26"/>
        <v>5456.0995153157173</v>
      </c>
      <c r="AN14" s="55">
        <f t="shared" si="26"/>
        <v>4543.4824885819553</v>
      </c>
      <c r="AO14" s="55">
        <f t="shared" si="26"/>
        <v>8404.831965729838</v>
      </c>
      <c r="AP14" s="55">
        <f t="shared" si="26"/>
        <v>5347.1934813694088</v>
      </c>
      <c r="AQ14" s="55">
        <f t="shared" si="26"/>
        <v>7172.0897270070318</v>
      </c>
      <c r="AR14" s="55">
        <f t="shared" si="26"/>
        <v>8020.7311110865776</v>
      </c>
      <c r="AS14" s="55">
        <f>AS13+AS12</f>
        <v>4573.1015152840446</v>
      </c>
      <c r="AT14" s="55">
        <f t="shared" ref="AT14:BY14" si="35">AT13+AT12</f>
        <v>8584.0154122415279</v>
      </c>
      <c r="AU14" s="55">
        <f t="shared" si="35"/>
        <v>12630.829843637011</v>
      </c>
      <c r="AV14" s="55">
        <f t="shared" si="35"/>
        <v>10219.981826558067</v>
      </c>
      <c r="AW14" s="55">
        <f t="shared" si="35"/>
        <v>13769.263075485833</v>
      </c>
      <c r="AX14" s="55">
        <f t="shared" si="35"/>
        <v>6355.8814306015847</v>
      </c>
      <c r="AY14" s="360">
        <f t="shared" si="35"/>
        <v>7462.6519028561643</v>
      </c>
      <c r="AZ14" s="55">
        <f t="shared" si="35"/>
        <v>5507.1205544347276</v>
      </c>
      <c r="BA14" s="55">
        <f t="shared" si="35"/>
        <v>11369.238915804814</v>
      </c>
      <c r="BB14" s="55">
        <f t="shared" si="35"/>
        <v>7766.3351775406109</v>
      </c>
      <c r="BC14" s="55">
        <f t="shared" si="35"/>
        <v>9942.6778133302905</v>
      </c>
      <c r="BD14" s="55">
        <f t="shared" si="35"/>
        <v>10816.769194217102</v>
      </c>
      <c r="BE14" s="55">
        <f t="shared" si="35"/>
        <v>6809.8770183379365</v>
      </c>
      <c r="BF14" s="55">
        <f t="shared" si="35"/>
        <v>12683.533075784744</v>
      </c>
      <c r="BG14" s="55">
        <f t="shared" si="35"/>
        <v>17893.675611819086</v>
      </c>
      <c r="BH14" s="55">
        <f t="shared" si="35"/>
        <v>14403.04415556787</v>
      </c>
      <c r="BI14" s="55">
        <f t="shared" si="35"/>
        <v>18600.111895403388</v>
      </c>
      <c r="BJ14" s="55">
        <f t="shared" si="35"/>
        <v>10482.851017046989</v>
      </c>
      <c r="BK14" s="360">
        <f t="shared" si="35"/>
        <v>11690.411119394876</v>
      </c>
      <c r="BL14" s="55">
        <f t="shared" si="35"/>
        <v>7391.9250020078762</v>
      </c>
      <c r="BM14" s="55">
        <f t="shared" si="35"/>
        <v>15916.934482126733</v>
      </c>
      <c r="BN14" s="55">
        <f t="shared" si="35"/>
        <v>11406.930373978237</v>
      </c>
      <c r="BO14" s="55">
        <f t="shared" si="35"/>
        <v>14116.244547621498</v>
      </c>
      <c r="BP14" s="55">
        <f t="shared" si="35"/>
        <v>15192.554772059188</v>
      </c>
      <c r="BQ14" s="55">
        <f t="shared" si="35"/>
        <v>9602.2688007317811</v>
      </c>
      <c r="BR14" s="55">
        <f t="shared" si="35"/>
        <v>17328.265778844881</v>
      </c>
      <c r="BS14" s="55">
        <f t="shared" si="35"/>
        <v>26464.595862858478</v>
      </c>
      <c r="BT14" s="55">
        <f t="shared" si="35"/>
        <v>20306.866215374899</v>
      </c>
      <c r="BU14" s="55">
        <f t="shared" si="35"/>
        <v>25113.083288730792</v>
      </c>
      <c r="BV14" s="55">
        <f t="shared" si="35"/>
        <v>15445.791533004907</v>
      </c>
      <c r="BW14" s="360">
        <f t="shared" si="35"/>
        <v>16366.575567152822</v>
      </c>
      <c r="BX14" s="55">
        <f t="shared" si="35"/>
        <v>10478.332410773282</v>
      </c>
      <c r="BY14" s="55">
        <f t="shared" si="35"/>
        <v>23576.78031502392</v>
      </c>
      <c r="BZ14" s="55">
        <f t="shared" ref="BZ14:DE14" si="36">BZ13+BZ12</f>
        <v>15929.862727628</v>
      </c>
      <c r="CA14" s="55">
        <f t="shared" si="36"/>
        <v>17832.155145409793</v>
      </c>
      <c r="CB14" s="55">
        <f t="shared" si="36"/>
        <v>23456.506608143718</v>
      </c>
      <c r="CC14" s="55">
        <f t="shared" si="36"/>
        <v>13374.735345965817</v>
      </c>
      <c r="CD14" s="55">
        <f t="shared" si="36"/>
        <v>23102.238715469342</v>
      </c>
      <c r="CE14" s="55">
        <f t="shared" si="36"/>
        <v>38811.399109482467</v>
      </c>
      <c r="CF14" s="55">
        <f t="shared" si="36"/>
        <v>27091.983452225581</v>
      </c>
      <c r="CG14" s="55">
        <f t="shared" si="36"/>
        <v>36778.764607974517</v>
      </c>
      <c r="CH14" s="55">
        <f t="shared" si="36"/>
        <v>21765.994895545515</v>
      </c>
      <c r="CI14" s="360">
        <f t="shared" si="36"/>
        <v>21033.823599650215</v>
      </c>
      <c r="CJ14" s="55">
        <f t="shared" si="36"/>
        <v>16173.264234011838</v>
      </c>
      <c r="CK14" s="55">
        <f t="shared" si="36"/>
        <v>31492.496491872407</v>
      </c>
      <c r="CL14" s="55">
        <f t="shared" si="36"/>
        <v>21446.486893177524</v>
      </c>
      <c r="CM14" s="55">
        <f t="shared" si="36"/>
        <v>26541.505046899962</v>
      </c>
      <c r="CN14" s="55">
        <f t="shared" si="36"/>
        <v>33054.117194938466</v>
      </c>
      <c r="CO14" s="55">
        <f t="shared" si="36"/>
        <v>18069.500027276878</v>
      </c>
      <c r="CP14" s="55">
        <f t="shared" si="36"/>
        <v>34169.41729642974</v>
      </c>
      <c r="CQ14" s="55">
        <f t="shared" si="36"/>
        <v>54643.375775924789</v>
      </c>
      <c r="CR14" s="55">
        <f t="shared" si="36"/>
        <v>36511.56568727619</v>
      </c>
      <c r="CS14" s="55">
        <f t="shared" si="36"/>
        <v>54167.94373251855</v>
      </c>
      <c r="CT14" s="55">
        <f t="shared" si="36"/>
        <v>30578.807915767684</v>
      </c>
      <c r="CU14" s="360">
        <f t="shared" si="36"/>
        <v>29598.113684012424</v>
      </c>
      <c r="CV14" s="55">
        <f t="shared" si="36"/>
        <v>22749.057798442685</v>
      </c>
      <c r="CW14" s="55">
        <f t="shared" si="36"/>
        <v>44146.284493795181</v>
      </c>
      <c r="CX14" s="55">
        <f t="shared" si="36"/>
        <v>28769.431609370728</v>
      </c>
      <c r="CY14" s="55">
        <f t="shared" si="36"/>
        <v>39025.788539932808</v>
      </c>
      <c r="CZ14" s="55">
        <f t="shared" si="36"/>
        <v>46275.764072913829</v>
      </c>
      <c r="DA14" s="55">
        <f t="shared" si="36"/>
        <v>24092.666703035815</v>
      </c>
      <c r="DB14" s="55">
        <f t="shared" si="36"/>
        <v>50011.601679319843</v>
      </c>
      <c r="DC14" s="55">
        <f t="shared" si="36"/>
        <v>73321.633093375029</v>
      </c>
      <c r="DD14" s="55">
        <f t="shared" si="36"/>
        <v>53717.375686798659</v>
      </c>
      <c r="DE14" s="55">
        <f t="shared" si="36"/>
        <v>76172.327668190876</v>
      </c>
      <c r="DF14" s="55">
        <f>DF13+DF12</f>
        <v>40932.125617801132</v>
      </c>
      <c r="DG14" s="55">
        <f>DG13+DG12</f>
        <v>43529.021528660342</v>
      </c>
    </row>
    <row r="15" spans="1:114" s="433" customFormat="1" x14ac:dyDescent="0.3">
      <c r="B15" s="434"/>
      <c r="C15" s="597" t="s">
        <v>300</v>
      </c>
      <c r="D15" s="435"/>
      <c r="E15" s="435"/>
      <c r="F15" s="435"/>
      <c r="G15" s="435"/>
      <c r="H15" s="435"/>
      <c r="I15" s="435"/>
      <c r="J15" s="435"/>
      <c r="K15" s="436">
        <f t="shared" ref="K15:AA15" si="37">+K13/K12</f>
        <v>0</v>
      </c>
      <c r="L15" s="436">
        <f t="shared" si="37"/>
        <v>0</v>
      </c>
      <c r="M15" s="436">
        <f t="shared" si="37"/>
        <v>3.4340659340659344E-2</v>
      </c>
      <c r="N15" s="436">
        <f t="shared" si="37"/>
        <v>0</v>
      </c>
      <c r="O15" s="436">
        <f t="shared" si="37"/>
        <v>0</v>
      </c>
      <c r="P15" s="436">
        <f t="shared" si="37"/>
        <v>2.3834437086092716E-2</v>
      </c>
      <c r="Q15" s="436">
        <f t="shared" si="37"/>
        <v>2.510204081632653E-2</v>
      </c>
      <c r="R15" s="436">
        <f t="shared" si="37"/>
        <v>2.4840764331210193E-2</v>
      </c>
      <c r="S15" s="436">
        <f t="shared" si="37"/>
        <v>1.9532165570261106E-2</v>
      </c>
      <c r="T15" s="436">
        <f t="shared" si="37"/>
        <v>1.6629535002554929E-2</v>
      </c>
      <c r="U15" s="436">
        <f t="shared" si="37"/>
        <v>2.2955242182709991E-3</v>
      </c>
      <c r="V15" s="436">
        <f t="shared" si="37"/>
        <v>1.8132854578096949E-2</v>
      </c>
      <c r="W15" s="436">
        <f t="shared" si="37"/>
        <v>3.8288856808184175E-3</v>
      </c>
      <c r="X15" s="436">
        <f t="shared" si="37"/>
        <v>4.0420418216593817E-3</v>
      </c>
      <c r="Y15" s="436">
        <f t="shared" si="37"/>
        <v>1.9449004975124379E-2</v>
      </c>
      <c r="Z15" s="436">
        <f t="shared" si="37"/>
        <v>2.2914552045572242E-2</v>
      </c>
      <c r="AA15" s="436">
        <f t="shared" si="37"/>
        <v>2.3627684964200476E-2</v>
      </c>
      <c r="AB15" s="436">
        <f>+AB13/AB12</f>
        <v>4.0554592720970541E-2</v>
      </c>
      <c r="AC15" s="436">
        <f t="shared" ref="AC15:AG15" si="38">+AC13/AC12</f>
        <v>0</v>
      </c>
      <c r="AD15" s="436">
        <f t="shared" si="38"/>
        <v>3.4607065609228551E-3</v>
      </c>
      <c r="AE15" s="436">
        <f t="shared" si="38"/>
        <v>4.4999999999999997E-3</v>
      </c>
      <c r="AF15" s="436">
        <f t="shared" si="38"/>
        <v>9.3258845437616377E-3</v>
      </c>
      <c r="AG15" s="436">
        <f t="shared" si="38"/>
        <v>2.7931270453836589E-3</v>
      </c>
      <c r="AH15" s="436">
        <f t="shared" ref="AH15" si="39">+AH13/AH12</f>
        <v>3.2797159203522869E-3</v>
      </c>
      <c r="AI15" s="436">
        <f t="shared" ref="AI15:AJ15" si="40">+AI13/AI12</f>
        <v>2.6645331453712439E-3</v>
      </c>
      <c r="AJ15" s="437">
        <f t="shared" si="40"/>
        <v>0</v>
      </c>
      <c r="AK15" s="446">
        <f>+AVERAGE(AE15:AJ15)</f>
        <v>3.7605434424781373E-3</v>
      </c>
      <c r="AL15" s="436">
        <f t="shared" ref="AL15:CU15" si="41">+AK15</f>
        <v>3.7605434424781373E-3</v>
      </c>
      <c r="AM15" s="437">
        <f t="shared" si="41"/>
        <v>3.7605434424781373E-3</v>
      </c>
      <c r="AN15" s="436">
        <f t="shared" si="41"/>
        <v>3.7605434424781373E-3</v>
      </c>
      <c r="AO15" s="436">
        <f t="shared" si="41"/>
        <v>3.7605434424781373E-3</v>
      </c>
      <c r="AP15" s="436">
        <f t="shared" si="41"/>
        <v>3.7605434424781373E-3</v>
      </c>
      <c r="AQ15" s="436">
        <f t="shared" si="41"/>
        <v>3.7605434424781373E-3</v>
      </c>
      <c r="AR15" s="436">
        <f t="shared" si="41"/>
        <v>3.7605434424781373E-3</v>
      </c>
      <c r="AS15" s="436">
        <f t="shared" si="41"/>
        <v>3.7605434424781373E-3</v>
      </c>
      <c r="AT15" s="436">
        <f t="shared" si="41"/>
        <v>3.7605434424781373E-3</v>
      </c>
      <c r="AU15" s="436">
        <f t="shared" si="41"/>
        <v>3.7605434424781373E-3</v>
      </c>
      <c r="AV15" s="436">
        <f t="shared" si="41"/>
        <v>3.7605434424781373E-3</v>
      </c>
      <c r="AW15" s="436">
        <f t="shared" si="41"/>
        <v>3.7605434424781373E-3</v>
      </c>
      <c r="AX15" s="436">
        <f t="shared" si="41"/>
        <v>3.7605434424781373E-3</v>
      </c>
      <c r="AY15" s="437">
        <f t="shared" si="41"/>
        <v>3.7605434424781373E-3</v>
      </c>
      <c r="AZ15" s="436">
        <f t="shared" si="41"/>
        <v>3.7605434424781373E-3</v>
      </c>
      <c r="BA15" s="436">
        <f t="shared" si="41"/>
        <v>3.7605434424781373E-3</v>
      </c>
      <c r="BB15" s="436">
        <f t="shared" si="41"/>
        <v>3.7605434424781373E-3</v>
      </c>
      <c r="BC15" s="436">
        <f t="shared" si="41"/>
        <v>3.7605434424781373E-3</v>
      </c>
      <c r="BD15" s="436">
        <f t="shared" si="41"/>
        <v>3.7605434424781373E-3</v>
      </c>
      <c r="BE15" s="436">
        <f t="shared" si="41"/>
        <v>3.7605434424781373E-3</v>
      </c>
      <c r="BF15" s="436">
        <f t="shared" si="41"/>
        <v>3.7605434424781373E-3</v>
      </c>
      <c r="BG15" s="436">
        <f t="shared" si="41"/>
        <v>3.7605434424781373E-3</v>
      </c>
      <c r="BH15" s="436">
        <f t="shared" si="41"/>
        <v>3.7605434424781373E-3</v>
      </c>
      <c r="BI15" s="436">
        <f t="shared" si="41"/>
        <v>3.7605434424781373E-3</v>
      </c>
      <c r="BJ15" s="436">
        <f t="shared" si="41"/>
        <v>3.7605434424781373E-3</v>
      </c>
      <c r="BK15" s="437">
        <f t="shared" si="41"/>
        <v>3.7605434424781373E-3</v>
      </c>
      <c r="BL15" s="436">
        <f t="shared" si="41"/>
        <v>3.7605434424781373E-3</v>
      </c>
      <c r="BM15" s="436">
        <f t="shared" si="41"/>
        <v>3.7605434424781373E-3</v>
      </c>
      <c r="BN15" s="436">
        <f t="shared" si="41"/>
        <v>3.7605434424781373E-3</v>
      </c>
      <c r="BO15" s="436">
        <f t="shared" si="41"/>
        <v>3.7605434424781373E-3</v>
      </c>
      <c r="BP15" s="436">
        <f t="shared" si="41"/>
        <v>3.7605434424781373E-3</v>
      </c>
      <c r="BQ15" s="436">
        <f t="shared" si="41"/>
        <v>3.7605434424781373E-3</v>
      </c>
      <c r="BR15" s="436">
        <f t="shared" si="41"/>
        <v>3.7605434424781373E-3</v>
      </c>
      <c r="BS15" s="436">
        <f t="shared" si="41"/>
        <v>3.7605434424781373E-3</v>
      </c>
      <c r="BT15" s="436">
        <f t="shared" si="41"/>
        <v>3.7605434424781373E-3</v>
      </c>
      <c r="BU15" s="436">
        <f t="shared" si="41"/>
        <v>3.7605434424781373E-3</v>
      </c>
      <c r="BV15" s="436">
        <f t="shared" si="41"/>
        <v>3.7605434424781373E-3</v>
      </c>
      <c r="BW15" s="437">
        <f t="shared" si="41"/>
        <v>3.7605434424781373E-3</v>
      </c>
      <c r="BX15" s="436">
        <f t="shared" si="41"/>
        <v>3.7605434424781373E-3</v>
      </c>
      <c r="BY15" s="436">
        <f t="shared" si="41"/>
        <v>3.7605434424781373E-3</v>
      </c>
      <c r="BZ15" s="436">
        <f t="shared" si="41"/>
        <v>3.7605434424781373E-3</v>
      </c>
      <c r="CA15" s="436">
        <f t="shared" si="41"/>
        <v>3.7605434424781373E-3</v>
      </c>
      <c r="CB15" s="436">
        <f t="shared" si="41"/>
        <v>3.7605434424781373E-3</v>
      </c>
      <c r="CC15" s="436">
        <f t="shared" si="41"/>
        <v>3.7605434424781373E-3</v>
      </c>
      <c r="CD15" s="436">
        <f t="shared" si="41"/>
        <v>3.7605434424781373E-3</v>
      </c>
      <c r="CE15" s="436">
        <f t="shared" si="41"/>
        <v>3.7605434424781373E-3</v>
      </c>
      <c r="CF15" s="436">
        <f t="shared" si="41"/>
        <v>3.7605434424781373E-3</v>
      </c>
      <c r="CG15" s="436">
        <f t="shared" si="41"/>
        <v>3.7605434424781373E-3</v>
      </c>
      <c r="CH15" s="436">
        <f t="shared" si="41"/>
        <v>3.7605434424781373E-3</v>
      </c>
      <c r="CI15" s="437">
        <f t="shared" si="41"/>
        <v>3.7605434424781373E-3</v>
      </c>
      <c r="CJ15" s="436">
        <f t="shared" si="41"/>
        <v>3.7605434424781373E-3</v>
      </c>
      <c r="CK15" s="436">
        <f t="shared" si="41"/>
        <v>3.7605434424781373E-3</v>
      </c>
      <c r="CL15" s="436">
        <f t="shared" si="41"/>
        <v>3.7605434424781373E-3</v>
      </c>
      <c r="CM15" s="436">
        <f t="shared" si="41"/>
        <v>3.7605434424781373E-3</v>
      </c>
      <c r="CN15" s="436">
        <f t="shared" si="41"/>
        <v>3.7605434424781373E-3</v>
      </c>
      <c r="CO15" s="436">
        <f t="shared" si="41"/>
        <v>3.7605434424781373E-3</v>
      </c>
      <c r="CP15" s="436">
        <f t="shared" si="41"/>
        <v>3.7605434424781373E-3</v>
      </c>
      <c r="CQ15" s="436">
        <f t="shared" si="41"/>
        <v>3.7605434424781373E-3</v>
      </c>
      <c r="CR15" s="436">
        <f t="shared" si="41"/>
        <v>3.7605434424781373E-3</v>
      </c>
      <c r="CS15" s="436">
        <f t="shared" si="41"/>
        <v>3.7605434424781373E-3</v>
      </c>
      <c r="CT15" s="436">
        <f t="shared" si="41"/>
        <v>3.7605434424781373E-3</v>
      </c>
      <c r="CU15" s="437">
        <f t="shared" si="41"/>
        <v>3.7605434424781373E-3</v>
      </c>
      <c r="CV15" s="436">
        <f t="shared" ref="CV15:DG15" si="42">+CU15</f>
        <v>3.7605434424781373E-3</v>
      </c>
      <c r="CW15" s="436">
        <f t="shared" si="42"/>
        <v>3.7605434424781373E-3</v>
      </c>
      <c r="CX15" s="436">
        <f t="shared" si="42"/>
        <v>3.7605434424781373E-3</v>
      </c>
      <c r="CY15" s="436">
        <f t="shared" si="42"/>
        <v>3.7605434424781373E-3</v>
      </c>
      <c r="CZ15" s="436">
        <f t="shared" si="42"/>
        <v>3.7605434424781373E-3</v>
      </c>
      <c r="DA15" s="436">
        <f t="shared" si="42"/>
        <v>3.7605434424781373E-3</v>
      </c>
      <c r="DB15" s="436">
        <f t="shared" si="42"/>
        <v>3.7605434424781373E-3</v>
      </c>
      <c r="DC15" s="436">
        <f t="shared" si="42"/>
        <v>3.7605434424781373E-3</v>
      </c>
      <c r="DD15" s="436">
        <f t="shared" si="42"/>
        <v>3.7605434424781373E-3</v>
      </c>
      <c r="DE15" s="436">
        <f t="shared" si="42"/>
        <v>3.7605434424781373E-3</v>
      </c>
      <c r="DF15" s="436">
        <f t="shared" si="42"/>
        <v>3.7605434424781373E-3</v>
      </c>
      <c r="DG15" s="436">
        <f t="shared" si="42"/>
        <v>3.7605434424781373E-3</v>
      </c>
    </row>
    <row r="16" spans="1:114" ht="4.2" customHeight="1" x14ac:dyDescent="0.3">
      <c r="B16" s="1"/>
      <c r="C16" s="590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361"/>
      <c r="AK16" s="57"/>
      <c r="AL16" s="57"/>
      <c r="AM16" s="361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361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361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361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361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361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</row>
    <row r="17" spans="1:111" s="3" customFormat="1" x14ac:dyDescent="0.3">
      <c r="A17" s="144"/>
      <c r="B17" s="144"/>
      <c r="C17" s="591" t="s">
        <v>66</v>
      </c>
      <c r="D17" s="145"/>
      <c r="E17" s="146">
        <v>12</v>
      </c>
      <c r="F17" s="146">
        <v>8</v>
      </c>
      <c r="G17" s="146">
        <v>7</v>
      </c>
      <c r="H17" s="146">
        <v>10</v>
      </c>
      <c r="I17" s="146">
        <v>13</v>
      </c>
      <c r="J17" s="146">
        <v>11</v>
      </c>
      <c r="K17" s="146">
        <v>5</v>
      </c>
      <c r="L17" s="146">
        <v>9</v>
      </c>
      <c r="M17" s="146">
        <v>17</v>
      </c>
      <c r="N17" s="146">
        <v>11</v>
      </c>
      <c r="O17" s="146">
        <v>7</v>
      </c>
      <c r="P17" s="146">
        <v>12</v>
      </c>
      <c r="Q17" s="146">
        <v>10</v>
      </c>
      <c r="R17" s="146">
        <v>10</v>
      </c>
      <c r="S17" s="146">
        <v>7</v>
      </c>
      <c r="T17" s="146">
        <v>9</v>
      </c>
      <c r="U17" s="146">
        <v>13</v>
      </c>
      <c r="V17" s="146">
        <v>8</v>
      </c>
      <c r="W17" s="146">
        <v>19</v>
      </c>
      <c r="X17" s="146">
        <v>29</v>
      </c>
      <c r="Y17" s="146">
        <v>32</v>
      </c>
      <c r="Z17" s="146">
        <v>32</v>
      </c>
      <c r="AA17" s="146">
        <v>19</v>
      </c>
      <c r="AB17" s="146">
        <v>16</v>
      </c>
      <c r="AC17" s="146">
        <v>15</v>
      </c>
      <c r="AD17" s="146">
        <v>20</v>
      </c>
      <c r="AE17" s="146">
        <v>17</v>
      </c>
      <c r="AF17" s="146">
        <v>20</v>
      </c>
      <c r="AG17" s="146">
        <v>24</v>
      </c>
      <c r="AH17" s="146">
        <v>30</v>
      </c>
      <c r="AI17" s="146">
        <v>38</v>
      </c>
      <c r="AJ17" s="362">
        <v>42</v>
      </c>
      <c r="AK17" s="147">
        <f>+AJ17+AK18</f>
        <v>44</v>
      </c>
      <c r="AL17" s="147">
        <f>+AK17+AL18</f>
        <v>37</v>
      </c>
      <c r="AM17" s="148">
        <f t="shared" ref="AM17:CM17" si="43">+AL17+AM18</f>
        <v>32</v>
      </c>
      <c r="AN17" s="147">
        <f t="shared" si="43"/>
        <v>25.6</v>
      </c>
      <c r="AO17" s="147">
        <f t="shared" si="43"/>
        <v>29.6</v>
      </c>
      <c r="AP17" s="147">
        <f t="shared" si="43"/>
        <v>29.4</v>
      </c>
      <c r="AQ17" s="147">
        <f>+AP17+AQ18</f>
        <v>29.199999999999996</v>
      </c>
      <c r="AR17" s="147">
        <f t="shared" si="43"/>
        <v>31.199999999999996</v>
      </c>
      <c r="AS17" s="147">
        <f t="shared" si="43"/>
        <v>27.999999999999993</v>
      </c>
      <c r="AT17" s="147">
        <f t="shared" si="43"/>
        <v>29.999999999999993</v>
      </c>
      <c r="AU17" s="147">
        <f t="shared" si="43"/>
        <v>35.999999999999993</v>
      </c>
      <c r="AV17" s="147">
        <f t="shared" si="43"/>
        <v>42.999999999999993</v>
      </c>
      <c r="AW17" s="147">
        <f t="shared" si="43"/>
        <v>48.999999999999993</v>
      </c>
      <c r="AX17" s="147">
        <f t="shared" si="43"/>
        <v>43.79999999999999</v>
      </c>
      <c r="AY17" s="148">
        <f>+AX17+AY18</f>
        <v>39.599999999999987</v>
      </c>
      <c r="AZ17" s="147">
        <f t="shared" si="43"/>
        <v>32.439999999999984</v>
      </c>
      <c r="BA17" s="147">
        <f t="shared" si="43"/>
        <v>40.039999999999978</v>
      </c>
      <c r="BB17" s="147">
        <f t="shared" si="43"/>
        <v>40.759999999999977</v>
      </c>
      <c r="BC17" s="147">
        <f t="shared" si="43"/>
        <v>40.479999999999976</v>
      </c>
      <c r="BD17" s="147">
        <f t="shared" si="43"/>
        <v>44.07999999999997</v>
      </c>
      <c r="BE17" s="147">
        <f t="shared" si="43"/>
        <v>39.799999999999969</v>
      </c>
      <c r="BF17" s="147">
        <f t="shared" si="43"/>
        <v>42.399999999999963</v>
      </c>
      <c r="BG17" s="147">
        <f t="shared" si="43"/>
        <v>50.999999999999957</v>
      </c>
      <c r="BH17" s="147">
        <f t="shared" si="43"/>
        <v>60.599999999999952</v>
      </c>
      <c r="BI17" s="147">
        <f t="shared" si="43"/>
        <v>69.199999999999946</v>
      </c>
      <c r="BJ17" s="147">
        <f t="shared" si="43"/>
        <v>61.919999999999945</v>
      </c>
      <c r="BK17" s="148">
        <f t="shared" si="43"/>
        <v>56.639999999999944</v>
      </c>
      <c r="BL17" s="147">
        <f t="shared" si="43"/>
        <v>45.615999999999943</v>
      </c>
      <c r="BM17" s="147">
        <f t="shared" si="43"/>
        <v>56.055999999999941</v>
      </c>
      <c r="BN17" s="147">
        <f t="shared" si="43"/>
        <v>57.263999999999939</v>
      </c>
      <c r="BO17" s="147">
        <f t="shared" si="43"/>
        <v>57.471999999999937</v>
      </c>
      <c r="BP17" s="147">
        <f t="shared" si="43"/>
        <v>61.911999999999935</v>
      </c>
      <c r="BQ17" s="147">
        <f t="shared" si="43"/>
        <v>56.119999999999933</v>
      </c>
      <c r="BR17" s="147">
        <f t="shared" si="43"/>
        <v>60.559999999999931</v>
      </c>
      <c r="BS17" s="147">
        <f t="shared" si="43"/>
        <v>71.999999999999929</v>
      </c>
      <c r="BT17" s="147">
        <f t="shared" si="43"/>
        <v>85.439999999999927</v>
      </c>
      <c r="BU17" s="147">
        <f t="shared" si="43"/>
        <v>97.879999999999924</v>
      </c>
      <c r="BV17" s="147">
        <f t="shared" si="43"/>
        <v>87.087999999999923</v>
      </c>
      <c r="BW17" s="148">
        <f t="shared" si="43"/>
        <v>79.295999999999921</v>
      </c>
      <c r="BX17" s="147">
        <f t="shared" si="43"/>
        <v>64.66239999999992</v>
      </c>
      <c r="BY17" s="147">
        <f t="shared" si="43"/>
        <v>79.078399999999903</v>
      </c>
      <c r="BZ17" s="147">
        <f t="shared" si="43"/>
        <v>79.9695999999999</v>
      </c>
      <c r="CA17" s="147">
        <f t="shared" si="43"/>
        <v>79.860799999999898</v>
      </c>
      <c r="CB17" s="147">
        <f t="shared" si="43"/>
        <v>87.276799999999895</v>
      </c>
      <c r="CC17" s="147">
        <f t="shared" si="43"/>
        <v>78.167999999999893</v>
      </c>
      <c r="CD17" s="147">
        <f t="shared" si="43"/>
        <v>84.583999999999889</v>
      </c>
      <c r="CE17" s="147">
        <f t="shared" si="43"/>
        <v>100.99999999999989</v>
      </c>
      <c r="CF17" s="147">
        <f t="shared" si="43"/>
        <v>119.41599999999988</v>
      </c>
      <c r="CG17" s="147">
        <f t="shared" si="43"/>
        <v>136.83199999999988</v>
      </c>
      <c r="CH17" s="147">
        <f t="shared" si="43"/>
        <v>122.72319999999988</v>
      </c>
      <c r="CI17" s="148">
        <f t="shared" si="43"/>
        <v>111.61439999999988</v>
      </c>
      <c r="CJ17" s="147">
        <f t="shared" si="43"/>
        <v>91.127359999999868</v>
      </c>
      <c r="CK17" s="147">
        <f t="shared" si="43"/>
        <v>110.90975999999985</v>
      </c>
      <c r="CL17" s="147">
        <f t="shared" si="43"/>
        <v>112.55743999999984</v>
      </c>
      <c r="CM17" s="147">
        <f t="shared" si="43"/>
        <v>113.20511999999982</v>
      </c>
      <c r="CN17" s="147">
        <f t="shared" ref="CN17:DG17" si="44">+CM17+CN18</f>
        <v>122.9875199999998</v>
      </c>
      <c r="CO17" s="147">
        <f t="shared" si="44"/>
        <v>110.6351999999998</v>
      </c>
      <c r="CP17" s="147">
        <f t="shared" si="44"/>
        <v>119.41759999999978</v>
      </c>
      <c r="CQ17" s="147">
        <f t="shared" si="44"/>
        <v>142.19999999999976</v>
      </c>
      <c r="CR17" s="147">
        <f t="shared" si="44"/>
        <v>168.98239999999976</v>
      </c>
      <c r="CS17" s="147">
        <f t="shared" si="44"/>
        <v>192.76479999999975</v>
      </c>
      <c r="CT17" s="147">
        <f t="shared" si="44"/>
        <v>172.41247999999973</v>
      </c>
      <c r="CU17" s="148">
        <f t="shared" si="44"/>
        <v>157.06015999999971</v>
      </c>
      <c r="CV17" s="147">
        <f t="shared" si="44"/>
        <v>128.17830399999968</v>
      </c>
      <c r="CW17" s="147">
        <f t="shared" si="44"/>
        <v>155.47366399999964</v>
      </c>
      <c r="CX17" s="147">
        <f t="shared" si="44"/>
        <v>158.18041599999964</v>
      </c>
      <c r="CY17" s="147">
        <f t="shared" si="44"/>
        <v>158.88716799999963</v>
      </c>
      <c r="CZ17" s="147">
        <f t="shared" si="44"/>
        <v>172.18252799999959</v>
      </c>
      <c r="DA17" s="147">
        <f t="shared" si="44"/>
        <v>154.88927999999959</v>
      </c>
      <c r="DB17" s="147">
        <f t="shared" si="44"/>
        <v>167.18463999999955</v>
      </c>
      <c r="DC17" s="147">
        <f t="shared" si="44"/>
        <v>199.47999999999951</v>
      </c>
      <c r="DD17" s="147">
        <f t="shared" si="44"/>
        <v>236.77535999999947</v>
      </c>
      <c r="DE17" s="147">
        <f t="shared" si="44"/>
        <v>271.07071999999943</v>
      </c>
      <c r="DF17" s="147">
        <f t="shared" si="44"/>
        <v>241.77747199999942</v>
      </c>
      <c r="DG17" s="148">
        <f t="shared" si="44"/>
        <v>220.48422399999941</v>
      </c>
    </row>
    <row r="18" spans="1:111" x14ac:dyDescent="0.3">
      <c r="A18" s="34"/>
      <c r="B18" s="34"/>
      <c r="C18" s="592" t="s">
        <v>67</v>
      </c>
      <c r="D18" s="15"/>
      <c r="E18" s="50">
        <f t="shared" ref="E18:L18" si="45">E17-D17</f>
        <v>12</v>
      </c>
      <c r="F18" s="50">
        <f>F17-E17</f>
        <v>-4</v>
      </c>
      <c r="G18" s="50">
        <f t="shared" si="45"/>
        <v>-1</v>
      </c>
      <c r="H18" s="50">
        <f t="shared" si="45"/>
        <v>3</v>
      </c>
      <c r="I18" s="50">
        <f t="shared" si="45"/>
        <v>3</v>
      </c>
      <c r="J18" s="50">
        <f t="shared" si="45"/>
        <v>-2</v>
      </c>
      <c r="K18" s="50">
        <f t="shared" si="45"/>
        <v>-6</v>
      </c>
      <c r="L18" s="50">
        <f t="shared" si="45"/>
        <v>4</v>
      </c>
      <c r="M18" s="50">
        <f t="shared" ref="M18:AH18" si="46">M17-L17</f>
        <v>8</v>
      </c>
      <c r="N18" s="50">
        <f t="shared" si="46"/>
        <v>-6</v>
      </c>
      <c r="O18" s="50">
        <f t="shared" si="46"/>
        <v>-4</v>
      </c>
      <c r="P18" s="50">
        <f t="shared" si="46"/>
        <v>5</v>
      </c>
      <c r="Q18" s="50">
        <f t="shared" si="46"/>
        <v>-2</v>
      </c>
      <c r="R18" s="50">
        <f t="shared" si="46"/>
        <v>0</v>
      </c>
      <c r="S18" s="50">
        <f t="shared" si="46"/>
        <v>-3</v>
      </c>
      <c r="T18" s="50">
        <f t="shared" si="46"/>
        <v>2</v>
      </c>
      <c r="U18" s="50">
        <f t="shared" si="46"/>
        <v>4</v>
      </c>
      <c r="V18" s="50">
        <f t="shared" si="46"/>
        <v>-5</v>
      </c>
      <c r="W18" s="50">
        <f t="shared" si="46"/>
        <v>11</v>
      </c>
      <c r="X18" s="50">
        <f t="shared" si="46"/>
        <v>10</v>
      </c>
      <c r="Y18" s="50">
        <f t="shared" si="46"/>
        <v>3</v>
      </c>
      <c r="Z18" s="50">
        <f t="shared" si="46"/>
        <v>0</v>
      </c>
      <c r="AA18" s="50">
        <f t="shared" si="46"/>
        <v>-13</v>
      </c>
      <c r="AB18" s="50">
        <f t="shared" si="46"/>
        <v>-3</v>
      </c>
      <c r="AC18" s="50">
        <f t="shared" si="46"/>
        <v>-1</v>
      </c>
      <c r="AD18" s="50">
        <f t="shared" si="46"/>
        <v>5</v>
      </c>
      <c r="AE18" s="50">
        <f t="shared" si="46"/>
        <v>-3</v>
      </c>
      <c r="AF18" s="50">
        <f t="shared" si="46"/>
        <v>3</v>
      </c>
      <c r="AG18" s="50">
        <f t="shared" si="46"/>
        <v>4</v>
      </c>
      <c r="AH18" s="50">
        <f t="shared" si="46"/>
        <v>6</v>
      </c>
      <c r="AI18" s="50">
        <f>AI17-AH17</f>
        <v>8</v>
      </c>
      <c r="AJ18" s="363">
        <f>AJ17-AI17</f>
        <v>4</v>
      </c>
      <c r="AK18" s="447">
        <f t="shared" ref="AK18" si="47">+AK19+AK20</f>
        <v>2</v>
      </c>
      <c r="AL18" s="60">
        <f t="shared" ref="AL18:CK18" si="48">+AL19+AL20</f>
        <v>-7</v>
      </c>
      <c r="AM18" s="139">
        <f t="shared" si="48"/>
        <v>-5</v>
      </c>
      <c r="AN18" s="60">
        <f t="shared" si="48"/>
        <v>-6.4</v>
      </c>
      <c r="AO18" s="60">
        <f t="shared" si="48"/>
        <v>4</v>
      </c>
      <c r="AP18" s="60">
        <f t="shared" si="48"/>
        <v>-0.20000000000000107</v>
      </c>
      <c r="AQ18" s="60">
        <f t="shared" si="48"/>
        <v>-0.20000000000000107</v>
      </c>
      <c r="AR18" s="60">
        <f t="shared" si="48"/>
        <v>2</v>
      </c>
      <c r="AS18" s="60">
        <f t="shared" si="48"/>
        <v>-3.2000000000000011</v>
      </c>
      <c r="AT18" s="60">
        <f t="shared" si="48"/>
        <v>2</v>
      </c>
      <c r="AU18" s="60">
        <f t="shared" si="48"/>
        <v>6</v>
      </c>
      <c r="AV18" s="60">
        <f t="shared" si="48"/>
        <v>7</v>
      </c>
      <c r="AW18" s="60">
        <f t="shared" si="48"/>
        <v>6</v>
      </c>
      <c r="AX18" s="60">
        <f t="shared" si="48"/>
        <v>-5.2000000000000011</v>
      </c>
      <c r="AY18" s="139">
        <f t="shared" si="48"/>
        <v>-4.2000000000000011</v>
      </c>
      <c r="AZ18" s="60">
        <f t="shared" si="48"/>
        <v>-7.160000000000001</v>
      </c>
      <c r="BA18" s="60">
        <f t="shared" si="48"/>
        <v>7.5999999999999979</v>
      </c>
      <c r="BB18" s="60">
        <f t="shared" si="48"/>
        <v>0.71999999999999709</v>
      </c>
      <c r="BC18" s="60">
        <f t="shared" si="48"/>
        <v>-0.28000000000000291</v>
      </c>
      <c r="BD18" s="60">
        <f t="shared" si="48"/>
        <v>3.5999999999999979</v>
      </c>
      <c r="BE18" s="60">
        <f t="shared" si="48"/>
        <v>-4.2800000000000029</v>
      </c>
      <c r="BF18" s="60">
        <f t="shared" si="48"/>
        <v>2.5999999999999979</v>
      </c>
      <c r="BG18" s="60">
        <f t="shared" si="48"/>
        <v>8.5999999999999979</v>
      </c>
      <c r="BH18" s="60">
        <f t="shared" si="48"/>
        <v>9.5999999999999979</v>
      </c>
      <c r="BI18" s="60">
        <f t="shared" si="48"/>
        <v>8.5999999999999979</v>
      </c>
      <c r="BJ18" s="60">
        <f t="shared" si="48"/>
        <v>-7.2800000000000029</v>
      </c>
      <c r="BK18" s="139">
        <f t="shared" si="48"/>
        <v>-5.2800000000000029</v>
      </c>
      <c r="BL18" s="60">
        <f t="shared" si="48"/>
        <v>-11.024000000000003</v>
      </c>
      <c r="BM18" s="60">
        <f t="shared" si="48"/>
        <v>10.439999999999994</v>
      </c>
      <c r="BN18" s="60">
        <f t="shared" si="48"/>
        <v>1.2079999999999949</v>
      </c>
      <c r="BO18" s="60">
        <f t="shared" si="48"/>
        <v>0.20799999999999486</v>
      </c>
      <c r="BP18" s="60">
        <f t="shared" si="48"/>
        <v>4.4399999999999942</v>
      </c>
      <c r="BQ18" s="60">
        <f t="shared" si="48"/>
        <v>-5.7920000000000051</v>
      </c>
      <c r="BR18" s="60">
        <f t="shared" si="48"/>
        <v>4.4399999999999942</v>
      </c>
      <c r="BS18" s="60">
        <f t="shared" si="48"/>
        <v>11.439999999999994</v>
      </c>
      <c r="BT18" s="60">
        <f t="shared" si="48"/>
        <v>13.439999999999994</v>
      </c>
      <c r="BU18" s="60">
        <f t="shared" si="48"/>
        <v>12.439999999999994</v>
      </c>
      <c r="BV18" s="60">
        <f t="shared" si="48"/>
        <v>-10.792000000000005</v>
      </c>
      <c r="BW18" s="139">
        <f t="shared" si="48"/>
        <v>-7.7920000000000051</v>
      </c>
      <c r="BX18" s="60">
        <f t="shared" si="48"/>
        <v>-14.633600000000005</v>
      </c>
      <c r="BY18" s="60">
        <f t="shared" si="48"/>
        <v>14.41599999999999</v>
      </c>
      <c r="BZ18" s="60">
        <f t="shared" si="48"/>
        <v>0.89119999999999067</v>
      </c>
      <c r="CA18" s="60">
        <f t="shared" si="48"/>
        <v>-0.10880000000000933</v>
      </c>
      <c r="CB18" s="60">
        <f t="shared" si="48"/>
        <v>7.4159999999999897</v>
      </c>
      <c r="CC18" s="60">
        <f t="shared" si="48"/>
        <v>-9.1088000000000093</v>
      </c>
      <c r="CD18" s="60">
        <f t="shared" si="48"/>
        <v>6.4159999999999897</v>
      </c>
      <c r="CE18" s="60">
        <f t="shared" si="48"/>
        <v>16.41599999999999</v>
      </c>
      <c r="CF18" s="60">
        <f t="shared" si="48"/>
        <v>18.41599999999999</v>
      </c>
      <c r="CG18" s="60">
        <f t="shared" si="48"/>
        <v>17.41599999999999</v>
      </c>
      <c r="CH18" s="60">
        <f t="shared" si="48"/>
        <v>-14.108800000000009</v>
      </c>
      <c r="CI18" s="139">
        <f t="shared" si="48"/>
        <v>-11.108800000000009</v>
      </c>
      <c r="CJ18" s="60">
        <f t="shared" si="48"/>
        <v>-20.487040000000007</v>
      </c>
      <c r="CK18" s="60">
        <f t="shared" si="48"/>
        <v>19.782399999999981</v>
      </c>
      <c r="CL18" s="60">
        <f t="shared" ref="CL18:DG18" si="49">+CL19+CL20</f>
        <v>1.6476799999999869</v>
      </c>
      <c r="CM18" s="60">
        <f t="shared" si="49"/>
        <v>0.64767999999998693</v>
      </c>
      <c r="CN18" s="60">
        <f t="shared" si="49"/>
        <v>9.7823999999999813</v>
      </c>
      <c r="CO18" s="60">
        <f t="shared" si="49"/>
        <v>-12.352320000000013</v>
      </c>
      <c r="CP18" s="60">
        <f t="shared" si="49"/>
        <v>8.7823999999999813</v>
      </c>
      <c r="CQ18" s="60">
        <f t="shared" si="49"/>
        <v>22.782399999999981</v>
      </c>
      <c r="CR18" s="60">
        <f t="shared" si="49"/>
        <v>26.782399999999981</v>
      </c>
      <c r="CS18" s="60">
        <f t="shared" si="49"/>
        <v>23.782399999999981</v>
      </c>
      <c r="CT18" s="60">
        <f t="shared" si="49"/>
        <v>-20.352320000000013</v>
      </c>
      <c r="CU18" s="139">
        <f t="shared" si="49"/>
        <v>-15.352320000000013</v>
      </c>
      <c r="CV18" s="60">
        <f t="shared" si="49"/>
        <v>-28.881856000000013</v>
      </c>
      <c r="CW18" s="60">
        <f t="shared" si="49"/>
        <v>27.295359999999974</v>
      </c>
      <c r="CX18" s="60">
        <f t="shared" si="49"/>
        <v>2.7067519999999803</v>
      </c>
      <c r="CY18" s="60">
        <f t="shared" si="49"/>
        <v>0.70675199999998028</v>
      </c>
      <c r="CZ18" s="60">
        <f t="shared" si="49"/>
        <v>13.295359999999974</v>
      </c>
      <c r="DA18" s="60">
        <f t="shared" si="49"/>
        <v>-17.29324800000002</v>
      </c>
      <c r="DB18" s="60">
        <f t="shared" si="49"/>
        <v>12.295359999999974</v>
      </c>
      <c r="DC18" s="60">
        <f t="shared" si="49"/>
        <v>32.295359999999974</v>
      </c>
      <c r="DD18" s="60">
        <f t="shared" si="49"/>
        <v>37.295359999999974</v>
      </c>
      <c r="DE18" s="60">
        <f t="shared" si="49"/>
        <v>34.295359999999974</v>
      </c>
      <c r="DF18" s="60">
        <f t="shared" si="49"/>
        <v>-29.29324800000002</v>
      </c>
      <c r="DG18" s="139">
        <f t="shared" si="49"/>
        <v>-21.29324800000002</v>
      </c>
    </row>
    <row r="19" spans="1:111" x14ac:dyDescent="0.3">
      <c r="A19" s="34"/>
      <c r="B19" s="34"/>
      <c r="C19" s="592" t="s">
        <v>228</v>
      </c>
      <c r="D19" s="15"/>
      <c r="E19" s="50"/>
      <c r="F19" s="50">
        <f>+IF(F17&gt;E17,F17-E17, 0)</f>
        <v>0</v>
      </c>
      <c r="G19" s="50">
        <f t="shared" ref="G19:P19" si="50">+IF(G17&gt;F17,G17-F17, 0)</f>
        <v>0</v>
      </c>
      <c r="H19" s="50">
        <f t="shared" si="50"/>
        <v>3</v>
      </c>
      <c r="I19" s="50">
        <f t="shared" si="50"/>
        <v>3</v>
      </c>
      <c r="J19" s="50">
        <f t="shared" si="50"/>
        <v>0</v>
      </c>
      <c r="K19" s="50">
        <f t="shared" si="50"/>
        <v>0</v>
      </c>
      <c r="L19" s="50">
        <f t="shared" si="50"/>
        <v>4</v>
      </c>
      <c r="M19" s="50">
        <f t="shared" si="50"/>
        <v>8</v>
      </c>
      <c r="N19" s="50">
        <f t="shared" si="50"/>
        <v>0</v>
      </c>
      <c r="O19" s="50">
        <f t="shared" si="50"/>
        <v>0</v>
      </c>
      <c r="P19" s="50">
        <f t="shared" si="50"/>
        <v>5</v>
      </c>
      <c r="Q19" s="50">
        <v>2</v>
      </c>
      <c r="R19" s="50">
        <v>2</v>
      </c>
      <c r="S19" s="50">
        <v>3</v>
      </c>
      <c r="T19" s="50">
        <v>6</v>
      </c>
      <c r="U19" s="50">
        <v>11</v>
      </c>
      <c r="V19" s="50">
        <v>4</v>
      </c>
      <c r="W19" s="50">
        <v>12</v>
      </c>
      <c r="X19" s="50">
        <v>13</v>
      </c>
      <c r="Y19" s="50">
        <v>8</v>
      </c>
      <c r="Z19" s="50">
        <v>14</v>
      </c>
      <c r="AA19" s="50">
        <v>5</v>
      </c>
      <c r="AB19" s="50">
        <v>4</v>
      </c>
      <c r="AC19" s="50">
        <v>5</v>
      </c>
      <c r="AD19" s="50">
        <v>7</v>
      </c>
      <c r="AE19" s="50">
        <v>5</v>
      </c>
      <c r="AF19" s="50">
        <v>6</v>
      </c>
      <c r="AG19" s="50">
        <v>15</v>
      </c>
      <c r="AH19" s="50">
        <v>7</v>
      </c>
      <c r="AI19" s="50">
        <v>10</v>
      </c>
      <c r="AJ19" s="363">
        <v>10</v>
      </c>
      <c r="AK19" s="447">
        <f>IF(AK2="Trough",INDEX($H$52:$H$54,MATCH(AK2,$E$52:$E$54,0)),IF(AK2="Shoulder",INDEX($H$52:$H$54,MATCH(AK2,$E$52:$E$54,0)),INDEX($H$52:$H$54,MATCH(AK2,$E$52:$E$54,0))))</f>
        <v>10</v>
      </c>
      <c r="AL19" s="180">
        <f>IF(AL2="Trough",INDEX($H$52:$H$54,MATCH(AL2,$E$52:$E$54,0)),IF(AL2="Shoulder",INDEX($H$52:$H$54,MATCH(AL2,$E$52:$E$54,0)),INDEX($H$52:$H$54,MATCH(AL2,$E$52:$E$54,0))))</f>
        <v>7</v>
      </c>
      <c r="AM19" s="181">
        <f>IF(AM2="Trough",INDEX($H$52:$H$54,MATCH(AM2,$E$52:$E$54,0)),IF(AM2="Shoulder",INDEX($H$52:$H$54,MATCH(AM2,$E$52:$E$54,0)),INDEX($H$52:$H$54,MATCH(AM2,$E$52:$E$54,0))))</f>
        <v>7</v>
      </c>
      <c r="AN19" s="180">
        <f t="shared" ref="AN19:AY19" si="51">IF(AN2="Trough",INDEX($I$52:$I$54,MATCH(AN2,$E$52:$E$54,0)),IF(AN2="Shoulder",INDEX($I$52:$I$54,MATCH(AN2,$E$52:$E$54,0)),INDEX($I$52:$I$54,MATCH(AN2,$E$52:$E$54,0))))</f>
        <v>5.6</v>
      </c>
      <c r="AO19" s="180">
        <f t="shared" si="51"/>
        <v>14</v>
      </c>
      <c r="AP19" s="180">
        <f t="shared" si="51"/>
        <v>9.7999999999999989</v>
      </c>
      <c r="AQ19" s="180">
        <f t="shared" si="51"/>
        <v>9.7999999999999989</v>
      </c>
      <c r="AR19" s="180">
        <f t="shared" si="51"/>
        <v>14</v>
      </c>
      <c r="AS19" s="180">
        <f t="shared" si="51"/>
        <v>9.7999999999999989</v>
      </c>
      <c r="AT19" s="180">
        <f t="shared" si="51"/>
        <v>14</v>
      </c>
      <c r="AU19" s="180">
        <f t="shared" si="51"/>
        <v>14</v>
      </c>
      <c r="AV19" s="180">
        <f t="shared" si="51"/>
        <v>14</v>
      </c>
      <c r="AW19" s="180">
        <f t="shared" si="51"/>
        <v>14</v>
      </c>
      <c r="AX19" s="180">
        <f t="shared" si="51"/>
        <v>9.7999999999999989</v>
      </c>
      <c r="AY19" s="181">
        <f t="shared" si="51"/>
        <v>9.7999999999999989</v>
      </c>
      <c r="AZ19" s="180">
        <f t="shared" ref="AZ19:BK19" si="52">IF(AZ2="Trough",INDEX($J$52:$J$54,MATCH(AZ2,$E$52:$E$54,0)),IF(AZ2="Shoulder",INDEX($J$52:$J$54,MATCH(AZ2,$E$52:$E$54,0)),INDEX($J$52:$J$54,MATCH(AZ2,$E$52:$E$54,0))))</f>
        <v>7.839999999999999</v>
      </c>
      <c r="BA19" s="180">
        <f t="shared" si="52"/>
        <v>19.599999999999998</v>
      </c>
      <c r="BB19" s="180">
        <f t="shared" si="52"/>
        <v>13.719999999999997</v>
      </c>
      <c r="BC19" s="180">
        <f t="shared" si="52"/>
        <v>13.719999999999997</v>
      </c>
      <c r="BD19" s="180">
        <f t="shared" si="52"/>
        <v>19.599999999999998</v>
      </c>
      <c r="BE19" s="180">
        <f t="shared" si="52"/>
        <v>13.719999999999997</v>
      </c>
      <c r="BF19" s="180">
        <f t="shared" si="52"/>
        <v>19.599999999999998</v>
      </c>
      <c r="BG19" s="180">
        <f t="shared" si="52"/>
        <v>19.599999999999998</v>
      </c>
      <c r="BH19" s="180">
        <f t="shared" si="52"/>
        <v>19.599999999999998</v>
      </c>
      <c r="BI19" s="180">
        <f t="shared" si="52"/>
        <v>19.599999999999998</v>
      </c>
      <c r="BJ19" s="180">
        <f t="shared" si="52"/>
        <v>13.719999999999997</v>
      </c>
      <c r="BK19" s="181">
        <f t="shared" si="52"/>
        <v>13.719999999999997</v>
      </c>
      <c r="BL19" s="180">
        <f t="shared" ref="BL19:BW19" si="53">IF(BL2="Trough",INDEX($K$52:$K$54,MATCH(BL2,$E$52:$E$54,0)),IF(BL2="Shoulder",INDEX($K$52:$K$54,MATCH(BL2,$E$52:$E$54,0)),INDEX($K$52:$K$54,MATCH(BL2,$E$52:$E$54,0))))</f>
        <v>10.975999999999997</v>
      </c>
      <c r="BM19" s="180">
        <f t="shared" si="53"/>
        <v>27.439999999999994</v>
      </c>
      <c r="BN19" s="180">
        <f t="shared" si="53"/>
        <v>19.207999999999995</v>
      </c>
      <c r="BO19" s="180">
        <f t="shared" si="53"/>
        <v>19.207999999999995</v>
      </c>
      <c r="BP19" s="180">
        <f t="shared" si="53"/>
        <v>27.439999999999994</v>
      </c>
      <c r="BQ19" s="180">
        <f t="shared" si="53"/>
        <v>19.207999999999995</v>
      </c>
      <c r="BR19" s="180">
        <f t="shared" si="53"/>
        <v>27.439999999999994</v>
      </c>
      <c r="BS19" s="180">
        <f t="shared" si="53"/>
        <v>27.439999999999994</v>
      </c>
      <c r="BT19" s="180">
        <f t="shared" si="53"/>
        <v>27.439999999999994</v>
      </c>
      <c r="BU19" s="180">
        <f t="shared" si="53"/>
        <v>27.439999999999994</v>
      </c>
      <c r="BV19" s="180">
        <f t="shared" si="53"/>
        <v>19.207999999999995</v>
      </c>
      <c r="BW19" s="181">
        <f t="shared" si="53"/>
        <v>19.207999999999995</v>
      </c>
      <c r="BX19" s="180">
        <f t="shared" ref="BX19:CI19" si="54">IF(BX2="Trough",INDEX($L$52:$L$54,MATCH(BX2,$E$52:$E$54,0)),IF(BX2="Shoulder",INDEX($L$52:$L$54,MATCH(BX2,$E$52:$E$54,0)),INDEX($L$52:$L$54,MATCH(BX2,$E$52:$E$54,0))))</f>
        <v>15.366399999999995</v>
      </c>
      <c r="BY19" s="180">
        <f t="shared" si="54"/>
        <v>38.41599999999999</v>
      </c>
      <c r="BZ19" s="180">
        <f t="shared" si="54"/>
        <v>26.891199999999991</v>
      </c>
      <c r="CA19" s="180">
        <f t="shared" si="54"/>
        <v>26.891199999999991</v>
      </c>
      <c r="CB19" s="180">
        <f t="shared" si="54"/>
        <v>38.41599999999999</v>
      </c>
      <c r="CC19" s="180">
        <f t="shared" si="54"/>
        <v>26.891199999999991</v>
      </c>
      <c r="CD19" s="180">
        <f t="shared" si="54"/>
        <v>38.41599999999999</v>
      </c>
      <c r="CE19" s="180">
        <f t="shared" si="54"/>
        <v>38.41599999999999</v>
      </c>
      <c r="CF19" s="180">
        <f t="shared" si="54"/>
        <v>38.41599999999999</v>
      </c>
      <c r="CG19" s="180">
        <f t="shared" si="54"/>
        <v>38.41599999999999</v>
      </c>
      <c r="CH19" s="180">
        <f t="shared" si="54"/>
        <v>26.891199999999991</v>
      </c>
      <c r="CI19" s="181">
        <f t="shared" si="54"/>
        <v>26.891199999999991</v>
      </c>
      <c r="CJ19" s="180">
        <f t="shared" ref="CJ19:CU19" si="55">IF(CJ2="Trough",INDEX($M$52:$M$54,MATCH(CJ2,$E$52:$E$54,0)),IF(CJ2="Shoulder",INDEX($M$52:$M$54,MATCH(CJ2,$E$52:$E$54,0)),INDEX($M$52:$M$54,MATCH(CJ2,$E$52:$E$54,0))))</f>
        <v>21.512959999999993</v>
      </c>
      <c r="CK19" s="180">
        <f t="shared" si="55"/>
        <v>53.782399999999981</v>
      </c>
      <c r="CL19" s="180">
        <f t="shared" si="55"/>
        <v>37.647679999999987</v>
      </c>
      <c r="CM19" s="180">
        <f t="shared" si="55"/>
        <v>37.647679999999987</v>
      </c>
      <c r="CN19" s="180">
        <f t="shared" si="55"/>
        <v>53.782399999999981</v>
      </c>
      <c r="CO19" s="180">
        <f t="shared" si="55"/>
        <v>37.647679999999987</v>
      </c>
      <c r="CP19" s="180">
        <f t="shared" si="55"/>
        <v>53.782399999999981</v>
      </c>
      <c r="CQ19" s="180">
        <f t="shared" si="55"/>
        <v>53.782399999999981</v>
      </c>
      <c r="CR19" s="180">
        <f t="shared" si="55"/>
        <v>53.782399999999981</v>
      </c>
      <c r="CS19" s="180">
        <f t="shared" si="55"/>
        <v>53.782399999999981</v>
      </c>
      <c r="CT19" s="180">
        <f t="shared" si="55"/>
        <v>37.647679999999987</v>
      </c>
      <c r="CU19" s="181">
        <f t="shared" si="55"/>
        <v>37.647679999999987</v>
      </c>
      <c r="CV19" s="180">
        <f t="shared" ref="CV19:DG19" si="56">IF(CV2="Trough",INDEX($N$52:$N$54,MATCH(CV2,$E$52:$E$54,0)),IF(CV2="Shoulder",INDEX($N$52:$N$54,MATCH(CV2,$E$52:$E$54,0)),INDEX($N$52:$N$54,MATCH(CV2,$E$52:$E$54,0))))</f>
        <v>30.118143999999987</v>
      </c>
      <c r="CW19" s="180">
        <f t="shared" si="56"/>
        <v>75.295359999999974</v>
      </c>
      <c r="CX19" s="180">
        <f t="shared" si="56"/>
        <v>52.70675199999998</v>
      </c>
      <c r="CY19" s="180">
        <f t="shared" si="56"/>
        <v>52.70675199999998</v>
      </c>
      <c r="CZ19" s="180">
        <f t="shared" si="56"/>
        <v>75.295359999999974</v>
      </c>
      <c r="DA19" s="180">
        <f t="shared" si="56"/>
        <v>52.70675199999998</v>
      </c>
      <c r="DB19" s="180">
        <f t="shared" si="56"/>
        <v>75.295359999999974</v>
      </c>
      <c r="DC19" s="180">
        <f t="shared" si="56"/>
        <v>75.295359999999974</v>
      </c>
      <c r="DD19" s="180">
        <f t="shared" si="56"/>
        <v>75.295359999999974</v>
      </c>
      <c r="DE19" s="180">
        <f t="shared" si="56"/>
        <v>75.295359999999974</v>
      </c>
      <c r="DF19" s="180">
        <f t="shared" si="56"/>
        <v>52.70675199999998</v>
      </c>
      <c r="DG19" s="181">
        <f t="shared" si="56"/>
        <v>52.70675199999998</v>
      </c>
    </row>
    <row r="20" spans="1:111" x14ac:dyDescent="0.3">
      <c r="A20" s="34"/>
      <c r="B20" s="34"/>
      <c r="C20" s="592" t="s">
        <v>229</v>
      </c>
      <c r="D20" s="15"/>
      <c r="E20" s="50"/>
      <c r="F20" s="50">
        <f>+IF(F17&lt;E17,F17-E17, 0)</f>
        <v>-4</v>
      </c>
      <c r="G20" s="50">
        <f t="shared" ref="G20:P20" si="57">+IF(G17&lt;F17,G17-F17, 0)</f>
        <v>-1</v>
      </c>
      <c r="H20" s="50">
        <f t="shared" si="57"/>
        <v>0</v>
      </c>
      <c r="I20" s="50">
        <f t="shared" si="57"/>
        <v>0</v>
      </c>
      <c r="J20" s="50">
        <f t="shared" si="57"/>
        <v>-2</v>
      </c>
      <c r="K20" s="50">
        <f t="shared" si="57"/>
        <v>-6</v>
      </c>
      <c r="L20" s="50">
        <f t="shared" si="57"/>
        <v>0</v>
      </c>
      <c r="M20" s="50">
        <f t="shared" si="57"/>
        <v>0</v>
      </c>
      <c r="N20" s="50">
        <f t="shared" si="57"/>
        <v>-6</v>
      </c>
      <c r="O20" s="50">
        <f t="shared" si="57"/>
        <v>-4</v>
      </c>
      <c r="P20" s="50">
        <f t="shared" si="57"/>
        <v>0</v>
      </c>
      <c r="Q20" s="50">
        <v>-4</v>
      </c>
      <c r="R20" s="50">
        <v>-2</v>
      </c>
      <c r="S20" s="50">
        <v>-6</v>
      </c>
      <c r="T20" s="50">
        <v>-4</v>
      </c>
      <c r="U20" s="50">
        <v>-7</v>
      </c>
      <c r="V20" s="50">
        <v>-9</v>
      </c>
      <c r="W20" s="50">
        <v>-1</v>
      </c>
      <c r="X20" s="50">
        <v>-3</v>
      </c>
      <c r="Y20" s="50">
        <v>-5</v>
      </c>
      <c r="Z20" s="50">
        <v>-14</v>
      </c>
      <c r="AA20" s="50">
        <v>-18</v>
      </c>
      <c r="AB20" s="50">
        <v>-7</v>
      </c>
      <c r="AC20" s="50">
        <v>-4</v>
      </c>
      <c r="AD20" s="50">
        <v>-2</v>
      </c>
      <c r="AE20" s="50">
        <v>-8</v>
      </c>
      <c r="AF20" s="50">
        <v>-3</v>
      </c>
      <c r="AG20" s="50">
        <v>-11</v>
      </c>
      <c r="AH20" s="50">
        <v>-1</v>
      </c>
      <c r="AI20" s="50">
        <v>-2</v>
      </c>
      <c r="AJ20" s="363">
        <v>-6</v>
      </c>
      <c r="AK20" s="447">
        <f>+ROUNDUP(AJ17*AJ39, 0)</f>
        <v>-8</v>
      </c>
      <c r="AL20" s="180">
        <f t="shared" ref="AL20:BJ20" si="58">+ROUNDUP(AK17*AK39, 0)</f>
        <v>-14</v>
      </c>
      <c r="AM20" s="181">
        <f t="shared" si="58"/>
        <v>-12</v>
      </c>
      <c r="AN20" s="180">
        <f t="shared" si="58"/>
        <v>-12</v>
      </c>
      <c r="AO20" s="180">
        <f t="shared" si="58"/>
        <v>-10</v>
      </c>
      <c r="AP20" s="180">
        <f t="shared" si="58"/>
        <v>-10</v>
      </c>
      <c r="AQ20" s="180">
        <f t="shared" si="58"/>
        <v>-10</v>
      </c>
      <c r="AR20" s="180">
        <f t="shared" si="58"/>
        <v>-12</v>
      </c>
      <c r="AS20" s="180">
        <f t="shared" si="58"/>
        <v>-13</v>
      </c>
      <c r="AT20" s="180">
        <f t="shared" si="58"/>
        <v>-12</v>
      </c>
      <c r="AU20" s="180">
        <f t="shared" si="58"/>
        <v>-8</v>
      </c>
      <c r="AV20" s="180">
        <f t="shared" si="58"/>
        <v>-7</v>
      </c>
      <c r="AW20" s="180">
        <f t="shared" si="58"/>
        <v>-8</v>
      </c>
      <c r="AX20" s="180">
        <f t="shared" si="58"/>
        <v>-15</v>
      </c>
      <c r="AY20" s="181">
        <f t="shared" si="58"/>
        <v>-14</v>
      </c>
      <c r="AZ20" s="180">
        <f t="shared" si="58"/>
        <v>-15</v>
      </c>
      <c r="BA20" s="180">
        <f t="shared" si="58"/>
        <v>-12</v>
      </c>
      <c r="BB20" s="180">
        <f t="shared" si="58"/>
        <v>-13</v>
      </c>
      <c r="BC20" s="180">
        <f t="shared" si="58"/>
        <v>-14</v>
      </c>
      <c r="BD20" s="180">
        <f t="shared" si="58"/>
        <v>-16</v>
      </c>
      <c r="BE20" s="180">
        <f t="shared" si="58"/>
        <v>-18</v>
      </c>
      <c r="BF20" s="180">
        <f t="shared" si="58"/>
        <v>-17</v>
      </c>
      <c r="BG20" s="180">
        <f t="shared" si="58"/>
        <v>-11</v>
      </c>
      <c r="BH20" s="180">
        <f t="shared" si="58"/>
        <v>-10</v>
      </c>
      <c r="BI20" s="180">
        <f t="shared" si="58"/>
        <v>-11</v>
      </c>
      <c r="BJ20" s="180">
        <f t="shared" si="58"/>
        <v>-21</v>
      </c>
      <c r="BK20" s="181">
        <f t="shared" ref="BK20:CP20" si="59">+ROUNDUP(BJ17*BJ39, 0)</f>
        <v>-19</v>
      </c>
      <c r="BL20" s="180">
        <f t="shared" si="59"/>
        <v>-22</v>
      </c>
      <c r="BM20" s="180">
        <f t="shared" si="59"/>
        <v>-17</v>
      </c>
      <c r="BN20" s="180">
        <f t="shared" si="59"/>
        <v>-18</v>
      </c>
      <c r="BO20" s="180">
        <f t="shared" si="59"/>
        <v>-19</v>
      </c>
      <c r="BP20" s="180">
        <f t="shared" si="59"/>
        <v>-23</v>
      </c>
      <c r="BQ20" s="180">
        <f t="shared" si="59"/>
        <v>-25</v>
      </c>
      <c r="BR20" s="180">
        <f t="shared" si="59"/>
        <v>-23</v>
      </c>
      <c r="BS20" s="180">
        <f t="shared" si="59"/>
        <v>-16</v>
      </c>
      <c r="BT20" s="180">
        <f t="shared" si="59"/>
        <v>-14</v>
      </c>
      <c r="BU20" s="180">
        <f t="shared" si="59"/>
        <v>-15</v>
      </c>
      <c r="BV20" s="180">
        <f t="shared" si="59"/>
        <v>-30</v>
      </c>
      <c r="BW20" s="181">
        <f t="shared" si="59"/>
        <v>-27</v>
      </c>
      <c r="BX20" s="180">
        <f t="shared" si="59"/>
        <v>-30</v>
      </c>
      <c r="BY20" s="180">
        <f t="shared" si="59"/>
        <v>-24</v>
      </c>
      <c r="BZ20" s="180">
        <f t="shared" si="59"/>
        <v>-26</v>
      </c>
      <c r="CA20" s="180">
        <f t="shared" si="59"/>
        <v>-27</v>
      </c>
      <c r="CB20" s="180">
        <f t="shared" si="59"/>
        <v>-31</v>
      </c>
      <c r="CC20" s="180">
        <f t="shared" si="59"/>
        <v>-36</v>
      </c>
      <c r="CD20" s="180">
        <f t="shared" si="59"/>
        <v>-32</v>
      </c>
      <c r="CE20" s="180">
        <f t="shared" si="59"/>
        <v>-22</v>
      </c>
      <c r="CF20" s="180">
        <f t="shared" si="59"/>
        <v>-20</v>
      </c>
      <c r="CG20" s="180">
        <f t="shared" si="59"/>
        <v>-21</v>
      </c>
      <c r="CH20" s="180">
        <f t="shared" si="59"/>
        <v>-41</v>
      </c>
      <c r="CI20" s="181">
        <f t="shared" si="59"/>
        <v>-38</v>
      </c>
      <c r="CJ20" s="180">
        <f t="shared" si="59"/>
        <v>-42</v>
      </c>
      <c r="CK20" s="180">
        <f t="shared" si="59"/>
        <v>-34</v>
      </c>
      <c r="CL20" s="180">
        <f t="shared" si="59"/>
        <v>-36</v>
      </c>
      <c r="CM20" s="180">
        <f t="shared" si="59"/>
        <v>-37</v>
      </c>
      <c r="CN20" s="180">
        <f t="shared" si="59"/>
        <v>-44</v>
      </c>
      <c r="CO20" s="180">
        <f t="shared" si="59"/>
        <v>-50</v>
      </c>
      <c r="CP20" s="180">
        <f t="shared" si="59"/>
        <v>-45</v>
      </c>
      <c r="CQ20" s="180">
        <f t="shared" ref="CQ20:DG20" si="60">+ROUNDUP(CP17*CP39, 0)</f>
        <v>-31</v>
      </c>
      <c r="CR20" s="180">
        <f t="shared" si="60"/>
        <v>-27</v>
      </c>
      <c r="CS20" s="180">
        <f t="shared" si="60"/>
        <v>-30</v>
      </c>
      <c r="CT20" s="180">
        <f t="shared" si="60"/>
        <v>-58</v>
      </c>
      <c r="CU20" s="181">
        <f t="shared" si="60"/>
        <v>-53</v>
      </c>
      <c r="CV20" s="180">
        <f t="shared" si="60"/>
        <v>-59</v>
      </c>
      <c r="CW20" s="180">
        <f t="shared" si="60"/>
        <v>-48</v>
      </c>
      <c r="CX20" s="180">
        <f t="shared" si="60"/>
        <v>-50</v>
      </c>
      <c r="CY20" s="180">
        <f t="shared" si="60"/>
        <v>-52</v>
      </c>
      <c r="CZ20" s="180">
        <f t="shared" si="60"/>
        <v>-62</v>
      </c>
      <c r="DA20" s="180">
        <f t="shared" si="60"/>
        <v>-70</v>
      </c>
      <c r="DB20" s="180">
        <f t="shared" si="60"/>
        <v>-63</v>
      </c>
      <c r="DC20" s="180">
        <f t="shared" si="60"/>
        <v>-43</v>
      </c>
      <c r="DD20" s="180">
        <f t="shared" si="60"/>
        <v>-38</v>
      </c>
      <c r="DE20" s="180">
        <f t="shared" si="60"/>
        <v>-41</v>
      </c>
      <c r="DF20" s="180">
        <f t="shared" si="60"/>
        <v>-82</v>
      </c>
      <c r="DG20" s="181">
        <f t="shared" si="60"/>
        <v>-74</v>
      </c>
    </row>
    <row r="21" spans="1:111" x14ac:dyDescent="0.3">
      <c r="A21" s="34"/>
      <c r="B21" s="34"/>
      <c r="C21" s="593" t="s">
        <v>333</v>
      </c>
      <c r="D21" s="15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49">
        <v>21</v>
      </c>
      <c r="Q21" s="49">
        <v>22</v>
      </c>
      <c r="R21" s="49">
        <v>20</v>
      </c>
      <c r="S21" s="49">
        <v>16</v>
      </c>
      <c r="T21" s="49">
        <v>25</v>
      </c>
      <c r="U21" s="49">
        <v>22</v>
      </c>
      <c r="V21" s="49">
        <v>23</v>
      </c>
      <c r="W21" s="49">
        <v>70</v>
      </c>
      <c r="X21" s="49">
        <v>110</v>
      </c>
      <c r="Y21" s="49">
        <v>114</v>
      </c>
      <c r="Z21" s="49">
        <v>73</v>
      </c>
      <c r="AA21" s="49">
        <v>31</v>
      </c>
      <c r="AB21" s="49">
        <v>34</v>
      </c>
      <c r="AC21" s="49">
        <v>56</v>
      </c>
      <c r="AD21" s="49">
        <v>36</v>
      </c>
      <c r="AE21" s="49">
        <v>49</v>
      </c>
      <c r="AF21" s="49">
        <v>76</v>
      </c>
      <c r="AG21" s="49">
        <v>45</v>
      </c>
      <c r="AH21" s="49">
        <v>118</v>
      </c>
      <c r="AI21" s="49">
        <v>169</v>
      </c>
      <c r="AJ21" s="364">
        <v>125</v>
      </c>
      <c r="AK21" s="146">
        <f>+(AVERAGE(AH21:AJ21)/AVERAGE(AH17:AJ17))*AK17</f>
        <v>164.8</v>
      </c>
      <c r="AL21" s="147">
        <f>+(AK21/AK25)*AL25</f>
        <v>77.636773833266858</v>
      </c>
      <c r="AM21" s="148">
        <f>+(AL21/AL25)*AM25</f>
        <v>76.737506182688492</v>
      </c>
      <c r="AN21" s="147">
        <f t="shared" ref="AN21:CN21" si="61">+(AM21/AM25)*AN25</f>
        <v>63.335979983319454</v>
      </c>
      <c r="AO21" s="147">
        <f t="shared" si="61"/>
        <v>117.8094880493349</v>
      </c>
      <c r="AP21" s="147">
        <f t="shared" si="61"/>
        <v>74.522467969684897</v>
      </c>
      <c r="AQ21" s="147">
        <f t="shared" si="61"/>
        <v>100.80706839672447</v>
      </c>
      <c r="AR21" s="147">
        <f t="shared" si="61"/>
        <v>112.37127836145748</v>
      </c>
      <c r="AS21" s="147">
        <f t="shared" si="61"/>
        <v>61.329001994415641</v>
      </c>
      <c r="AT21" s="147">
        <f t="shared" si="61"/>
        <v>114.22276824890308</v>
      </c>
      <c r="AU21" s="147">
        <f t="shared" si="61"/>
        <v>168.72987688061946</v>
      </c>
      <c r="AV21" s="147">
        <f t="shared" si="61"/>
        <v>129.27960752071073</v>
      </c>
      <c r="AW21" s="147">
        <f t="shared" si="61"/>
        <v>183.52727272727276</v>
      </c>
      <c r="AX21" s="147">
        <f t="shared" si="61"/>
        <v>87.068040526525749</v>
      </c>
      <c r="AY21" s="148">
        <f t="shared" si="61"/>
        <v>104.95873378540087</v>
      </c>
      <c r="AZ21" s="147">
        <f t="shared" si="61"/>
        <v>76.769059433585937</v>
      </c>
      <c r="BA21" s="147">
        <f t="shared" si="61"/>
        <v>159.36121288835696</v>
      </c>
      <c r="BB21" s="147">
        <f t="shared" si="61"/>
        <v>108.23742707770617</v>
      </c>
      <c r="BC21" s="147">
        <f t="shared" si="61"/>
        <v>139.74897701025358</v>
      </c>
      <c r="BD21" s="147">
        <f t="shared" si="61"/>
        <v>151.54406316088856</v>
      </c>
      <c r="BE21" s="147">
        <f t="shared" si="61"/>
        <v>91.325976439303233</v>
      </c>
      <c r="BF21" s="147">
        <f t="shared" si="61"/>
        <v>168.77279332777303</v>
      </c>
      <c r="BG21" s="147">
        <f t="shared" si="61"/>
        <v>239.03399224754403</v>
      </c>
      <c r="BH21" s="147">
        <f t="shared" si="61"/>
        <v>182.19405152918753</v>
      </c>
      <c r="BI21" s="147">
        <f t="shared" si="61"/>
        <v>247.9165217391303</v>
      </c>
      <c r="BJ21" s="147">
        <f t="shared" si="61"/>
        <v>143.60263122457113</v>
      </c>
      <c r="BK21" s="148">
        <f t="shared" si="61"/>
        <v>164.42020403669713</v>
      </c>
      <c r="BL21" s="147">
        <f t="shared" si="61"/>
        <v>103.04316460818789</v>
      </c>
      <c r="BM21" s="147">
        <f t="shared" si="61"/>
        <v>223.1056980436997</v>
      </c>
      <c r="BN21" s="147">
        <f t="shared" si="61"/>
        <v>158.97547122411521</v>
      </c>
      <c r="BO21" s="147">
        <f t="shared" si="61"/>
        <v>198.41040530467617</v>
      </c>
      <c r="BP21" s="147">
        <f t="shared" si="61"/>
        <v>212.8492749187144</v>
      </c>
      <c r="BQ21" s="147">
        <f t="shared" si="61"/>
        <v>128.77421602446472</v>
      </c>
      <c r="BR21" s="147">
        <f t="shared" si="61"/>
        <v>230.57769483845215</v>
      </c>
      <c r="BS21" s="147">
        <f t="shared" si="61"/>
        <v>353.52926584510715</v>
      </c>
      <c r="BT21" s="147">
        <f t="shared" si="61"/>
        <v>256.87557364115156</v>
      </c>
      <c r="BU21" s="147">
        <f t="shared" si="61"/>
        <v>334.72638735177844</v>
      </c>
      <c r="BV21" s="147">
        <f t="shared" si="61"/>
        <v>211.58903259034693</v>
      </c>
      <c r="BW21" s="148">
        <f t="shared" si="61"/>
        <v>230.18828565137596</v>
      </c>
      <c r="BX21" s="147">
        <f t="shared" si="61"/>
        <v>146.06757118468275</v>
      </c>
      <c r="BY21" s="147">
        <f t="shared" si="61"/>
        <v>330.47280779555877</v>
      </c>
      <c r="BZ21" s="147">
        <f t="shared" si="61"/>
        <v>222.01042266701594</v>
      </c>
      <c r="CA21" s="147">
        <f t="shared" si="61"/>
        <v>250.63926300800514</v>
      </c>
      <c r="CB21" s="147">
        <f t="shared" si="61"/>
        <v>328.62810097295539</v>
      </c>
      <c r="CC21" s="147">
        <f t="shared" si="61"/>
        <v>179.36605342481033</v>
      </c>
      <c r="CD21" s="147">
        <f t="shared" si="61"/>
        <v>307.40877457707478</v>
      </c>
      <c r="CE21" s="147">
        <f t="shared" si="61"/>
        <v>518.46495237259069</v>
      </c>
      <c r="CF21" s="147">
        <f t="shared" si="61"/>
        <v>342.70520702490143</v>
      </c>
      <c r="CG21" s="147">
        <f t="shared" si="61"/>
        <v>490.21551304347793</v>
      </c>
      <c r="CH21" s="147">
        <f t="shared" si="61"/>
        <v>298.16832588177084</v>
      </c>
      <c r="CI21" s="148">
        <f t="shared" si="61"/>
        <v>295.83096202568782</v>
      </c>
      <c r="CJ21" s="147">
        <f t="shared" si="61"/>
        <v>225.4547128473726</v>
      </c>
      <c r="CK21" s="147">
        <f t="shared" si="61"/>
        <v>441.42642044846576</v>
      </c>
      <c r="CL21" s="147">
        <f t="shared" si="61"/>
        <v>298.89420274909912</v>
      </c>
      <c r="CM21" s="147">
        <f t="shared" si="61"/>
        <v>373.0532406112813</v>
      </c>
      <c r="CN21" s="147">
        <f t="shared" si="61"/>
        <v>463.0916250478175</v>
      </c>
      <c r="CO21" s="147">
        <f t="shared" ref="CO21:DG21" si="62">+(CN21/CN25)*CO25</f>
        <v>242.32665719473439</v>
      </c>
      <c r="CP21" s="147">
        <f t="shared" si="62"/>
        <v>454.67362832133966</v>
      </c>
      <c r="CQ21" s="147">
        <f t="shared" si="62"/>
        <v>729.95758640972645</v>
      </c>
      <c r="CR21" s="147">
        <f t="shared" si="62"/>
        <v>461.86000739762625</v>
      </c>
      <c r="CS21" s="147">
        <f t="shared" si="62"/>
        <v>721.99179636363579</v>
      </c>
      <c r="CT21" s="147">
        <f t="shared" si="62"/>
        <v>418.89341642594286</v>
      </c>
      <c r="CU21" s="148">
        <f t="shared" si="62"/>
        <v>416.28372529627381</v>
      </c>
      <c r="CV21" s="147">
        <f t="shared" si="62"/>
        <v>317.1210350171803</v>
      </c>
      <c r="CW21" s="147">
        <f t="shared" si="62"/>
        <v>618.79299868223882</v>
      </c>
      <c r="CX21" s="147">
        <f t="shared" si="62"/>
        <v>400.95221036705459</v>
      </c>
      <c r="CY21" s="147">
        <f t="shared" si="62"/>
        <v>548.52567164170603</v>
      </c>
      <c r="CZ21" s="147">
        <f t="shared" si="62"/>
        <v>648.32827506694389</v>
      </c>
      <c r="DA21" s="147">
        <f t="shared" si="62"/>
        <v>323.10220959297885</v>
      </c>
      <c r="DB21" s="147">
        <f t="shared" si="62"/>
        <v>665.47685599759632</v>
      </c>
      <c r="DC21" s="147">
        <f t="shared" si="62"/>
        <v>979.47247153863691</v>
      </c>
      <c r="DD21" s="147">
        <f t="shared" si="62"/>
        <v>679.50817953369278</v>
      </c>
      <c r="DE21" s="147">
        <f t="shared" si="62"/>
        <v>1015.2830603636346</v>
      </c>
      <c r="DF21" s="147">
        <f t="shared" si="62"/>
        <v>560.72159480014557</v>
      </c>
      <c r="DG21" s="148">
        <f t="shared" si="62"/>
        <v>612.21547541525501</v>
      </c>
    </row>
    <row r="22" spans="1:111" x14ac:dyDescent="0.3">
      <c r="A22" s="34"/>
      <c r="B22" s="110" t="s">
        <v>176</v>
      </c>
      <c r="C22" s="59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365"/>
      <c r="AK22" s="16"/>
      <c r="AL22" s="16"/>
      <c r="AM22" s="401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401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401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401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401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401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7"/>
    </row>
    <row r="23" spans="1:111" x14ac:dyDescent="0.3">
      <c r="A23" s="35"/>
      <c r="B23" s="111">
        <v>125</v>
      </c>
      <c r="C23" s="594" t="s">
        <v>61</v>
      </c>
      <c r="D23" s="18"/>
      <c r="E23" s="18">
        <f>NETWORKDAYS(D4+1,E4,Holidays!$B$3:$B$62)</f>
        <v>19</v>
      </c>
      <c r="F23" s="18">
        <f>NETWORKDAYS(E4+1,F4,Holidays!$B$3:$B$62)</f>
        <v>23</v>
      </c>
      <c r="G23" s="18">
        <f>NETWORKDAYS(F4+1,G4,Holidays!$B$3:$B$62)</f>
        <v>21</v>
      </c>
      <c r="H23" s="18">
        <f>NETWORKDAYS(G4+1,H4,Holidays!$B$3:$B$62)</f>
        <v>21</v>
      </c>
      <c r="I23" s="18">
        <f>NETWORKDAYS(H4+1,I4,Holidays!$B$3:$B$62)</f>
        <v>22</v>
      </c>
      <c r="J23" s="18">
        <f>NETWORKDAYS(I4+1,J4,Holidays!$B$3:$B$62)</f>
        <v>20</v>
      </c>
      <c r="K23" s="18">
        <f>NETWORKDAYS(J4+1,K4,Holidays!$B$3:$B$62)</f>
        <v>23</v>
      </c>
      <c r="L23" s="18">
        <f>NETWORKDAYS(K4+1,L4,Holidays!$B$3:$B$62)</f>
        <v>21</v>
      </c>
      <c r="M23" s="18">
        <f>NETWORKDAYS(L4+1,M4,Holidays!$B$3:$B$62)</f>
        <v>21</v>
      </c>
      <c r="N23" s="18">
        <f>NETWORKDAYS(M4+1,N4,Holidays!$B$3:$B$62)</f>
        <v>21</v>
      </c>
      <c r="O23" s="18">
        <f>NETWORKDAYS(N4+1,O4,Holidays!$B$3:$B$62)</f>
        <v>21</v>
      </c>
      <c r="P23" s="18">
        <f>NETWORKDAYS(O4+1,P4,Holidays!$B$3:$B$62)</f>
        <v>21</v>
      </c>
      <c r="Q23" s="18">
        <f>NETWORKDAYS(P4+1,Q4,Holidays!$B$3:$B$62)</f>
        <v>19</v>
      </c>
      <c r="R23" s="18">
        <f>NETWORKDAYS(Q4+1,R4,Holidays!$B$3:$B$62)</f>
        <v>23</v>
      </c>
      <c r="S23" s="18">
        <f>NETWORKDAYS(R4+1,S4,Holidays!$B$3:$B$62)</f>
        <v>20</v>
      </c>
      <c r="T23" s="18">
        <f>NETWORKDAYS(S4+1,T4,Holidays!$B$3:$B$62)</f>
        <v>22</v>
      </c>
      <c r="U23" s="18">
        <f>NETWORKDAYS(T4+1,U4,Holidays!$B$3:$B$62)</f>
        <v>22</v>
      </c>
      <c r="V23" s="18">
        <f>NETWORKDAYS(U4+1,V4,Holidays!$B$3:$B$62)</f>
        <v>20</v>
      </c>
      <c r="W23" s="18">
        <f>NETWORKDAYS(V4+1,W4,Holidays!$B$3:$B$62)</f>
        <v>23</v>
      </c>
      <c r="X23" s="18">
        <f>NETWORKDAYS(W4+1,X4,Holidays!$B$3:$B$62)</f>
        <v>20</v>
      </c>
      <c r="Y23" s="18">
        <f>NETWORKDAYS(X4+1,Y4,Holidays!$B$3:$B$62)</f>
        <v>22</v>
      </c>
      <c r="Z23" s="18">
        <f>NETWORKDAYS(Y4+1,Z4,Holidays!$B$3:$B$62)</f>
        <v>20</v>
      </c>
      <c r="AA23" s="18">
        <f>NETWORKDAYS(Z4+1,AA4,Holidays!$B$3:$B$62)</f>
        <v>19</v>
      </c>
      <c r="AB23" s="18">
        <f>NETWORKDAYS(AA4+1,AB4,Holidays!$B$3:$B$62)</f>
        <v>22</v>
      </c>
      <c r="AC23" s="18">
        <f>NETWORKDAYS(AB4+1,AC4,Holidays!$B$3:$B$62)</f>
        <v>21</v>
      </c>
      <c r="AD23" s="18">
        <f>NETWORKDAYS(AC4+1,AD4,Holidays!$B$3:$B$62)</f>
        <v>21</v>
      </c>
      <c r="AE23" s="18">
        <f>NETWORKDAYS(AD4+1,AE4,Holidays!$B$3:$B$62)</f>
        <v>22</v>
      </c>
      <c r="AF23" s="18">
        <f>NETWORKDAYS(AE4+1,AF4,Holidays!$B$3:$B$62)</f>
        <v>23</v>
      </c>
      <c r="AG23" s="18">
        <f>NETWORKDAYS(AF4+1,AG4,Holidays!$B$3:$B$62)</f>
        <v>20</v>
      </c>
      <c r="AH23" s="18">
        <f>NETWORKDAYS(AG4+1,AH4,Holidays!$B$3:$B$62)</f>
        <v>22</v>
      </c>
      <c r="AI23" s="18">
        <f>NETWORKDAYS(AH4+1,AI4,Holidays!$B$3:$B$62)</f>
        <v>22</v>
      </c>
      <c r="AJ23" s="366">
        <f>NETWORKDAYS(AI4+1,AJ4,Holidays!$B$3:$B$62)</f>
        <v>21</v>
      </c>
      <c r="AK23" s="19">
        <f>NETWORKDAYS(AJ4+1,AK4,Holidays!$B$3:$B$62)</f>
        <v>23</v>
      </c>
      <c r="AL23" s="19">
        <f>NETWORKDAYS(AK4+1,AL4,Holidays!$B$3:$B$62)</f>
        <v>19</v>
      </c>
      <c r="AM23" s="402">
        <f>NETWORKDAYS(AL4+1,AM4,Holidays!$B$3:$B$62)</f>
        <v>19</v>
      </c>
      <c r="AN23" s="19">
        <f>NETWORKDAYS(AM4+1,AN4,Holidays!$B$3:$B$62)</f>
        <v>23</v>
      </c>
      <c r="AO23" s="19">
        <f>NETWORKDAYS(AN4+1,AO4,Holidays!$B$3:$B$62)</f>
        <v>20</v>
      </c>
      <c r="AP23" s="19">
        <f>NETWORKDAYS(AO4+1,AP4,Holidays!$B$3:$B$62)</f>
        <v>21</v>
      </c>
      <c r="AQ23" s="19">
        <f>NETWORKDAYS(AP4+1,AQ4,Holidays!$B$3:$B$62)</f>
        <v>22</v>
      </c>
      <c r="AR23" s="19">
        <f>NETWORKDAYS(AQ4+1,AR4,Holidays!$B$3:$B$62)</f>
        <v>22</v>
      </c>
      <c r="AS23" s="19">
        <f>NETWORKDAYS(AR4+1,AS4,Holidays!$B$3:$B$62)</f>
        <v>21</v>
      </c>
      <c r="AT23" s="19">
        <f>NETWORKDAYS(AS4+1,AT4,Holidays!$B$3:$B$62)</f>
        <v>22</v>
      </c>
      <c r="AU23" s="19">
        <f>NETWORKDAYS(AT4+1,AU4,Holidays!$B$3:$B$62)</f>
        <v>21</v>
      </c>
      <c r="AV23" s="19">
        <f>NETWORKDAYS(AU4+1,AV4,Holidays!$B$3:$B$62)</f>
        <v>22</v>
      </c>
      <c r="AW23" s="19">
        <f>NETWORKDAYS(AV4+1,AW4,Holidays!$B$3:$B$62)</f>
        <v>23</v>
      </c>
      <c r="AX23" s="19">
        <f>NETWORKDAYS(AW4+1,AX4,Holidays!$B$3:$B$62)</f>
        <v>18</v>
      </c>
      <c r="AY23" s="402">
        <f>NETWORKDAYS(AX4+1,AY4,Holidays!$B$3:$B$62)</f>
        <v>21</v>
      </c>
      <c r="AZ23" s="19">
        <f>NETWORKDAYS(AY4+1,AZ4,Holidays!$B$3:$B$62)</f>
        <v>22</v>
      </c>
      <c r="BA23" s="19">
        <f>NETWORKDAYS(AZ4+1,BA4,Holidays!$B$3:$B$62)</f>
        <v>20</v>
      </c>
      <c r="BB23" s="19">
        <f>NETWORKDAYS(BA4+1,BB4,Holidays!$B$3:$B$62)</f>
        <v>22</v>
      </c>
      <c r="BC23" s="19">
        <f>NETWORKDAYS(BB4+1,BC4,Holidays!$B$3:$B$62)</f>
        <v>22</v>
      </c>
      <c r="BD23" s="19">
        <f>NETWORKDAYS(BC4+1,BD4,Holidays!$B$3:$B$62)</f>
        <v>21</v>
      </c>
      <c r="BE23" s="19">
        <f>NETWORKDAYS(BD4+1,BE4,Holidays!$B$3:$B$62)</f>
        <v>22</v>
      </c>
      <c r="BF23" s="19">
        <f>NETWORKDAYS(BE4+1,BF4,Holidays!$B$3:$B$62)</f>
        <v>23</v>
      </c>
      <c r="BG23" s="19">
        <f>NETWORKDAYS(BF4+1,BG4,Holidays!$B$3:$B$62)</f>
        <v>21</v>
      </c>
      <c r="BH23" s="19">
        <f>NETWORKDAYS(BG4+1,BH4,Holidays!$B$3:$B$62)</f>
        <v>22</v>
      </c>
      <c r="BI23" s="19">
        <f>NETWORKDAYS(BH4+1,BI4,Holidays!$B$3:$B$62)</f>
        <v>22</v>
      </c>
      <c r="BJ23" s="19">
        <f>NETWORKDAYS(BI4+1,BJ4,Holidays!$B$3:$B$62)</f>
        <v>21</v>
      </c>
      <c r="BK23" s="402">
        <f>NETWORKDAYS(BJ4+1,BK4,Holidays!$B$3:$B$62)</f>
        <v>23</v>
      </c>
      <c r="BL23" s="19">
        <f>NETWORKDAYS(BK4+1,BL4,Holidays!$B$3:$B$62)</f>
        <v>21</v>
      </c>
      <c r="BM23" s="19">
        <f>NETWORKDAYS(BL4+1,BM4,Holidays!$B$3:$B$62)</f>
        <v>20</v>
      </c>
      <c r="BN23" s="19">
        <f>NETWORKDAYS(BM4+1,BN4,Holidays!$B$3:$B$62)</f>
        <v>23</v>
      </c>
      <c r="BO23" s="19">
        <f>NETWORKDAYS(BN4+1,BO4,Holidays!$B$3:$B$62)</f>
        <v>22</v>
      </c>
      <c r="BP23" s="19">
        <f>NETWORKDAYS(BO4+1,BP4,Holidays!$B$3:$B$62)</f>
        <v>21</v>
      </c>
      <c r="BQ23" s="19">
        <f>NETWORKDAYS(BP4+1,BQ4,Holidays!$B$3:$B$62)</f>
        <v>22</v>
      </c>
      <c r="BR23" s="19">
        <f>NETWORKDAYS(BQ4+1,BR4,Holidays!$B$3:$B$62)</f>
        <v>22</v>
      </c>
      <c r="BS23" s="19">
        <f>NETWORKDAYS(BR4+1,BS4,Holidays!$B$3:$B$62)</f>
        <v>22</v>
      </c>
      <c r="BT23" s="19">
        <f>NETWORKDAYS(BS4+1,BT4,Holidays!$B$3:$B$62)</f>
        <v>22</v>
      </c>
      <c r="BU23" s="19">
        <f>NETWORKDAYS(BT4+1,BU4,Holidays!$B$3:$B$62)</f>
        <v>21</v>
      </c>
      <c r="BV23" s="19">
        <f>NETWORKDAYS(BU4+1,BV4,Holidays!$B$3:$B$62)</f>
        <v>22</v>
      </c>
      <c r="BW23" s="402">
        <f>NETWORKDAYS(BV4+1,BW4,Holidays!$B$3:$B$62)</f>
        <v>23</v>
      </c>
      <c r="BX23" s="19">
        <f>NETWORKDAYS(BW4+1,BX4,Holidays!$B$3:$B$62)</f>
        <v>21</v>
      </c>
      <c r="BY23" s="19">
        <f>NETWORKDAYS(BX4+1,BY4,Holidays!$B$3:$B$62)</f>
        <v>21</v>
      </c>
      <c r="BZ23" s="19">
        <f>NETWORKDAYS(BY4+1,BZ4,Holidays!$B$3:$B$62)</f>
        <v>23</v>
      </c>
      <c r="CA23" s="19">
        <f>NETWORKDAYS(BZ4+1,CA4,Holidays!$B$3:$B$62)</f>
        <v>20</v>
      </c>
      <c r="CB23" s="19">
        <f>NETWORKDAYS(CA4+1,CB4,Holidays!$B$3:$B$62)</f>
        <v>23</v>
      </c>
      <c r="CC23" s="19">
        <f>NETWORKDAYS(CB4+1,CC4,Holidays!$B$3:$B$62)</f>
        <v>22</v>
      </c>
      <c r="CD23" s="19">
        <f>NETWORKDAYS(CC4+1,CD4,Holidays!$B$3:$B$62)</f>
        <v>21</v>
      </c>
      <c r="CE23" s="19">
        <f>NETWORKDAYS(CD4+1,CE4,Holidays!$B$3:$B$62)</f>
        <v>23</v>
      </c>
      <c r="CF23" s="19">
        <f>NETWORKDAYS(CE4+1,CF4,Holidays!$B$3:$B$62)</f>
        <v>21</v>
      </c>
      <c r="CG23" s="19">
        <f>NETWORKDAYS(CF4+1,CG4,Holidays!$B$3:$B$62)</f>
        <v>22</v>
      </c>
      <c r="CH23" s="19">
        <f>NETWORKDAYS(CG4+1,CH4,Holidays!$B$3:$B$62)</f>
        <v>22</v>
      </c>
      <c r="CI23" s="402">
        <f>NETWORKDAYS(CH4+1,CI4,Holidays!$B$3:$B$62)</f>
        <v>21</v>
      </c>
      <c r="CJ23" s="19">
        <f>NETWORKDAYS(CI4+1,CJ4,Holidays!$B$3:$B$62)</f>
        <v>23</v>
      </c>
      <c r="CK23" s="19">
        <f>NETWORKDAYS(CJ4+1,CK4,Holidays!$B$3:$B$62)</f>
        <v>20</v>
      </c>
      <c r="CL23" s="19">
        <f>NETWORKDAYS(CK4+1,CL4,Holidays!$B$3:$B$62)</f>
        <v>22</v>
      </c>
      <c r="CM23" s="19">
        <f>NETWORKDAYS(CL4+1,CM4,Holidays!$B$3:$B$62)</f>
        <v>21</v>
      </c>
      <c r="CN23" s="19">
        <f>NETWORKDAYS(CM4+1,CN4,Holidays!$B$3:$B$62)</f>
        <v>23</v>
      </c>
      <c r="CO23" s="19">
        <f>NETWORKDAYS(CN4+1,CO4,Holidays!$B$3:$B$62)</f>
        <v>21</v>
      </c>
      <c r="CP23" s="19">
        <f>NETWORKDAYS(CO4+1,CP4,Holidays!$B$3:$B$62)</f>
        <v>22</v>
      </c>
      <c r="CQ23" s="19">
        <f>NETWORKDAYS(CP4+1,CQ4,Holidays!$B$3:$B$62)</f>
        <v>23</v>
      </c>
      <c r="CR23" s="19">
        <f>NETWORKDAYS(CQ4+1,CR4,Holidays!$B$3:$B$62)</f>
        <v>20</v>
      </c>
      <c r="CS23" s="19">
        <f>NETWORKDAYS(CR4+1,CS4,Holidays!$B$3:$B$62)</f>
        <v>23</v>
      </c>
      <c r="CT23" s="19">
        <f>NETWORKDAYS(CS4+1,CT4,Holidays!$B$3:$B$62)</f>
        <v>22</v>
      </c>
      <c r="CU23" s="402">
        <f>NETWORKDAYS(CT4+1,CU4,Holidays!$B$3:$B$62)</f>
        <v>21</v>
      </c>
      <c r="CV23" s="19">
        <f>NETWORKDAYS(CU4+1,CV4,Holidays!$B$3:$B$62)</f>
        <v>23</v>
      </c>
      <c r="CW23" s="19">
        <f>NETWORKDAYS(CV4+1,CW4,Holidays!$B$3:$B$62)</f>
        <v>20</v>
      </c>
      <c r="CX23" s="19">
        <f>NETWORKDAYS(CW4+1,CX4,Holidays!$B$3:$B$62)</f>
        <v>21</v>
      </c>
      <c r="CY23" s="19">
        <f>NETWORKDAYS(CX4+1,CY4,Holidays!$B$3:$B$62)</f>
        <v>22</v>
      </c>
      <c r="CZ23" s="19">
        <f>NETWORKDAYS(CY4+1,CZ4,Holidays!$B$3:$B$62)</f>
        <v>23</v>
      </c>
      <c r="DA23" s="19">
        <f>NETWORKDAYS(CZ4+1,DA4,Holidays!$B$3:$B$62)</f>
        <v>20</v>
      </c>
      <c r="DB23" s="19">
        <f>NETWORKDAYS(DA4+1,DB4,Holidays!$B$3:$B$62)</f>
        <v>23</v>
      </c>
      <c r="DC23" s="19">
        <f>NETWORKDAYS(DB4+1,DC4,Holidays!$B$3:$B$62)</f>
        <v>22</v>
      </c>
      <c r="DD23" s="19">
        <f>NETWORKDAYS(DC4+1,DD4,Holidays!$B$3:$B$62)</f>
        <v>21</v>
      </c>
      <c r="DE23" s="19">
        <f>NETWORKDAYS(DD4+1,DE4,Holidays!$B$3:$B$62)</f>
        <v>23</v>
      </c>
      <c r="DF23" s="19">
        <f>NETWORKDAYS(DE4+1,DF4,Holidays!$B$3:$B$62)</f>
        <v>21</v>
      </c>
      <c r="DG23" s="20">
        <f>NETWORKDAYS(DF4+1,DG4,Holidays!$B$3:$B$62)</f>
        <v>22</v>
      </c>
    </row>
    <row r="24" spans="1:111" ht="18" x14ac:dyDescent="0.3">
      <c r="A24" s="36"/>
      <c r="B24" s="36"/>
      <c r="C24" s="594" t="s">
        <v>239</v>
      </c>
      <c r="D24" s="21"/>
      <c r="E24" s="21">
        <f t="shared" ref="E24:W24" si="63">+E25/E23/E17</f>
        <v>4.3859649122807015E-3</v>
      </c>
      <c r="F24" s="21">
        <f t="shared" si="63"/>
        <v>5.434782608695652E-3</v>
      </c>
      <c r="G24" s="21">
        <f t="shared" si="63"/>
        <v>6.8027210884353739E-3</v>
      </c>
      <c r="H24" s="21">
        <f t="shared" si="63"/>
        <v>4.7619047619047615E-3</v>
      </c>
      <c r="I24" s="21">
        <f t="shared" si="63"/>
        <v>3.4965034965034965E-3</v>
      </c>
      <c r="J24" s="21">
        <f t="shared" si="63"/>
        <v>4.5454545454545461E-3</v>
      </c>
      <c r="K24" s="21">
        <f t="shared" si="63"/>
        <v>6.5217391304347824E-2</v>
      </c>
      <c r="L24" s="21">
        <f t="shared" si="63"/>
        <v>0.10846560846560846</v>
      </c>
      <c r="M24" s="21">
        <f t="shared" si="63"/>
        <v>0.16036414565826332</v>
      </c>
      <c r="N24" s="21">
        <f t="shared" si="63"/>
        <v>0.13419913419913421</v>
      </c>
      <c r="O24" s="21">
        <f t="shared" si="63"/>
        <v>0.10204081632653061</v>
      </c>
      <c r="P24" s="21">
        <f t="shared" si="63"/>
        <v>0.10448412698412697</v>
      </c>
      <c r="Q24" s="21">
        <f t="shared" si="63"/>
        <v>0.1118421052631579</v>
      </c>
      <c r="R24" s="21">
        <f t="shared" si="63"/>
        <v>9.1304347826086957E-2</v>
      </c>
      <c r="S24" s="21">
        <f t="shared" si="63"/>
        <v>0.13035714285714287</v>
      </c>
      <c r="T24" s="21">
        <f t="shared" si="63"/>
        <v>0.21338383838383837</v>
      </c>
      <c r="U24" s="21">
        <f t="shared" si="63"/>
        <v>0.14685314685314685</v>
      </c>
      <c r="V24" s="21">
        <f t="shared" si="63"/>
        <v>0.19843749999999999</v>
      </c>
      <c r="W24" s="21">
        <f t="shared" si="63"/>
        <v>0.19279176201372997</v>
      </c>
      <c r="X24" s="21">
        <f t="shared" ref="X24:AA24" si="64">+X25/X23/X17</f>
        <v>0.22500000000000001</v>
      </c>
      <c r="Y24" s="21">
        <f t="shared" si="64"/>
        <v>0.19353693181818182</v>
      </c>
      <c r="Z24" s="21">
        <f t="shared" si="64"/>
        <v>0.13125000000000001</v>
      </c>
      <c r="AA24" s="21">
        <f t="shared" si="64"/>
        <v>9.5567867036011084E-2</v>
      </c>
      <c r="AB24" s="21">
        <f>+AB25/AB23/AB17</f>
        <v>0.12784090909090909</v>
      </c>
      <c r="AC24" s="21">
        <f>+AC25/AC23/AC17</f>
        <v>0.2365079365079365</v>
      </c>
      <c r="AD24" s="21">
        <f t="shared" ref="AD24" si="65">+AD25/AD23/AD17</f>
        <v>0.14345238095238094</v>
      </c>
      <c r="AE24" s="21">
        <f t="shared" ref="AE24:AJ24" si="66">+AE25/AE23/AE17</f>
        <v>0.18649732620320855</v>
      </c>
      <c r="AF24" s="21">
        <f t="shared" si="66"/>
        <v>0.19456521739130433</v>
      </c>
      <c r="AG24" s="21">
        <f t="shared" si="66"/>
        <v>0.12395833333333334</v>
      </c>
      <c r="AH24" s="21">
        <f t="shared" si="66"/>
        <v>0.20568181818181819</v>
      </c>
      <c r="AI24" s="21">
        <f t="shared" si="66"/>
        <v>0.26525119617224879</v>
      </c>
      <c r="AJ24" s="367">
        <f t="shared" si="66"/>
        <v>0.16241496598639454</v>
      </c>
      <c r="AK24" s="445">
        <f>+Y24</f>
        <v>0.19353693181818182</v>
      </c>
      <c r="AL24" s="22">
        <f t="shared" ref="AL24:CN24" si="67">+Z24</f>
        <v>0.13125000000000001</v>
      </c>
      <c r="AM24" s="611">
        <v>0.15</v>
      </c>
      <c r="AN24" s="22">
        <f t="shared" si="67"/>
        <v>0.12784090909090909</v>
      </c>
      <c r="AO24" s="22">
        <f t="shared" si="67"/>
        <v>0.2365079365079365</v>
      </c>
      <c r="AP24" s="22">
        <f t="shared" si="67"/>
        <v>0.14345238095238094</v>
      </c>
      <c r="AQ24" s="22">
        <f t="shared" si="67"/>
        <v>0.18649732620320855</v>
      </c>
      <c r="AR24" s="22">
        <f t="shared" si="67"/>
        <v>0.19456521739130433</v>
      </c>
      <c r="AS24" s="22">
        <f t="shared" si="67"/>
        <v>0.12395833333333334</v>
      </c>
      <c r="AT24" s="22">
        <f t="shared" si="67"/>
        <v>0.20568181818181819</v>
      </c>
      <c r="AU24" s="22">
        <f t="shared" si="67"/>
        <v>0.26525119617224879</v>
      </c>
      <c r="AV24" s="22">
        <f t="shared" si="67"/>
        <v>0.16241496598639454</v>
      </c>
      <c r="AW24" s="22">
        <f t="shared" si="67"/>
        <v>0.19353693181818182</v>
      </c>
      <c r="AX24" s="22">
        <f t="shared" si="67"/>
        <v>0.13125000000000001</v>
      </c>
      <c r="AY24" s="403">
        <f t="shared" si="67"/>
        <v>0.15</v>
      </c>
      <c r="AZ24" s="22">
        <f t="shared" si="67"/>
        <v>0.12784090909090909</v>
      </c>
      <c r="BA24" s="22">
        <f t="shared" si="67"/>
        <v>0.2365079365079365</v>
      </c>
      <c r="BB24" s="22">
        <f t="shared" si="67"/>
        <v>0.14345238095238094</v>
      </c>
      <c r="BC24" s="22">
        <f t="shared" si="67"/>
        <v>0.18649732620320855</v>
      </c>
      <c r="BD24" s="22">
        <f t="shared" si="67"/>
        <v>0.19456521739130433</v>
      </c>
      <c r="BE24" s="22">
        <f t="shared" si="67"/>
        <v>0.12395833333333334</v>
      </c>
      <c r="BF24" s="22">
        <f t="shared" si="67"/>
        <v>0.20568181818181819</v>
      </c>
      <c r="BG24" s="22">
        <f t="shared" si="67"/>
        <v>0.26525119617224879</v>
      </c>
      <c r="BH24" s="22">
        <f t="shared" si="67"/>
        <v>0.16241496598639454</v>
      </c>
      <c r="BI24" s="22">
        <f t="shared" si="67"/>
        <v>0.19353693181818182</v>
      </c>
      <c r="BJ24" s="22">
        <f t="shared" si="67"/>
        <v>0.13125000000000001</v>
      </c>
      <c r="BK24" s="403">
        <f t="shared" si="67"/>
        <v>0.15</v>
      </c>
      <c r="BL24" s="22">
        <f t="shared" si="67"/>
        <v>0.12784090909090909</v>
      </c>
      <c r="BM24" s="22">
        <f t="shared" si="67"/>
        <v>0.2365079365079365</v>
      </c>
      <c r="BN24" s="22">
        <f t="shared" si="67"/>
        <v>0.14345238095238094</v>
      </c>
      <c r="BO24" s="22">
        <f t="shared" si="67"/>
        <v>0.18649732620320855</v>
      </c>
      <c r="BP24" s="22">
        <f t="shared" si="67"/>
        <v>0.19456521739130433</v>
      </c>
      <c r="BQ24" s="22">
        <f t="shared" si="67"/>
        <v>0.12395833333333334</v>
      </c>
      <c r="BR24" s="22">
        <f t="shared" si="67"/>
        <v>0.20568181818181819</v>
      </c>
      <c r="BS24" s="22">
        <f t="shared" si="67"/>
        <v>0.26525119617224879</v>
      </c>
      <c r="BT24" s="22">
        <f t="shared" si="67"/>
        <v>0.16241496598639454</v>
      </c>
      <c r="BU24" s="22">
        <f t="shared" si="67"/>
        <v>0.19353693181818182</v>
      </c>
      <c r="BV24" s="22">
        <f t="shared" si="67"/>
        <v>0.13125000000000001</v>
      </c>
      <c r="BW24" s="403">
        <f t="shared" si="67"/>
        <v>0.15</v>
      </c>
      <c r="BX24" s="22">
        <f t="shared" si="67"/>
        <v>0.12784090909090909</v>
      </c>
      <c r="BY24" s="22">
        <f t="shared" si="67"/>
        <v>0.2365079365079365</v>
      </c>
      <c r="BZ24" s="22">
        <f t="shared" si="67"/>
        <v>0.14345238095238094</v>
      </c>
      <c r="CA24" s="22">
        <f t="shared" si="67"/>
        <v>0.18649732620320855</v>
      </c>
      <c r="CB24" s="22">
        <f t="shared" si="67"/>
        <v>0.19456521739130433</v>
      </c>
      <c r="CC24" s="22">
        <f t="shared" si="67"/>
        <v>0.12395833333333334</v>
      </c>
      <c r="CD24" s="22">
        <f t="shared" si="67"/>
        <v>0.20568181818181819</v>
      </c>
      <c r="CE24" s="22">
        <f t="shared" si="67"/>
        <v>0.26525119617224879</v>
      </c>
      <c r="CF24" s="22">
        <f t="shared" si="67"/>
        <v>0.16241496598639454</v>
      </c>
      <c r="CG24" s="22">
        <f t="shared" si="67"/>
        <v>0.19353693181818182</v>
      </c>
      <c r="CH24" s="22">
        <f t="shared" si="67"/>
        <v>0.13125000000000001</v>
      </c>
      <c r="CI24" s="403">
        <f t="shared" si="67"/>
        <v>0.15</v>
      </c>
      <c r="CJ24" s="22">
        <f t="shared" si="67"/>
        <v>0.12784090909090909</v>
      </c>
      <c r="CK24" s="22">
        <f t="shared" si="67"/>
        <v>0.2365079365079365</v>
      </c>
      <c r="CL24" s="22">
        <f t="shared" si="67"/>
        <v>0.14345238095238094</v>
      </c>
      <c r="CM24" s="22">
        <f t="shared" si="67"/>
        <v>0.18649732620320855</v>
      </c>
      <c r="CN24" s="22">
        <f t="shared" si="67"/>
        <v>0.19456521739130433</v>
      </c>
      <c r="CO24" s="22">
        <f t="shared" ref="CO24:DG24" si="68">+CC24</f>
        <v>0.12395833333333334</v>
      </c>
      <c r="CP24" s="22">
        <f t="shared" si="68"/>
        <v>0.20568181818181819</v>
      </c>
      <c r="CQ24" s="22">
        <f t="shared" si="68"/>
        <v>0.26525119617224879</v>
      </c>
      <c r="CR24" s="22">
        <f t="shared" si="68"/>
        <v>0.16241496598639454</v>
      </c>
      <c r="CS24" s="22">
        <f t="shared" si="68"/>
        <v>0.19353693181818182</v>
      </c>
      <c r="CT24" s="22">
        <f t="shared" si="68"/>
        <v>0.13125000000000001</v>
      </c>
      <c r="CU24" s="403">
        <f t="shared" si="68"/>
        <v>0.15</v>
      </c>
      <c r="CV24" s="22">
        <f t="shared" si="68"/>
        <v>0.12784090909090909</v>
      </c>
      <c r="CW24" s="22">
        <f t="shared" si="68"/>
        <v>0.2365079365079365</v>
      </c>
      <c r="CX24" s="22">
        <f t="shared" si="68"/>
        <v>0.14345238095238094</v>
      </c>
      <c r="CY24" s="22">
        <f t="shared" si="68"/>
        <v>0.18649732620320855</v>
      </c>
      <c r="CZ24" s="22">
        <f t="shared" si="68"/>
        <v>0.19456521739130433</v>
      </c>
      <c r="DA24" s="22">
        <f t="shared" si="68"/>
        <v>0.12395833333333334</v>
      </c>
      <c r="DB24" s="22">
        <f t="shared" si="68"/>
        <v>0.20568181818181819</v>
      </c>
      <c r="DC24" s="22">
        <f t="shared" si="68"/>
        <v>0.26525119617224879</v>
      </c>
      <c r="DD24" s="22">
        <f t="shared" si="68"/>
        <v>0.16241496598639454</v>
      </c>
      <c r="DE24" s="22">
        <f t="shared" si="68"/>
        <v>0.19353693181818182</v>
      </c>
      <c r="DF24" s="22">
        <f t="shared" si="68"/>
        <v>0.13125000000000001</v>
      </c>
      <c r="DG24" s="23">
        <f t="shared" si="68"/>
        <v>0.15</v>
      </c>
    </row>
    <row r="25" spans="1:111" ht="18" x14ac:dyDescent="0.3">
      <c r="A25" s="36"/>
      <c r="B25" s="36"/>
      <c r="C25" s="594" t="s">
        <v>354</v>
      </c>
      <c r="D25" s="15"/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49">
        <v>7.5</v>
      </c>
      <c r="L25" s="49">
        <f>20.5</f>
        <v>20.5</v>
      </c>
      <c r="M25" s="49">
        <v>57.25</v>
      </c>
      <c r="N25" s="49">
        <v>31</v>
      </c>
      <c r="O25" s="49">
        <v>15</v>
      </c>
      <c r="P25" s="49">
        <f t="shared" ref="P25:AD25" si="69">+SUM(P27:P31)</f>
        <v>26.33</v>
      </c>
      <c r="Q25" s="49">
        <f t="shared" si="69"/>
        <v>21.25</v>
      </c>
      <c r="R25" s="49">
        <f t="shared" si="69"/>
        <v>21</v>
      </c>
      <c r="S25" s="49">
        <f t="shared" si="69"/>
        <v>18.25</v>
      </c>
      <c r="T25" s="49">
        <f t="shared" si="69"/>
        <v>42.25</v>
      </c>
      <c r="U25" s="49">
        <f t="shared" si="69"/>
        <v>42</v>
      </c>
      <c r="V25" s="49">
        <f t="shared" si="69"/>
        <v>31.75</v>
      </c>
      <c r="W25" s="49">
        <f t="shared" si="69"/>
        <v>84.25</v>
      </c>
      <c r="X25" s="49">
        <f t="shared" si="69"/>
        <v>130.5</v>
      </c>
      <c r="Y25" s="49">
        <f t="shared" si="69"/>
        <v>136.25</v>
      </c>
      <c r="Z25" s="49">
        <f t="shared" si="69"/>
        <v>84</v>
      </c>
      <c r="AA25" s="49">
        <f t="shared" si="69"/>
        <v>34.5</v>
      </c>
      <c r="AB25" s="388">
        <f t="shared" si="69"/>
        <v>45</v>
      </c>
      <c r="AC25" s="388">
        <f t="shared" si="69"/>
        <v>74.5</v>
      </c>
      <c r="AD25" s="388">
        <f t="shared" si="69"/>
        <v>60.25</v>
      </c>
      <c r="AE25" s="388">
        <f t="shared" ref="AE25:AJ25" si="70">+SUM(AE27:AE31)</f>
        <v>69.75</v>
      </c>
      <c r="AF25" s="388">
        <f t="shared" si="70"/>
        <v>89.5</v>
      </c>
      <c r="AG25" s="388">
        <f t="shared" si="70"/>
        <v>59.5</v>
      </c>
      <c r="AH25" s="388">
        <f t="shared" si="70"/>
        <v>135.75</v>
      </c>
      <c r="AI25" s="388">
        <f t="shared" si="70"/>
        <v>221.75</v>
      </c>
      <c r="AJ25" s="389">
        <f t="shared" si="70"/>
        <v>143.25</v>
      </c>
      <c r="AK25" s="24">
        <f>+AK17*AK23*AK24</f>
        <v>195.859375</v>
      </c>
      <c r="AL25" s="24">
        <f t="shared" ref="AL25:CI25" si="71">+AL17*AL23*AL24</f>
        <v>92.268749999999997</v>
      </c>
      <c r="AM25" s="404">
        <f>+AM17*AM23*AM24</f>
        <v>91.2</v>
      </c>
      <c r="AN25" s="24">
        <f t="shared" si="71"/>
        <v>75.27272727272728</v>
      </c>
      <c r="AO25" s="24">
        <f t="shared" si="71"/>
        <v>140.0126984126984</v>
      </c>
      <c r="AP25" s="24">
        <f t="shared" si="71"/>
        <v>88.567499999999995</v>
      </c>
      <c r="AQ25" s="24">
        <f t="shared" si="71"/>
        <v>119.80588235294115</v>
      </c>
      <c r="AR25" s="24">
        <f t="shared" si="71"/>
        <v>133.54956521739126</v>
      </c>
      <c r="AS25" s="24">
        <f t="shared" si="71"/>
        <v>72.887499999999989</v>
      </c>
      <c r="AT25" s="24">
        <f t="shared" si="71"/>
        <v>135.74999999999997</v>
      </c>
      <c r="AU25" s="24">
        <f t="shared" si="71"/>
        <v>200.52990430622006</v>
      </c>
      <c r="AV25" s="24">
        <f t="shared" si="71"/>
        <v>153.64455782312922</v>
      </c>
      <c r="AW25" s="24">
        <f t="shared" si="71"/>
        <v>218.11612215909088</v>
      </c>
      <c r="AX25" s="24">
        <f t="shared" si="71"/>
        <v>103.47749999999999</v>
      </c>
      <c r="AY25" s="404">
        <f>+AY17*AY23*AY24</f>
        <v>124.73999999999995</v>
      </c>
      <c r="AZ25" s="24">
        <f t="shared" si="71"/>
        <v>91.237499999999955</v>
      </c>
      <c r="BA25" s="24">
        <f t="shared" si="71"/>
        <v>189.39555555555543</v>
      </c>
      <c r="BB25" s="24">
        <f t="shared" si="71"/>
        <v>128.63661904761895</v>
      </c>
      <c r="BC25" s="24">
        <f t="shared" si="71"/>
        <v>166.0870588235293</v>
      </c>
      <c r="BD25" s="24">
        <f t="shared" si="71"/>
        <v>180.10513043478247</v>
      </c>
      <c r="BE25" s="24">
        <f t="shared" si="71"/>
        <v>108.53791666666659</v>
      </c>
      <c r="BF25" s="24">
        <f t="shared" si="71"/>
        <v>200.58090909090893</v>
      </c>
      <c r="BG25" s="24">
        <f t="shared" si="71"/>
        <v>284.08403110047823</v>
      </c>
      <c r="BH25" s="24">
        <f t="shared" si="71"/>
        <v>216.53163265306102</v>
      </c>
      <c r="BI25" s="24">
        <f t="shared" si="71"/>
        <v>294.64062499999977</v>
      </c>
      <c r="BJ25" s="24">
        <f t="shared" si="71"/>
        <v>170.66699999999986</v>
      </c>
      <c r="BK25" s="404">
        <f t="shared" si="71"/>
        <v>195.40799999999979</v>
      </c>
      <c r="BL25" s="24">
        <f t="shared" si="71"/>
        <v>122.46340909090894</v>
      </c>
      <c r="BM25" s="24">
        <f t="shared" si="71"/>
        <v>265.15377777777746</v>
      </c>
      <c r="BN25" s="24">
        <f t="shared" si="71"/>
        <v>188.93711428571407</v>
      </c>
      <c r="BO25" s="24">
        <f t="shared" si="71"/>
        <v>235.8042352941174</v>
      </c>
      <c r="BP25" s="24">
        <f t="shared" si="71"/>
        <v>252.96435652173886</v>
      </c>
      <c r="BQ25" s="24">
        <f t="shared" si="71"/>
        <v>153.04391666666649</v>
      </c>
      <c r="BR25" s="24">
        <f t="shared" si="71"/>
        <v>274.03399999999971</v>
      </c>
      <c r="BS25" s="24">
        <f t="shared" si="71"/>
        <v>420.15789473684168</v>
      </c>
      <c r="BT25" s="24">
        <f t="shared" si="71"/>
        <v>305.28816326530585</v>
      </c>
      <c r="BU25" s="24">
        <f t="shared" si="71"/>
        <v>397.811292613636</v>
      </c>
      <c r="BV25" s="24">
        <f t="shared" si="71"/>
        <v>251.4665999999998</v>
      </c>
      <c r="BW25" s="404">
        <f t="shared" si="71"/>
        <v>273.57119999999969</v>
      </c>
      <c r="BX25" s="24">
        <f t="shared" si="71"/>
        <v>173.59649999999979</v>
      </c>
      <c r="BY25" s="24">
        <f t="shared" si="71"/>
        <v>392.75605333333283</v>
      </c>
      <c r="BZ25" s="24">
        <f t="shared" si="71"/>
        <v>263.8520790476187</v>
      </c>
      <c r="CA25" s="24">
        <f t="shared" si="71"/>
        <v>297.87651336898358</v>
      </c>
      <c r="CB25" s="24">
        <f t="shared" si="71"/>
        <v>390.56367999999952</v>
      </c>
      <c r="CC25" s="24">
        <f t="shared" si="71"/>
        <v>213.17064999999971</v>
      </c>
      <c r="CD25" s="24">
        <f t="shared" si="71"/>
        <v>365.34520909090861</v>
      </c>
      <c r="CE25" s="24">
        <f t="shared" si="71"/>
        <v>616.17852870813317</v>
      </c>
      <c r="CF25" s="24">
        <f t="shared" si="71"/>
        <v>407.29385714285672</v>
      </c>
      <c r="CG25" s="24">
        <f t="shared" si="71"/>
        <v>582.60499999999945</v>
      </c>
      <c r="CH25" s="24">
        <f t="shared" si="71"/>
        <v>354.36323999999968</v>
      </c>
      <c r="CI25" s="404">
        <f t="shared" si="71"/>
        <v>351.58535999999958</v>
      </c>
      <c r="CJ25" s="24">
        <f t="shared" ref="CJ25:DG25" si="72">+CJ17*CJ23*CJ24</f>
        <v>267.94550454545418</v>
      </c>
      <c r="CK25" s="24">
        <f t="shared" si="72"/>
        <v>524.6207695238088</v>
      </c>
      <c r="CL25" s="24">
        <f t="shared" si="72"/>
        <v>355.22592076190421</v>
      </c>
      <c r="CM25" s="24">
        <f t="shared" si="72"/>
        <v>443.36149604278</v>
      </c>
      <c r="CN25" s="24">
        <f t="shared" si="72"/>
        <v>550.36915199999908</v>
      </c>
      <c r="CO25" s="24">
        <f t="shared" si="72"/>
        <v>287.99725499999948</v>
      </c>
      <c r="CP25" s="24">
        <f t="shared" si="72"/>
        <v>540.3646399999991</v>
      </c>
      <c r="CQ25" s="24">
        <f t="shared" si="72"/>
        <v>867.53056220095539</v>
      </c>
      <c r="CR25" s="24">
        <f t="shared" si="72"/>
        <v>548.90541496598553</v>
      </c>
      <c r="CS25" s="24">
        <f t="shared" si="72"/>
        <v>858.06348295454438</v>
      </c>
      <c r="CT25" s="24">
        <f t="shared" si="72"/>
        <v>497.84103599999924</v>
      </c>
      <c r="CU25" s="404">
        <f t="shared" si="72"/>
        <v>494.7395039999991</v>
      </c>
      <c r="CV25" s="24">
        <f t="shared" si="72"/>
        <v>376.88791090909001</v>
      </c>
      <c r="CW25" s="24">
        <f>+CW17*CW23*CW24</f>
        <v>735.41510907936333</v>
      </c>
      <c r="CX25" s="24">
        <f t="shared" si="72"/>
        <v>476.51850319999886</v>
      </c>
      <c r="CY25" s="24">
        <f t="shared" si="72"/>
        <v>651.90470399999845</v>
      </c>
      <c r="CZ25" s="24">
        <f t="shared" si="72"/>
        <v>770.51681279999821</v>
      </c>
      <c r="DA25" s="24">
        <f t="shared" si="72"/>
        <v>383.99633999999901</v>
      </c>
      <c r="DB25" s="24">
        <f t="shared" si="72"/>
        <v>790.89733672727061</v>
      </c>
      <c r="DC25" s="24">
        <f t="shared" si="72"/>
        <v>1164.0707894736813</v>
      </c>
      <c r="DD25" s="24">
        <f t="shared" si="72"/>
        <v>807.57310285714095</v>
      </c>
      <c r="DE25" s="24">
        <f t="shared" si="72"/>
        <v>1206.6304954545431</v>
      </c>
      <c r="DF25" s="24">
        <f t="shared" si="72"/>
        <v>666.3991571999984</v>
      </c>
      <c r="DG25" s="25">
        <f t="shared" si="72"/>
        <v>727.597939199998</v>
      </c>
    </row>
    <row r="26" spans="1:111" ht="18" hidden="1" x14ac:dyDescent="0.3">
      <c r="A26" s="36"/>
      <c r="B26" s="36"/>
      <c r="C26" s="594" t="s">
        <v>162</v>
      </c>
      <c r="D26" s="15"/>
      <c r="E26" s="15"/>
      <c r="F26" s="15"/>
      <c r="G26" s="15"/>
      <c r="H26" s="15"/>
      <c r="I26" s="15"/>
      <c r="J26" s="15"/>
      <c r="K26" s="15"/>
      <c r="L26" s="15">
        <v>3.75</v>
      </c>
      <c r="M26" s="15">
        <v>14.75</v>
      </c>
      <c r="N26" s="15">
        <v>13.5</v>
      </c>
      <c r="O26" s="15">
        <v>14</v>
      </c>
      <c r="P26" s="49">
        <v>14</v>
      </c>
      <c r="Q26" s="49">
        <v>14</v>
      </c>
      <c r="R26" s="49">
        <v>5.5</v>
      </c>
      <c r="S26" s="49">
        <v>4.5</v>
      </c>
      <c r="T26" s="49">
        <v>5</v>
      </c>
      <c r="U26" s="49">
        <v>25.75</v>
      </c>
      <c r="V26" s="49">
        <v>11.75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388">
        <v>0</v>
      </c>
      <c r="AC26" s="388">
        <v>0</v>
      </c>
      <c r="AD26" s="388">
        <v>0</v>
      </c>
      <c r="AE26" s="388">
        <v>0</v>
      </c>
      <c r="AF26" s="388">
        <v>0</v>
      </c>
      <c r="AG26" s="388">
        <v>0</v>
      </c>
      <c r="AH26" s="388">
        <v>0</v>
      </c>
      <c r="AI26" s="388">
        <v>0</v>
      </c>
      <c r="AJ26" s="389">
        <v>0</v>
      </c>
      <c r="AK26" s="24">
        <v>0</v>
      </c>
      <c r="AL26" s="24">
        <f t="shared" ref="AL26:CC26" si="73">AK26</f>
        <v>0</v>
      </c>
      <c r="AM26" s="404">
        <f t="shared" si="73"/>
        <v>0</v>
      </c>
      <c r="AN26" s="24">
        <f t="shared" si="73"/>
        <v>0</v>
      </c>
      <c r="AO26" s="24">
        <f t="shared" si="73"/>
        <v>0</v>
      </c>
      <c r="AP26" s="24">
        <f t="shared" si="73"/>
        <v>0</v>
      </c>
      <c r="AQ26" s="24">
        <f t="shared" si="73"/>
        <v>0</v>
      </c>
      <c r="AR26" s="24">
        <f t="shared" si="73"/>
        <v>0</v>
      </c>
      <c r="AS26" s="24">
        <f t="shared" si="73"/>
        <v>0</v>
      </c>
      <c r="AT26" s="24">
        <f t="shared" si="73"/>
        <v>0</v>
      </c>
      <c r="AU26" s="24">
        <f t="shared" si="73"/>
        <v>0</v>
      </c>
      <c r="AV26" s="24">
        <f t="shared" si="73"/>
        <v>0</v>
      </c>
      <c r="AW26" s="24">
        <f t="shared" si="73"/>
        <v>0</v>
      </c>
      <c r="AX26" s="24">
        <f t="shared" si="73"/>
        <v>0</v>
      </c>
      <c r="AY26" s="404">
        <f t="shared" si="73"/>
        <v>0</v>
      </c>
      <c r="AZ26" s="24">
        <f t="shared" si="73"/>
        <v>0</v>
      </c>
      <c r="BA26" s="24">
        <f t="shared" si="73"/>
        <v>0</v>
      </c>
      <c r="BB26" s="24">
        <f t="shared" si="73"/>
        <v>0</v>
      </c>
      <c r="BC26" s="24">
        <f t="shared" si="73"/>
        <v>0</v>
      </c>
      <c r="BD26" s="24">
        <f t="shared" si="73"/>
        <v>0</v>
      </c>
      <c r="BE26" s="24">
        <f t="shared" si="73"/>
        <v>0</v>
      </c>
      <c r="BF26" s="24">
        <f t="shared" si="73"/>
        <v>0</v>
      </c>
      <c r="BG26" s="24">
        <f t="shared" si="73"/>
        <v>0</v>
      </c>
      <c r="BH26" s="24">
        <f t="shared" si="73"/>
        <v>0</v>
      </c>
      <c r="BI26" s="24">
        <f t="shared" si="73"/>
        <v>0</v>
      </c>
      <c r="BJ26" s="24">
        <f t="shared" si="73"/>
        <v>0</v>
      </c>
      <c r="BK26" s="404">
        <f t="shared" si="73"/>
        <v>0</v>
      </c>
      <c r="BL26" s="24">
        <f t="shared" si="73"/>
        <v>0</v>
      </c>
      <c r="BM26" s="24">
        <f t="shared" si="73"/>
        <v>0</v>
      </c>
      <c r="BN26" s="24">
        <f t="shared" si="73"/>
        <v>0</v>
      </c>
      <c r="BO26" s="24">
        <f t="shared" si="73"/>
        <v>0</v>
      </c>
      <c r="BP26" s="24">
        <f t="shared" si="73"/>
        <v>0</v>
      </c>
      <c r="BQ26" s="24">
        <f t="shared" si="73"/>
        <v>0</v>
      </c>
      <c r="BR26" s="24">
        <f t="shared" si="73"/>
        <v>0</v>
      </c>
      <c r="BS26" s="24">
        <f t="shared" si="73"/>
        <v>0</v>
      </c>
      <c r="BT26" s="24">
        <f t="shared" si="73"/>
        <v>0</v>
      </c>
      <c r="BU26" s="24">
        <f t="shared" si="73"/>
        <v>0</v>
      </c>
      <c r="BV26" s="24">
        <f t="shared" si="73"/>
        <v>0</v>
      </c>
      <c r="BW26" s="404">
        <f t="shared" si="73"/>
        <v>0</v>
      </c>
      <c r="BX26" s="24">
        <f t="shared" si="73"/>
        <v>0</v>
      </c>
      <c r="BY26" s="24">
        <f t="shared" si="73"/>
        <v>0</v>
      </c>
      <c r="BZ26" s="24">
        <f t="shared" si="73"/>
        <v>0</v>
      </c>
      <c r="CA26" s="24">
        <f t="shared" si="73"/>
        <v>0</v>
      </c>
      <c r="CB26" s="24">
        <f t="shared" si="73"/>
        <v>0</v>
      </c>
      <c r="CC26" s="24">
        <f t="shared" si="73"/>
        <v>0</v>
      </c>
      <c r="CD26" s="24">
        <f t="shared" ref="CD26:DG26" si="74">CC26</f>
        <v>0</v>
      </c>
      <c r="CE26" s="24">
        <f t="shared" si="74"/>
        <v>0</v>
      </c>
      <c r="CF26" s="24">
        <f t="shared" si="74"/>
        <v>0</v>
      </c>
      <c r="CG26" s="24">
        <f t="shared" si="74"/>
        <v>0</v>
      </c>
      <c r="CH26" s="24">
        <f t="shared" si="74"/>
        <v>0</v>
      </c>
      <c r="CI26" s="404">
        <f t="shared" si="74"/>
        <v>0</v>
      </c>
      <c r="CJ26" s="24">
        <f t="shared" si="74"/>
        <v>0</v>
      </c>
      <c r="CK26" s="24">
        <f t="shared" si="74"/>
        <v>0</v>
      </c>
      <c r="CL26" s="24">
        <f t="shared" si="74"/>
        <v>0</v>
      </c>
      <c r="CM26" s="24">
        <f t="shared" si="74"/>
        <v>0</v>
      </c>
      <c r="CN26" s="24">
        <f t="shared" si="74"/>
        <v>0</v>
      </c>
      <c r="CO26" s="24">
        <f t="shared" si="74"/>
        <v>0</v>
      </c>
      <c r="CP26" s="24">
        <f t="shared" si="74"/>
        <v>0</v>
      </c>
      <c r="CQ26" s="24">
        <f t="shared" si="74"/>
        <v>0</v>
      </c>
      <c r="CR26" s="24">
        <f t="shared" si="74"/>
        <v>0</v>
      </c>
      <c r="CS26" s="24">
        <f t="shared" si="74"/>
        <v>0</v>
      </c>
      <c r="CT26" s="24">
        <f t="shared" si="74"/>
        <v>0</v>
      </c>
      <c r="CU26" s="404">
        <f t="shared" si="74"/>
        <v>0</v>
      </c>
      <c r="CV26" s="24">
        <f t="shared" si="74"/>
        <v>0</v>
      </c>
      <c r="CW26" s="24">
        <f t="shared" si="74"/>
        <v>0</v>
      </c>
      <c r="CX26" s="24">
        <f t="shared" si="74"/>
        <v>0</v>
      </c>
      <c r="CY26" s="24">
        <f t="shared" si="74"/>
        <v>0</v>
      </c>
      <c r="CZ26" s="24">
        <f t="shared" si="74"/>
        <v>0</v>
      </c>
      <c r="DA26" s="24">
        <f t="shared" si="74"/>
        <v>0</v>
      </c>
      <c r="DB26" s="24">
        <f t="shared" si="74"/>
        <v>0</v>
      </c>
      <c r="DC26" s="24">
        <f t="shared" si="74"/>
        <v>0</v>
      </c>
      <c r="DD26" s="24">
        <f t="shared" si="74"/>
        <v>0</v>
      </c>
      <c r="DE26" s="24">
        <f t="shared" si="74"/>
        <v>0</v>
      </c>
      <c r="DF26" s="24">
        <f>DE26</f>
        <v>0</v>
      </c>
      <c r="DG26" s="25">
        <f t="shared" si="74"/>
        <v>0</v>
      </c>
    </row>
    <row r="27" spans="1:111" ht="18" x14ac:dyDescent="0.3">
      <c r="A27" s="36"/>
      <c r="B27" s="36"/>
      <c r="C27" s="594" t="s">
        <v>287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9">
        <v>21.5</v>
      </c>
      <c r="Q27" s="49">
        <f>8.25+5</f>
        <v>13.25</v>
      </c>
      <c r="R27" s="49">
        <v>18.25</v>
      </c>
      <c r="S27" s="49">
        <v>16.25</v>
      </c>
      <c r="T27" s="49">
        <v>37</v>
      </c>
      <c r="U27" s="49">
        <v>40.75</v>
      </c>
      <c r="V27" s="49">
        <v>22</v>
      </c>
      <c r="W27" s="49">
        <v>56.25</v>
      </c>
      <c r="X27" s="49">
        <v>60</v>
      </c>
      <c r="Y27" s="49">
        <v>58.5</v>
      </c>
      <c r="Z27" s="49">
        <v>47.75</v>
      </c>
      <c r="AA27" s="49">
        <v>21.75</v>
      </c>
      <c r="AB27" s="388">
        <v>22.25</v>
      </c>
      <c r="AC27" s="388">
        <v>36</v>
      </c>
      <c r="AD27" s="388">
        <v>25.75</v>
      </c>
      <c r="AE27" s="388">
        <v>32</v>
      </c>
      <c r="AF27" s="388">
        <v>27.5</v>
      </c>
      <c r="AG27" s="388">
        <v>14</v>
      </c>
      <c r="AH27" s="388">
        <v>15.5</v>
      </c>
      <c r="AI27" s="388">
        <v>14</v>
      </c>
      <c r="AJ27" s="389">
        <v>4.75</v>
      </c>
      <c r="AK27" s="24">
        <f>+IFERROR(AK$25*(Y27/Y$25), 0)</f>
        <v>84.09375</v>
      </c>
      <c r="AL27" s="24">
        <f t="shared" ref="AL27:AL31" si="75">+IFERROR(AL$25*(Z27/Z$25), 0)</f>
        <v>52.450390624999997</v>
      </c>
      <c r="AM27" s="404">
        <f t="shared" ref="AM27:AM31" si="76">+IFERROR(AM$25*(AA27/AA$25), 0)</f>
        <v>57.495652173913051</v>
      </c>
      <c r="AN27" s="24">
        <f t="shared" ref="AN27:AN31" si="77">+IFERROR(AN$25*(AB27/AB$25), 0)</f>
        <v>37.218181818181826</v>
      </c>
      <c r="AO27" s="24">
        <f t="shared" ref="AO27:AO31" si="78">+IFERROR(AO$25*(AC27/AC$25), 0)</f>
        <v>67.657142857142858</v>
      </c>
      <c r="AP27" s="24">
        <f t="shared" ref="AP27:AP31" si="79">+IFERROR(AP$25*(AD27/AD$25), 0)</f>
        <v>37.852499999999999</v>
      </c>
      <c r="AQ27" s="24">
        <f>+IFERROR(AQ$25*(AE27/AE$25), 0)</f>
        <v>54.964705882352931</v>
      </c>
      <c r="AR27" s="24">
        <f t="shared" ref="AR27:AR31" si="80">+IFERROR(AR$25*(AF27/AF$25), 0)</f>
        <v>41.034782608695643</v>
      </c>
      <c r="AS27" s="24">
        <f t="shared" ref="AS27:AS31" si="81">+IFERROR(AS$25*(AG27/AG$25), 0)</f>
        <v>17.149999999999999</v>
      </c>
      <c r="AT27" s="24">
        <f t="shared" ref="AT27:AT31" si="82">+IFERROR(AT$25*(AH27/AH$25), 0)</f>
        <v>15.499999999999996</v>
      </c>
      <c r="AU27" s="24">
        <f t="shared" ref="AU27:AU31" si="83">+IFERROR(AU$25*(AI27/AI$25), 0)</f>
        <v>12.66028708133971</v>
      </c>
      <c r="AV27" s="24">
        <f t="shared" ref="AV27:AV31" si="84">+IFERROR(AV$25*(AJ27/AJ$25), 0)</f>
        <v>5.0946712018140579</v>
      </c>
      <c r="AW27" s="24">
        <f t="shared" ref="AW27:AW31" si="85">+IFERROR(AW$25*(AK27/AK$25), 0)</f>
        <v>93.649857954545453</v>
      </c>
      <c r="AX27" s="24">
        <f t="shared" ref="AX27:AX31" si="86">+IFERROR(AX$25*(AL27/AL$25), 0)</f>
        <v>58.822031249999995</v>
      </c>
      <c r="AY27" s="404">
        <f>+IFERROR(AY$25*(AM27/AM$25), 0)</f>
        <v>78.640434782608665</v>
      </c>
      <c r="AZ27" s="24">
        <f t="shared" ref="AZ27:AZ31" si="87">+IFERROR(AZ$25*(AN27/AN$25), 0)</f>
        <v>45.111874999999984</v>
      </c>
      <c r="BA27" s="24">
        <f t="shared" ref="BA27:BA31" si="88">+IFERROR(BA$25*(AO27/AO$25), 0)</f>
        <v>91.519999999999953</v>
      </c>
      <c r="BB27" s="24">
        <f t="shared" ref="BB27:BB31" si="89">+IFERROR(BB$25*(AP27/AP$25), 0)</f>
        <v>54.977476190476153</v>
      </c>
      <c r="BC27" s="24">
        <f t="shared" ref="BC27:BC31" si="90">+IFERROR(BC$25*(AQ27/AQ$25), 0)</f>
        <v>76.197647058823478</v>
      </c>
      <c r="BD27" s="24">
        <f t="shared" ref="BD27:BD31" si="91">+IFERROR(BD$25*(AR27/AR$25), 0)</f>
        <v>55.339565217391261</v>
      </c>
      <c r="BE27" s="24">
        <f t="shared" ref="BE27:BE31" si="92">+IFERROR(BE$25*(AS27/AS$25), 0)</f>
        <v>25.538333333333316</v>
      </c>
      <c r="BF27" s="24">
        <f t="shared" ref="BF27:BF31" si="93">+IFERROR(BF$25*(AT27/AT$25), 0)</f>
        <v>22.902424242424225</v>
      </c>
      <c r="BG27" s="24">
        <f t="shared" ref="BG27:BG31" si="94">+IFERROR(BG$25*(AU27/AU$25), 0)</f>
        <v>17.935406698564577</v>
      </c>
      <c r="BH27" s="24">
        <f t="shared" ref="BH27:BH31" si="95">+IFERROR(BH$25*(AV27/AV$25), 0)</f>
        <v>7.1799319727891096</v>
      </c>
      <c r="BI27" s="24">
        <f t="shared" ref="BI27:BI31" si="96">+IFERROR(BI$25*(AW27/AW$25), 0)</f>
        <v>126.50624999999992</v>
      </c>
      <c r="BJ27" s="24">
        <f t="shared" ref="BJ27:BJ31" si="97">+IFERROR(BJ$25*(AX27/AX$25), 0)</f>
        <v>97.016062499999919</v>
      </c>
      <c r="BK27" s="404">
        <f t="shared" ref="BK27:BK31" si="98">+IFERROR(BK$25*(AY27/AY$25), 0)</f>
        <v>123.19199999999987</v>
      </c>
      <c r="BL27" s="24">
        <f t="shared" ref="BL27:BL31" si="99">+IFERROR(BL$25*(AZ27/AZ$25), 0)</f>
        <v>60.551352272727208</v>
      </c>
      <c r="BM27" s="24">
        <f t="shared" ref="BM27:BM31" si="100">+IFERROR(BM$25*(BA27/BA$25), 0)</f>
        <v>128.12799999999987</v>
      </c>
      <c r="BN27" s="24">
        <f t="shared" ref="BN27:BN31" si="101">+IFERROR(BN$25*(BB27/BB$25), 0)</f>
        <v>80.749057142857055</v>
      </c>
      <c r="BO27" s="24">
        <f t="shared" ref="BO27:BO31" si="102">+IFERROR(BO$25*(BC27/BC$25), 0)</f>
        <v>108.18258823529401</v>
      </c>
      <c r="BP27" s="24">
        <f t="shared" ref="BP27:BP31" si="103">+IFERROR(BP$25*(BD27/BD$25), 0)</f>
        <v>77.726478260869484</v>
      </c>
      <c r="BQ27" s="24">
        <f t="shared" ref="BQ27:BQ31" si="104">+IFERROR(BQ$25*(BE27/BE$25), 0)</f>
        <v>36.010333333333293</v>
      </c>
      <c r="BR27" s="24">
        <f t="shared" ref="BR27:BR31" si="105">+IFERROR(BR$25*(BF27/BF$25), 0)</f>
        <v>31.2893333333333</v>
      </c>
      <c r="BS27" s="24">
        <f t="shared" ref="BS27:BS31" si="106">+IFERROR(BS$25*(BG27/BG$25), 0)</f>
        <v>26.526315789473657</v>
      </c>
      <c r="BT27" s="24">
        <f t="shared" ref="BT27:BT31" si="107">+IFERROR(BT$25*(BH27/BH$25), 0)</f>
        <v>10.122993197278904</v>
      </c>
      <c r="BU27" s="24">
        <f t="shared" ref="BU27:BU31" si="108">+IFERROR(BU$25*(BI27/BI$25), 0)</f>
        <v>170.80338068181806</v>
      </c>
      <c r="BV27" s="24">
        <f t="shared" ref="BV27:BV31" si="109">+IFERROR(BV$25*(BJ27/BJ$25), 0)</f>
        <v>142.94678749999989</v>
      </c>
      <c r="BW27" s="404">
        <f t="shared" ref="BW27:BW31" si="110">+IFERROR(BW$25*(BK27/BK$25), 0)</f>
        <v>172.46879999999982</v>
      </c>
      <c r="BX27" s="24">
        <f t="shared" ref="BX27:BX31" si="111">+IFERROR(BX$25*(BL27/BL$25), 0)</f>
        <v>85.833824999999905</v>
      </c>
      <c r="BY27" s="24">
        <f t="shared" ref="BY27:BY31" si="112">+IFERROR(BY$25*(BM27/BM$25), 0)</f>
        <v>189.78815999999978</v>
      </c>
      <c r="BZ27" s="24">
        <f t="shared" ref="BZ27:BZ31" si="113">+IFERROR(BZ$25*(BN27/BN$25), 0)</f>
        <v>112.76665619047606</v>
      </c>
      <c r="CA27" s="24">
        <f t="shared" ref="CA27:CA31" si="114">+IFERROR(CA$25*(BO27/BO$25), 0)</f>
        <v>136.6601925133688</v>
      </c>
      <c r="CB27" s="24">
        <f t="shared" ref="CB27:CB31" si="115">+IFERROR(CB$25*(BP27/BP$25), 0)</f>
        <v>120.00559999999986</v>
      </c>
      <c r="CC27" s="24">
        <f t="shared" ref="CC27:CC31" si="116">+IFERROR(CC$25*(BQ27/BQ$25), 0)</f>
        <v>50.157799999999931</v>
      </c>
      <c r="CD27" s="24">
        <f t="shared" ref="CD27:CD31" si="117">+IFERROR(CD$25*(BR27/BR$25), 0)</f>
        <v>41.715290909090854</v>
      </c>
      <c r="CE27" s="24">
        <f t="shared" ref="CE27:CE31" si="118">+IFERROR(CE$25*(BS27/BS$25), 0)</f>
        <v>38.901913875598034</v>
      </c>
      <c r="CF27" s="24">
        <f t="shared" ref="CF27:CF31" si="119">+IFERROR(CF$25*(BT27/BT$25), 0)</f>
        <v>13.505380952380939</v>
      </c>
      <c r="CG27" s="24">
        <f t="shared" ref="CG27:CG31" si="120">+IFERROR(CG$25*(BU27/BU$25), 0)</f>
        <v>250.14599999999982</v>
      </c>
      <c r="CH27" s="24">
        <f t="shared" ref="CH27:CH31" si="121">+IFERROR(CH$25*(BV27/BV$25), 0)</f>
        <v>201.4386274999998</v>
      </c>
      <c r="CI27" s="404">
        <f t="shared" ref="CI27:CI31" si="122">+IFERROR(CI$25*(BW27/BW$25), 0)</f>
        <v>221.65163999999976</v>
      </c>
      <c r="CJ27" s="24">
        <f t="shared" ref="CJ27:CJ31" si="123">+IFERROR(CJ$25*(BX27/BX$25), 0)</f>
        <v>132.48416613636346</v>
      </c>
      <c r="CK27" s="24">
        <f t="shared" ref="CK27:CK31" si="124">+IFERROR(CK$25*(BY27/BY$25), 0)</f>
        <v>253.50802285714255</v>
      </c>
      <c r="CL27" s="24">
        <f t="shared" ref="CL27:CL31" si="125">+IFERROR(CL$25*(BZ27/BZ$25), 0)</f>
        <v>151.81854704761884</v>
      </c>
      <c r="CM27" s="24">
        <f t="shared" ref="CM27:CM31" si="126">+IFERROR(CM$25*(CA27/CA$25), 0)</f>
        <v>203.40599101604241</v>
      </c>
      <c r="CN27" s="24">
        <f t="shared" ref="CN27:CN31" si="127">+IFERROR(CN$25*(CB27/CB$25), 0)</f>
        <v>169.10783999999973</v>
      </c>
      <c r="CO27" s="24">
        <f t="shared" ref="CO27:CO31" si="128">+IFERROR(CO$25*(CC27/CC$25), 0)</f>
        <v>67.764059999999873</v>
      </c>
      <c r="CP27" s="24">
        <f t="shared" ref="CP27:CP31" si="129">+IFERROR(CP$25*(CD27/CD$25), 0)</f>
        <v>61.699093333333231</v>
      </c>
      <c r="CQ27" s="24">
        <f t="shared" ref="CQ27:CQ31" si="130">+IFERROR(CQ$25*(CE27/CE$25), 0)</f>
        <v>54.770813397129089</v>
      </c>
      <c r="CR27" s="24">
        <f t="shared" ref="CR27:CR31" si="131">+IFERROR(CR$25*(CF27/CF$25), 0)</f>
        <v>18.201052154194983</v>
      </c>
      <c r="CS27" s="24">
        <f t="shared" ref="CS27:CS31" si="132">+IFERROR(CS$25*(CG27/CG$25), 0)</f>
        <v>368.41624772727232</v>
      </c>
      <c r="CT27" s="24">
        <f t="shared" ref="CT27:CT31" si="133">+IFERROR(CT$25*(CH27/CH$25), 0)</f>
        <v>282.99892224999957</v>
      </c>
      <c r="CU27" s="404">
        <f t="shared" ref="CU27:CU31" si="134">+IFERROR(CU$25*(CI27/CI$25), 0)</f>
        <v>311.90099165217333</v>
      </c>
      <c r="CV27" s="24">
        <f t="shared" ref="CV27:CV31" si="135">+IFERROR(CV$25*(CJ27/CJ$25), 0)</f>
        <v>186.35013372727227</v>
      </c>
      <c r="CW27" s="24">
        <f t="shared" ref="CW27:CW31" si="136">+IFERROR(CW$25*(CK27/CK$25), 0)</f>
        <v>355.36837485714204</v>
      </c>
      <c r="CX27" s="24">
        <f t="shared" ref="CX27:CX31" si="137">+IFERROR(CX$25*(CL27/CL$25), 0)</f>
        <v>203.65728559999957</v>
      </c>
      <c r="CY27" s="24">
        <f t="shared" ref="CY27:CY31" si="138">+IFERROR(CY$25*(CM27/CM$25), 0)</f>
        <v>299.08172799999926</v>
      </c>
      <c r="CZ27" s="24">
        <f t="shared" ref="CZ27:CZ31" si="139">+IFERROR(CZ$25*(CN27/CN$25), 0)</f>
        <v>236.75097599999947</v>
      </c>
      <c r="DA27" s="24">
        <f t="shared" ref="DA27:DA31" si="140">+IFERROR(DA$25*(CO27/CO$25), 0)</f>
        <v>90.352079999999759</v>
      </c>
      <c r="DB27" s="24">
        <f t="shared" ref="DB27:DB31" si="141">+IFERROR(DB$25*(CP27/CP$25), 0)</f>
        <v>90.305036606060369</v>
      </c>
      <c r="DC27" s="24">
        <f t="shared" ref="DC27:DC31" si="142">+IFERROR(DC$25*(CQ27/CQ$25), 0)</f>
        <v>73.492631578947183</v>
      </c>
      <c r="DD27" s="24">
        <f t="shared" ref="DD27:DD31" si="143">+IFERROR(DD$25*(CR27/CR$25), 0)</f>
        <v>26.778165714285652</v>
      </c>
      <c r="DE27" s="24">
        <f t="shared" ref="DE27:DE31" si="144">+IFERROR(DE$25*(CS27/CS$25), 0)</f>
        <v>518.07621272727181</v>
      </c>
      <c r="DF27" s="24">
        <f t="shared" ref="DF27:DF31" si="145">+IFERROR(DF$25*(CT27/CT$25), 0)</f>
        <v>378.81618757499905</v>
      </c>
      <c r="DG27" s="25">
        <f t="shared" ref="DG27:DG31" si="146">+IFERROR(DG$25*(CU27/CU$25), 0)</f>
        <v>458.70304862608572</v>
      </c>
    </row>
    <row r="28" spans="1:111" ht="18" x14ac:dyDescent="0.3">
      <c r="A28" s="36"/>
      <c r="B28" s="36"/>
      <c r="C28" s="594" t="s">
        <v>288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2.5</v>
      </c>
      <c r="W28" s="49">
        <v>1</v>
      </c>
      <c r="X28" s="49">
        <v>25.25</v>
      </c>
      <c r="Y28" s="49">
        <v>22.5</v>
      </c>
      <c r="Z28" s="49">
        <v>16.5</v>
      </c>
      <c r="AA28" s="49">
        <v>10</v>
      </c>
      <c r="AB28" s="388">
        <v>18.5</v>
      </c>
      <c r="AC28" s="388">
        <v>35.25</v>
      </c>
      <c r="AD28" s="388">
        <v>24.5</v>
      </c>
      <c r="AE28" s="388">
        <v>32.25</v>
      </c>
      <c r="AF28" s="388">
        <v>60.75</v>
      </c>
      <c r="AG28" s="388">
        <v>24.5</v>
      </c>
      <c r="AH28" s="388">
        <v>68.25</v>
      </c>
      <c r="AI28" s="388">
        <v>126.75</v>
      </c>
      <c r="AJ28" s="389">
        <v>22</v>
      </c>
      <c r="AK28" s="24">
        <f>+IFERROR(AK$25*(Y28/Y$25), 0)</f>
        <v>32.34375</v>
      </c>
      <c r="AL28" s="24">
        <f t="shared" si="75"/>
        <v>18.124218750000001</v>
      </c>
      <c r="AM28" s="404">
        <f t="shared" si="76"/>
        <v>26.434782608695652</v>
      </c>
      <c r="AN28" s="24">
        <f t="shared" si="77"/>
        <v>30.945454545454549</v>
      </c>
      <c r="AO28" s="24">
        <f t="shared" si="78"/>
        <v>66.24761904761904</v>
      </c>
      <c r="AP28" s="24">
        <f t="shared" si="79"/>
        <v>36.015000000000001</v>
      </c>
      <c r="AQ28" s="24">
        <f>+IFERROR(AQ$25*(AE28/AE$25), 0)</f>
        <v>55.394117647058813</v>
      </c>
      <c r="AR28" s="24">
        <f t="shared" si="80"/>
        <v>90.649565217391284</v>
      </c>
      <c r="AS28" s="24">
        <f t="shared" si="81"/>
        <v>30.012499999999992</v>
      </c>
      <c r="AT28" s="24">
        <f t="shared" si="82"/>
        <v>68.249999999999986</v>
      </c>
      <c r="AU28" s="24">
        <f t="shared" si="83"/>
        <v>114.62081339712915</v>
      </c>
      <c r="AV28" s="24">
        <f t="shared" si="84"/>
        <v>23.596371882086164</v>
      </c>
      <c r="AW28" s="24">
        <f t="shared" si="85"/>
        <v>36.019176136363633</v>
      </c>
      <c r="AX28" s="24">
        <f t="shared" si="86"/>
        <v>20.325937500000002</v>
      </c>
      <c r="AY28" s="404">
        <f t="shared" ref="AY28:AY31" si="147">+IFERROR(AY$25*(AM28/AM$25), 0)</f>
        <v>36.156521739130419</v>
      </c>
      <c r="AZ28" s="24">
        <f t="shared" si="87"/>
        <v>37.508749999999978</v>
      </c>
      <c r="BA28" s="24">
        <f t="shared" si="88"/>
        <v>89.613333333333273</v>
      </c>
      <c r="BB28" s="24">
        <f t="shared" si="89"/>
        <v>52.308666666666632</v>
      </c>
      <c r="BC28" s="24">
        <f t="shared" si="90"/>
        <v>76.792941176470535</v>
      </c>
      <c r="BD28" s="24">
        <f t="shared" si="91"/>
        <v>122.25013043478252</v>
      </c>
      <c r="BE28" s="24">
        <f t="shared" si="92"/>
        <v>44.692083333333301</v>
      </c>
      <c r="BF28" s="24">
        <f t="shared" si="93"/>
        <v>100.84454545454538</v>
      </c>
      <c r="BG28" s="24">
        <f t="shared" si="94"/>
        <v>162.37948564593287</v>
      </c>
      <c r="BH28" s="24">
        <f t="shared" si="95"/>
        <v>33.254421768707452</v>
      </c>
      <c r="BI28" s="24">
        <f t="shared" si="96"/>
        <v>48.656249999999964</v>
      </c>
      <c r="BJ28" s="24">
        <f t="shared" si="97"/>
        <v>33.523874999999975</v>
      </c>
      <c r="BK28" s="404">
        <f t="shared" si="98"/>
        <v>56.63999999999993</v>
      </c>
      <c r="BL28" s="24">
        <f t="shared" si="99"/>
        <v>50.346068181818119</v>
      </c>
      <c r="BM28" s="24">
        <f t="shared" si="100"/>
        <v>125.45866666666652</v>
      </c>
      <c r="BN28" s="24">
        <f t="shared" si="101"/>
        <v>76.829199999999929</v>
      </c>
      <c r="BO28" s="24">
        <f t="shared" si="102"/>
        <v>109.02776470588223</v>
      </c>
      <c r="BP28" s="24">
        <f t="shared" si="103"/>
        <v>171.70485652173895</v>
      </c>
      <c r="BQ28" s="24">
        <f t="shared" si="104"/>
        <v>63.018083333333259</v>
      </c>
      <c r="BR28" s="24">
        <f t="shared" si="105"/>
        <v>137.77399999999986</v>
      </c>
      <c r="BS28" s="24">
        <f t="shared" si="106"/>
        <v>240.15789473684185</v>
      </c>
      <c r="BT28" s="24">
        <f t="shared" si="107"/>
        <v>46.885442176870711</v>
      </c>
      <c r="BU28" s="24">
        <f t="shared" si="108"/>
        <v>65.693607954545399</v>
      </c>
      <c r="BV28" s="24">
        <f t="shared" si="109"/>
        <v>49.395224999999968</v>
      </c>
      <c r="BW28" s="404">
        <f t="shared" si="110"/>
        <v>79.295999999999893</v>
      </c>
      <c r="BX28" s="24">
        <f t="shared" si="111"/>
        <v>71.367449999999906</v>
      </c>
      <c r="BY28" s="24">
        <f t="shared" si="112"/>
        <v>185.83423999999977</v>
      </c>
      <c r="BZ28" s="24">
        <f t="shared" si="113"/>
        <v>107.29254666666654</v>
      </c>
      <c r="CA28" s="24">
        <f t="shared" si="114"/>
        <v>137.72785026737949</v>
      </c>
      <c r="CB28" s="24">
        <f t="shared" si="115"/>
        <v>265.1032799999997</v>
      </c>
      <c r="CC28" s="24">
        <f t="shared" si="116"/>
        <v>87.776149999999873</v>
      </c>
      <c r="CD28" s="24">
        <f t="shared" si="117"/>
        <v>183.68184545454523</v>
      </c>
      <c r="CE28" s="24">
        <f t="shared" si="118"/>
        <v>352.20125598086076</v>
      </c>
      <c r="CF28" s="24">
        <f t="shared" si="119"/>
        <v>62.551238095238034</v>
      </c>
      <c r="CG28" s="24">
        <f t="shared" si="120"/>
        <v>96.209999999999908</v>
      </c>
      <c r="CH28" s="24">
        <f t="shared" si="121"/>
        <v>69.607064999999949</v>
      </c>
      <c r="CI28" s="404">
        <f t="shared" si="122"/>
        <v>101.90879999999986</v>
      </c>
      <c r="CJ28" s="24">
        <f t="shared" si="123"/>
        <v>110.15537409090892</v>
      </c>
      <c r="CK28" s="24">
        <f t="shared" si="124"/>
        <v>248.2266057142854</v>
      </c>
      <c r="CL28" s="24">
        <f t="shared" si="125"/>
        <v>144.44871466666646</v>
      </c>
      <c r="CM28" s="24">
        <f t="shared" si="126"/>
        <v>204.99510032085527</v>
      </c>
      <c r="CN28" s="24">
        <f t="shared" si="127"/>
        <v>373.57459199999937</v>
      </c>
      <c r="CO28" s="24">
        <f t="shared" si="128"/>
        <v>118.58710499999978</v>
      </c>
      <c r="CP28" s="24">
        <f t="shared" si="129"/>
        <v>271.67503999999957</v>
      </c>
      <c r="CQ28" s="24">
        <f t="shared" si="130"/>
        <v>495.87147129186508</v>
      </c>
      <c r="CR28" s="24">
        <f t="shared" si="131"/>
        <v>84.299609977324138</v>
      </c>
      <c r="CS28" s="24">
        <f t="shared" si="132"/>
        <v>141.69855681818166</v>
      </c>
      <c r="CT28" s="24">
        <f t="shared" si="133"/>
        <v>97.790203499999862</v>
      </c>
      <c r="CU28" s="404">
        <f t="shared" si="134"/>
        <v>143.40275478260841</v>
      </c>
      <c r="CV28" s="24">
        <f t="shared" si="135"/>
        <v>154.94280781818142</v>
      </c>
      <c r="CW28" s="24">
        <f t="shared" si="136"/>
        <v>347.96486704761827</v>
      </c>
      <c r="CX28" s="24">
        <f t="shared" si="137"/>
        <v>193.77100959999956</v>
      </c>
      <c r="CY28" s="24">
        <f t="shared" si="138"/>
        <v>301.41830399999924</v>
      </c>
      <c r="CZ28" s="24">
        <f t="shared" si="139"/>
        <v>523.00442879999878</v>
      </c>
      <c r="DA28" s="24">
        <f t="shared" si="140"/>
        <v>158.11613999999958</v>
      </c>
      <c r="DB28" s="24">
        <f t="shared" si="141"/>
        <v>397.63346763636264</v>
      </c>
      <c r="DC28" s="24">
        <f t="shared" si="142"/>
        <v>665.37078947368252</v>
      </c>
      <c r="DD28" s="24">
        <f t="shared" si="143"/>
        <v>124.02518857142829</v>
      </c>
      <c r="DE28" s="24">
        <f t="shared" si="144"/>
        <v>199.26008181818142</v>
      </c>
      <c r="DF28" s="24">
        <f t="shared" si="145"/>
        <v>130.8998344499997</v>
      </c>
      <c r="DG28" s="25">
        <f t="shared" si="146"/>
        <v>210.89795339130373</v>
      </c>
    </row>
    <row r="29" spans="1:111" ht="18" x14ac:dyDescent="0.3">
      <c r="A29" s="36"/>
      <c r="B29" s="36"/>
      <c r="C29" s="594" t="s">
        <v>296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388"/>
      <c r="AC29" s="388"/>
      <c r="AD29" s="388"/>
      <c r="AE29" s="388"/>
      <c r="AF29" s="388"/>
      <c r="AG29" s="388"/>
      <c r="AH29" s="388"/>
      <c r="AI29" s="388">
        <v>12.25</v>
      </c>
      <c r="AJ29" s="389">
        <v>15.25</v>
      </c>
      <c r="AK29" s="24">
        <f>+IFERROR(AK$25*(Y29/Y$25), 0)</f>
        <v>0</v>
      </c>
      <c r="AL29" s="24">
        <f t="shared" ref="AL29" si="148">+IFERROR(AL$25*(Z29/Z$25), 0)</f>
        <v>0</v>
      </c>
      <c r="AM29" s="404">
        <f t="shared" ref="AM29" si="149">+IFERROR(AM$25*(AA29/AA$25), 0)</f>
        <v>0</v>
      </c>
      <c r="AN29" s="24">
        <f t="shared" ref="AN29" si="150">+IFERROR(AN$25*(AB29/AB$25), 0)</f>
        <v>0</v>
      </c>
      <c r="AO29" s="24">
        <f t="shared" ref="AO29" si="151">+IFERROR(AO$25*(AC29/AC$25), 0)</f>
        <v>0</v>
      </c>
      <c r="AP29" s="24">
        <f t="shared" ref="AP29" si="152">+IFERROR(AP$25*(AD29/AD$25), 0)</f>
        <v>0</v>
      </c>
      <c r="AQ29" s="24">
        <f>+IFERROR(AQ$25*(AE29/AE$25), 0)</f>
        <v>0</v>
      </c>
      <c r="AR29" s="24">
        <f t="shared" ref="AR29" si="153">+IFERROR(AR$25*(AF29/AF$25), 0)</f>
        <v>0</v>
      </c>
      <c r="AS29" s="24">
        <f t="shared" ref="AS29" si="154">+IFERROR(AS$25*(AG29/AG$25), 0)</f>
        <v>0</v>
      </c>
      <c r="AT29" s="24">
        <f t="shared" ref="AT29" si="155">+IFERROR(AT$25*(AH29/AH$25), 0)</f>
        <v>0</v>
      </c>
      <c r="AU29" s="24">
        <f t="shared" ref="AU29" si="156">+IFERROR(AU$25*(AI29/AI$25), 0)</f>
        <v>11.077751196172247</v>
      </c>
      <c r="AV29" s="24">
        <f t="shared" ref="AV29" si="157">+IFERROR(AV$25*(AJ29/AJ$25), 0)</f>
        <v>16.356575963718818</v>
      </c>
      <c r="AW29" s="24">
        <f t="shared" ref="AW29" si="158">+IFERROR(AW$25*(AK29/AK$25), 0)</f>
        <v>0</v>
      </c>
      <c r="AX29" s="24">
        <f t="shared" ref="AX29" si="159">+IFERROR(AX$25*(AL29/AL$25), 0)</f>
        <v>0</v>
      </c>
      <c r="AY29" s="404">
        <f t="shared" ref="AY29" si="160">+IFERROR(AY$25*(AM29/AM$25), 0)</f>
        <v>0</v>
      </c>
      <c r="AZ29" s="24">
        <f t="shared" ref="AZ29" si="161">+IFERROR(AZ$25*(AN29/AN$25), 0)</f>
        <v>0</v>
      </c>
      <c r="BA29" s="24">
        <f t="shared" ref="BA29" si="162">+IFERROR(BA$25*(AO29/AO$25), 0)</f>
        <v>0</v>
      </c>
      <c r="BB29" s="24">
        <f t="shared" ref="BB29" si="163">+IFERROR(BB$25*(AP29/AP$25), 0)</f>
        <v>0</v>
      </c>
      <c r="BC29" s="24">
        <f t="shared" ref="BC29" si="164">+IFERROR(BC$25*(AQ29/AQ$25), 0)</f>
        <v>0</v>
      </c>
      <c r="BD29" s="24">
        <f t="shared" ref="BD29" si="165">+IFERROR(BD$25*(AR29/AR$25), 0)</f>
        <v>0</v>
      </c>
      <c r="BE29" s="24">
        <f t="shared" ref="BE29" si="166">+IFERROR(BE$25*(AS29/AS$25), 0)</f>
        <v>0</v>
      </c>
      <c r="BF29" s="24">
        <f t="shared" ref="BF29" si="167">+IFERROR(BF$25*(AT29/AT$25), 0)</f>
        <v>0</v>
      </c>
      <c r="BG29" s="24">
        <f t="shared" ref="BG29" si="168">+IFERROR(BG$25*(AU29/AU$25), 0)</f>
        <v>15.693480861244007</v>
      </c>
      <c r="BH29" s="24">
        <f t="shared" ref="BH29" si="169">+IFERROR(BH$25*(AV29/AV$25), 0)</f>
        <v>23.051360544217669</v>
      </c>
      <c r="BI29" s="24">
        <f t="shared" ref="BI29" si="170">+IFERROR(BI$25*(AW29/AW$25), 0)</f>
        <v>0</v>
      </c>
      <c r="BJ29" s="24">
        <f t="shared" ref="BJ29" si="171">+IFERROR(BJ$25*(AX29/AX$25), 0)</f>
        <v>0</v>
      </c>
      <c r="BK29" s="404">
        <f t="shared" ref="BK29" si="172">+IFERROR(BK$25*(AY29/AY$25), 0)</f>
        <v>0</v>
      </c>
      <c r="BL29" s="24">
        <f t="shared" ref="BL29" si="173">+IFERROR(BL$25*(AZ29/AZ$25), 0)</f>
        <v>0</v>
      </c>
      <c r="BM29" s="24">
        <f t="shared" ref="BM29" si="174">+IFERROR(BM$25*(BA29/BA$25), 0)</f>
        <v>0</v>
      </c>
      <c r="BN29" s="24">
        <f t="shared" ref="BN29" si="175">+IFERROR(BN$25*(BB29/BB$25), 0)</f>
        <v>0</v>
      </c>
      <c r="BO29" s="24">
        <f t="shared" ref="BO29" si="176">+IFERROR(BO$25*(BC29/BC$25), 0)</f>
        <v>0</v>
      </c>
      <c r="BP29" s="24">
        <f t="shared" ref="BP29" si="177">+IFERROR(BP$25*(BD29/BD$25), 0)</f>
        <v>0</v>
      </c>
      <c r="BQ29" s="24">
        <f t="shared" ref="BQ29" si="178">+IFERROR(BQ$25*(BE29/BE$25), 0)</f>
        <v>0</v>
      </c>
      <c r="BR29" s="24">
        <f t="shared" ref="BR29" si="179">+IFERROR(BR$25*(BF29/BF$25), 0)</f>
        <v>0</v>
      </c>
      <c r="BS29" s="24">
        <f t="shared" ref="BS29" si="180">+IFERROR(BS$25*(BG29/BG$25), 0)</f>
        <v>23.210526315789451</v>
      </c>
      <c r="BT29" s="24">
        <f t="shared" ref="BT29" si="181">+IFERROR(BT$25*(BH29/BH$25), 0)</f>
        <v>32.500136054421745</v>
      </c>
      <c r="BU29" s="24">
        <f t="shared" ref="BU29" si="182">+IFERROR(BU$25*(BI29/BI$25), 0)</f>
        <v>0</v>
      </c>
      <c r="BV29" s="24">
        <f t="shared" ref="BV29" si="183">+IFERROR(BV$25*(BJ29/BJ$25), 0)</f>
        <v>0</v>
      </c>
      <c r="BW29" s="404">
        <f t="shared" ref="BW29" si="184">+IFERROR(BW$25*(BK29/BK$25), 0)</f>
        <v>0</v>
      </c>
      <c r="BX29" s="24">
        <f t="shared" ref="BX29" si="185">+IFERROR(BX$25*(BL29/BL$25), 0)</f>
        <v>0</v>
      </c>
      <c r="BY29" s="24">
        <f t="shared" ref="BY29" si="186">+IFERROR(BY$25*(BM29/BM$25), 0)</f>
        <v>0</v>
      </c>
      <c r="BZ29" s="24">
        <f t="shared" ref="BZ29" si="187">+IFERROR(BZ$25*(BN29/BN$25), 0)</f>
        <v>0</v>
      </c>
      <c r="CA29" s="24">
        <f t="shared" ref="CA29" si="188">+IFERROR(CA$25*(BO29/BO$25), 0)</f>
        <v>0</v>
      </c>
      <c r="CB29" s="24">
        <f t="shared" ref="CB29" si="189">+IFERROR(CB$25*(BP29/BP$25), 0)</f>
        <v>0</v>
      </c>
      <c r="CC29" s="24">
        <f t="shared" ref="CC29" si="190">+IFERROR(CC$25*(BQ29/BQ$25), 0)</f>
        <v>0</v>
      </c>
      <c r="CD29" s="24">
        <f t="shared" ref="CD29" si="191">+IFERROR(CD$25*(BR29/BR$25), 0)</f>
        <v>0</v>
      </c>
      <c r="CE29" s="24">
        <f t="shared" ref="CE29" si="192">+IFERROR(CE$25*(BS29/BS$25), 0)</f>
        <v>34.039174641148279</v>
      </c>
      <c r="CF29" s="24">
        <f t="shared" ref="CF29" si="193">+IFERROR(CF$25*(BT29/BT$25), 0)</f>
        <v>43.35938095238091</v>
      </c>
      <c r="CG29" s="24">
        <f t="shared" ref="CG29" si="194">+IFERROR(CG$25*(BU29/BU$25), 0)</f>
        <v>0</v>
      </c>
      <c r="CH29" s="24">
        <f t="shared" ref="CH29" si="195">+IFERROR(CH$25*(BV29/BV$25), 0)</f>
        <v>0</v>
      </c>
      <c r="CI29" s="404">
        <f t="shared" ref="CI29" si="196">+IFERROR(CI$25*(BW29/BW$25), 0)</f>
        <v>0</v>
      </c>
      <c r="CJ29" s="24">
        <f t="shared" ref="CJ29" si="197">+IFERROR(CJ$25*(BX29/BX$25), 0)</f>
        <v>0</v>
      </c>
      <c r="CK29" s="24">
        <f t="shared" ref="CK29" si="198">+IFERROR(CK$25*(BY29/BY$25), 0)</f>
        <v>0</v>
      </c>
      <c r="CL29" s="24">
        <f t="shared" ref="CL29" si="199">+IFERROR(CL$25*(BZ29/BZ$25), 0)</f>
        <v>0</v>
      </c>
      <c r="CM29" s="24">
        <f t="shared" ref="CM29" si="200">+IFERROR(CM$25*(CA29/CA$25), 0)</f>
        <v>0</v>
      </c>
      <c r="CN29" s="24">
        <f t="shared" ref="CN29" si="201">+IFERROR(CN$25*(CB29/CB$25), 0)</f>
        <v>0</v>
      </c>
      <c r="CO29" s="24">
        <f t="shared" ref="CO29" si="202">+IFERROR(CO$25*(CC29/CC$25), 0)</f>
        <v>0</v>
      </c>
      <c r="CP29" s="24">
        <f t="shared" ref="CP29" si="203">+IFERROR(CP$25*(CD29/CD$25), 0)</f>
        <v>0</v>
      </c>
      <c r="CQ29" s="24">
        <f t="shared" ref="CQ29" si="204">+IFERROR(CQ$25*(CE29/CE$25), 0)</f>
        <v>47.924461722487948</v>
      </c>
      <c r="CR29" s="24">
        <f t="shared" ref="CR29" si="205">+IFERROR(CR$25*(CF29/CF$25), 0)</f>
        <v>58.434956916099686</v>
      </c>
      <c r="CS29" s="24">
        <f t="shared" ref="CS29" si="206">+IFERROR(CS$25*(CG29/CG$25), 0)</f>
        <v>0</v>
      </c>
      <c r="CT29" s="24">
        <f t="shared" ref="CT29" si="207">+IFERROR(CT$25*(CH29/CH$25), 0)</f>
        <v>0</v>
      </c>
      <c r="CU29" s="404">
        <f t="shared" ref="CU29" si="208">+IFERROR(CU$25*(CI29/CI$25), 0)</f>
        <v>0</v>
      </c>
      <c r="CV29" s="24">
        <f t="shared" ref="CV29" si="209">+IFERROR(CV$25*(CJ29/CJ$25), 0)</f>
        <v>0</v>
      </c>
      <c r="CW29" s="24">
        <f t="shared" ref="CW29" si="210">+IFERROR(CW$25*(CK29/CK$25), 0)</f>
        <v>0</v>
      </c>
      <c r="CX29" s="24">
        <f t="shared" ref="CX29" si="211">+IFERROR(CX$25*(CL29/CL$25), 0)</f>
        <v>0</v>
      </c>
      <c r="CY29" s="24">
        <f t="shared" ref="CY29" si="212">+IFERROR(CY$25*(CM29/CM$25), 0)</f>
        <v>0</v>
      </c>
      <c r="CZ29" s="24">
        <f t="shared" ref="CZ29" si="213">+IFERROR(CZ$25*(CN29/CN$25), 0)</f>
        <v>0</v>
      </c>
      <c r="DA29" s="24">
        <f t="shared" ref="DA29" si="214">+IFERROR(DA$25*(CO29/CO$25), 0)</f>
        <v>0</v>
      </c>
      <c r="DB29" s="24">
        <f t="shared" ref="DB29" si="215">+IFERROR(DB$25*(CP29/CP$25), 0)</f>
        <v>0</v>
      </c>
      <c r="DC29" s="24">
        <f t="shared" ref="DC29" si="216">+IFERROR(DC$25*(CQ29/CQ$25), 0)</f>
        <v>64.30605263157878</v>
      </c>
      <c r="DD29" s="24">
        <f t="shared" ref="DD29" si="217">+IFERROR(DD$25*(CR29/CR$25), 0)</f>
        <v>85.972005714285515</v>
      </c>
      <c r="DE29" s="24">
        <f t="shared" ref="DE29" si="218">+IFERROR(DE$25*(CS29/CS$25), 0)</f>
        <v>0</v>
      </c>
      <c r="DF29" s="24">
        <f t="shared" ref="DF29" si="219">+IFERROR(DF$25*(CT29/CT$25), 0)</f>
        <v>0</v>
      </c>
      <c r="DG29" s="25">
        <f t="shared" ref="DG29" si="220">+IFERROR(DG$25*(CU29/CU$25), 0)</f>
        <v>0</v>
      </c>
    </row>
    <row r="30" spans="1:111" ht="18" x14ac:dyDescent="0.3">
      <c r="A30" s="36"/>
      <c r="B30" s="36"/>
      <c r="C30" s="594" t="s">
        <v>304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49">
        <v>3</v>
      </c>
      <c r="Q30" s="49">
        <v>0</v>
      </c>
      <c r="R30" s="49">
        <v>0</v>
      </c>
      <c r="S30" s="49">
        <v>1</v>
      </c>
      <c r="T30" s="49">
        <v>0</v>
      </c>
      <c r="U30" s="49">
        <v>1.25</v>
      </c>
      <c r="V30" s="49">
        <v>7.25</v>
      </c>
      <c r="W30" s="49">
        <v>27</v>
      </c>
      <c r="X30" s="49">
        <v>45.25</v>
      </c>
      <c r="Y30" s="49">
        <v>55.25</v>
      </c>
      <c r="Z30" s="49">
        <v>17.75</v>
      </c>
      <c r="AA30" s="49">
        <v>0.75</v>
      </c>
      <c r="AB30" s="388">
        <v>3.25</v>
      </c>
      <c r="AC30" s="388">
        <v>2.25</v>
      </c>
      <c r="AD30" s="388">
        <v>4</v>
      </c>
      <c r="AE30" s="388">
        <v>0.5</v>
      </c>
      <c r="AF30" s="388">
        <v>1.25</v>
      </c>
      <c r="AG30" s="388">
        <v>20</v>
      </c>
      <c r="AH30" s="388">
        <v>52</v>
      </c>
      <c r="AI30" s="388">
        <v>68.75</v>
      </c>
      <c r="AJ30" s="389">
        <v>101.25</v>
      </c>
      <c r="AK30" s="24">
        <f>+IFERROR(AK$25*(Y30/Y$25), 0)</f>
        <v>79.421875</v>
      </c>
      <c r="AL30" s="24">
        <f t="shared" si="75"/>
        <v>19.497265625000001</v>
      </c>
      <c r="AM30" s="404">
        <f t="shared" si="76"/>
        <v>1.982608695652174</v>
      </c>
      <c r="AN30" s="24">
        <f t="shared" si="77"/>
        <v>5.4363636363636365</v>
      </c>
      <c r="AO30" s="24">
        <f t="shared" si="78"/>
        <v>4.2285714285714286</v>
      </c>
      <c r="AP30" s="24">
        <f t="shared" si="79"/>
        <v>5.88</v>
      </c>
      <c r="AQ30" s="24">
        <f>+IFERROR(AQ$25*(AE30/AE$25), 0)</f>
        <v>0.85882352941176454</v>
      </c>
      <c r="AR30" s="24">
        <f t="shared" si="80"/>
        <v>1.865217391304347</v>
      </c>
      <c r="AS30" s="24">
        <f t="shared" si="81"/>
        <v>24.499999999999996</v>
      </c>
      <c r="AT30" s="24">
        <f t="shared" si="82"/>
        <v>51.999999999999993</v>
      </c>
      <c r="AU30" s="24">
        <f t="shared" si="83"/>
        <v>62.171052631578938</v>
      </c>
      <c r="AV30" s="24">
        <f t="shared" si="84"/>
        <v>108.59693877551018</v>
      </c>
      <c r="AW30" s="24">
        <f t="shared" si="85"/>
        <v>88.447088068181813</v>
      </c>
      <c r="AX30" s="24">
        <f t="shared" si="86"/>
        <v>21.865781250000001</v>
      </c>
      <c r="AY30" s="404">
        <f t="shared" si="147"/>
        <v>2.7117391304347813</v>
      </c>
      <c r="AZ30" s="24">
        <f t="shared" si="87"/>
        <v>6.589374999999996</v>
      </c>
      <c r="BA30" s="24">
        <f t="shared" si="88"/>
        <v>5.7199999999999971</v>
      </c>
      <c r="BB30" s="24">
        <f t="shared" si="89"/>
        <v>8.5401904761904692</v>
      </c>
      <c r="BC30" s="24">
        <f t="shared" si="90"/>
        <v>1.1905882352941168</v>
      </c>
      <c r="BD30" s="24">
        <f t="shared" si="91"/>
        <v>2.5154347826086934</v>
      </c>
      <c r="BE30" s="24">
        <f t="shared" si="92"/>
        <v>36.483333333333313</v>
      </c>
      <c r="BF30" s="24">
        <f t="shared" si="93"/>
        <v>76.833939393939332</v>
      </c>
      <c r="BG30" s="24">
        <f t="shared" si="94"/>
        <v>88.075657894736764</v>
      </c>
      <c r="BH30" s="24">
        <f t="shared" si="95"/>
        <v>153.04591836734681</v>
      </c>
      <c r="BI30" s="24">
        <f t="shared" si="96"/>
        <v>119.47812499999992</v>
      </c>
      <c r="BJ30" s="24">
        <f t="shared" si="97"/>
        <v>36.063562499999975</v>
      </c>
      <c r="BK30" s="404">
        <f t="shared" si="98"/>
        <v>4.2479999999999949</v>
      </c>
      <c r="BL30" s="24">
        <f t="shared" si="99"/>
        <v>8.8445795454545344</v>
      </c>
      <c r="BM30" s="24">
        <f t="shared" si="100"/>
        <v>8.007999999999992</v>
      </c>
      <c r="BN30" s="24">
        <f t="shared" si="101"/>
        <v>12.543542857142842</v>
      </c>
      <c r="BO30" s="24">
        <f t="shared" si="102"/>
        <v>1.6903529411764688</v>
      </c>
      <c r="BP30" s="24">
        <f t="shared" si="103"/>
        <v>3.5330217391304304</v>
      </c>
      <c r="BQ30" s="24">
        <f t="shared" si="104"/>
        <v>51.443333333333278</v>
      </c>
      <c r="BR30" s="24">
        <f t="shared" si="105"/>
        <v>104.97066666666656</v>
      </c>
      <c r="BS30" s="24">
        <f t="shared" si="106"/>
        <v>130.26315789473671</v>
      </c>
      <c r="BT30" s="24">
        <f t="shared" si="107"/>
        <v>215.77959183673454</v>
      </c>
      <c r="BU30" s="24">
        <f t="shared" si="108"/>
        <v>161.3143039772726</v>
      </c>
      <c r="BV30" s="24">
        <f t="shared" si="109"/>
        <v>53.137287499999964</v>
      </c>
      <c r="BW30" s="404">
        <f t="shared" si="110"/>
        <v>5.9471999999999925</v>
      </c>
      <c r="BX30" s="24">
        <f t="shared" si="111"/>
        <v>12.537524999999984</v>
      </c>
      <c r="BY30" s="24">
        <f t="shared" si="112"/>
        <v>11.861759999999986</v>
      </c>
      <c r="BZ30" s="24">
        <f t="shared" si="113"/>
        <v>17.517150476190452</v>
      </c>
      <c r="CA30" s="24">
        <f t="shared" si="114"/>
        <v>2.1353155080213875</v>
      </c>
      <c r="CB30" s="24">
        <f t="shared" si="115"/>
        <v>5.4547999999999925</v>
      </c>
      <c r="CC30" s="24">
        <f t="shared" si="116"/>
        <v>71.653999999999911</v>
      </c>
      <c r="CD30" s="24">
        <f t="shared" si="117"/>
        <v>139.94807272727255</v>
      </c>
      <c r="CE30" s="24">
        <f t="shared" si="118"/>
        <v>191.03618421052607</v>
      </c>
      <c r="CF30" s="24">
        <f t="shared" si="119"/>
        <v>287.8778571428569</v>
      </c>
      <c r="CG30" s="24">
        <f t="shared" si="120"/>
        <v>236.24899999999982</v>
      </c>
      <c r="CH30" s="24">
        <f t="shared" si="121"/>
        <v>74.880327499999936</v>
      </c>
      <c r="CI30" s="404">
        <f t="shared" si="122"/>
        <v>7.6431599999999893</v>
      </c>
      <c r="CJ30" s="24">
        <f t="shared" si="123"/>
        <v>19.351619772727243</v>
      </c>
      <c r="CK30" s="24">
        <f t="shared" si="124"/>
        <v>15.844251428571409</v>
      </c>
      <c r="CL30" s="24">
        <f t="shared" si="125"/>
        <v>23.583463619047581</v>
      </c>
      <c r="CM30" s="24">
        <f t="shared" si="126"/>
        <v>3.1782186096256626</v>
      </c>
      <c r="CN30" s="24">
        <f t="shared" si="127"/>
        <v>7.686719999999986</v>
      </c>
      <c r="CO30" s="24">
        <f t="shared" si="128"/>
        <v>96.805799999999834</v>
      </c>
      <c r="CP30" s="24">
        <f t="shared" si="129"/>
        <v>206.99050666666633</v>
      </c>
      <c r="CQ30" s="24">
        <f t="shared" si="130"/>
        <v>268.96381578947319</v>
      </c>
      <c r="CR30" s="24">
        <f t="shared" si="131"/>
        <v>387.9697959183668</v>
      </c>
      <c r="CS30" s="24">
        <f t="shared" si="132"/>
        <v>347.94867840909052</v>
      </c>
      <c r="CT30" s="24">
        <f t="shared" si="133"/>
        <v>105.19855224999984</v>
      </c>
      <c r="CU30" s="404">
        <f t="shared" si="134"/>
        <v>10.75520660869563</v>
      </c>
      <c r="CV30" s="24">
        <f t="shared" si="135"/>
        <v>27.219682454545389</v>
      </c>
      <c r="CW30" s="24">
        <f t="shared" si="136"/>
        <v>22.210523428571378</v>
      </c>
      <c r="CX30" s="24">
        <f t="shared" si="137"/>
        <v>31.636083199999923</v>
      </c>
      <c r="CY30" s="24">
        <f t="shared" si="138"/>
        <v>4.6731519999999884</v>
      </c>
      <c r="CZ30" s="24">
        <f t="shared" si="139"/>
        <v>10.761407999999973</v>
      </c>
      <c r="DA30" s="24">
        <f t="shared" si="140"/>
        <v>129.07439999999968</v>
      </c>
      <c r="DB30" s="24">
        <f t="shared" si="141"/>
        <v>302.95883248484768</v>
      </c>
      <c r="DC30" s="24">
        <f t="shared" si="142"/>
        <v>360.90131578947279</v>
      </c>
      <c r="DD30" s="24">
        <f t="shared" si="143"/>
        <v>570.79774285714166</v>
      </c>
      <c r="DE30" s="24">
        <f t="shared" si="144"/>
        <v>489.29420090909002</v>
      </c>
      <c r="DF30" s="24">
        <f t="shared" si="145"/>
        <v>140.81648857499965</v>
      </c>
      <c r="DG30" s="25">
        <f t="shared" si="146"/>
        <v>15.81734650434778</v>
      </c>
    </row>
    <row r="31" spans="1:111" ht="18" x14ac:dyDescent="0.3">
      <c r="A31" s="36"/>
      <c r="B31" s="36"/>
      <c r="C31" s="594" t="s">
        <v>289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49">
        <v>1.83</v>
      </c>
      <c r="Q31" s="49">
        <v>8</v>
      </c>
      <c r="R31" s="49">
        <v>2.75</v>
      </c>
      <c r="S31" s="49">
        <v>1</v>
      </c>
      <c r="T31" s="49">
        <v>5.25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2</v>
      </c>
      <c r="AA31" s="49">
        <v>2</v>
      </c>
      <c r="AB31" s="388">
        <v>1</v>
      </c>
      <c r="AC31" s="388">
        <v>1</v>
      </c>
      <c r="AD31" s="388">
        <v>6</v>
      </c>
      <c r="AE31" s="388">
        <v>5</v>
      </c>
      <c r="AF31" s="388">
        <v>0</v>
      </c>
      <c r="AG31" s="388">
        <v>1</v>
      </c>
      <c r="AH31" s="388">
        <v>0</v>
      </c>
      <c r="AI31" s="388">
        <v>0</v>
      </c>
      <c r="AJ31" s="389">
        <v>0</v>
      </c>
      <c r="AK31" s="24">
        <f>+IFERROR(AK$25*(Y31/Y$25), 0)</f>
        <v>0</v>
      </c>
      <c r="AL31" s="24">
        <f t="shared" si="75"/>
        <v>2.1968749999999999</v>
      </c>
      <c r="AM31" s="404">
        <f t="shared" si="76"/>
        <v>5.286956521739131</v>
      </c>
      <c r="AN31" s="24">
        <f t="shared" si="77"/>
        <v>1.6727272727272731</v>
      </c>
      <c r="AO31" s="24">
        <f t="shared" si="78"/>
        <v>1.8793650793650791</v>
      </c>
      <c r="AP31" s="24">
        <f t="shared" si="79"/>
        <v>8.8199999999999985</v>
      </c>
      <c r="AQ31" s="24">
        <f>+IFERROR(AQ$25*(AE31/AE$25), 0)</f>
        <v>8.588235294117645</v>
      </c>
      <c r="AR31" s="24">
        <f t="shared" si="80"/>
        <v>0</v>
      </c>
      <c r="AS31" s="24">
        <f t="shared" si="81"/>
        <v>1.2249999999999996</v>
      </c>
      <c r="AT31" s="24">
        <f t="shared" si="82"/>
        <v>0</v>
      </c>
      <c r="AU31" s="24">
        <f t="shared" si="83"/>
        <v>0</v>
      </c>
      <c r="AV31" s="24">
        <f t="shared" si="84"/>
        <v>0</v>
      </c>
      <c r="AW31" s="24">
        <f t="shared" si="85"/>
        <v>0</v>
      </c>
      <c r="AX31" s="24">
        <f t="shared" si="86"/>
        <v>2.4637499999999997</v>
      </c>
      <c r="AY31" s="404">
        <f t="shared" si="147"/>
        <v>7.231304347826085</v>
      </c>
      <c r="AZ31" s="24">
        <f t="shared" si="87"/>
        <v>2.027499999999999</v>
      </c>
      <c r="BA31" s="24">
        <f t="shared" si="88"/>
        <v>2.5422222222222204</v>
      </c>
      <c r="BB31" s="24">
        <f t="shared" si="89"/>
        <v>12.810285714285703</v>
      </c>
      <c r="BC31" s="24">
        <f t="shared" si="90"/>
        <v>11.905882352941168</v>
      </c>
      <c r="BD31" s="24">
        <f t="shared" si="91"/>
        <v>0</v>
      </c>
      <c r="BE31" s="24">
        <f t="shared" si="92"/>
        <v>1.8241666666666654</v>
      </c>
      <c r="BF31" s="24">
        <f t="shared" si="93"/>
        <v>0</v>
      </c>
      <c r="BG31" s="24">
        <f t="shared" si="94"/>
        <v>0</v>
      </c>
      <c r="BH31" s="24">
        <f t="shared" si="95"/>
        <v>0</v>
      </c>
      <c r="BI31" s="24">
        <f t="shared" si="96"/>
        <v>0</v>
      </c>
      <c r="BJ31" s="24">
        <f t="shared" si="97"/>
        <v>4.0634999999999968</v>
      </c>
      <c r="BK31" s="404">
        <f t="shared" si="98"/>
        <v>11.327999999999989</v>
      </c>
      <c r="BL31" s="24">
        <f t="shared" si="99"/>
        <v>2.7214090909090878</v>
      </c>
      <c r="BM31" s="24">
        <f t="shared" si="100"/>
        <v>3.5591111111111067</v>
      </c>
      <c r="BN31" s="24">
        <f t="shared" si="101"/>
        <v>18.815314285714262</v>
      </c>
      <c r="BO31" s="24">
        <f t="shared" si="102"/>
        <v>16.903529411764687</v>
      </c>
      <c r="BP31" s="24">
        <f t="shared" si="103"/>
        <v>0</v>
      </c>
      <c r="BQ31" s="24">
        <f t="shared" si="104"/>
        <v>2.5721666666666634</v>
      </c>
      <c r="BR31" s="24">
        <f t="shared" si="105"/>
        <v>0</v>
      </c>
      <c r="BS31" s="24">
        <f t="shared" si="106"/>
        <v>0</v>
      </c>
      <c r="BT31" s="24">
        <f t="shared" si="107"/>
        <v>0</v>
      </c>
      <c r="BU31" s="24">
        <f t="shared" si="108"/>
        <v>0</v>
      </c>
      <c r="BV31" s="24">
        <f t="shared" si="109"/>
        <v>5.9872999999999958</v>
      </c>
      <c r="BW31" s="404">
        <f t="shared" si="110"/>
        <v>15.859199999999984</v>
      </c>
      <c r="BX31" s="24">
        <f t="shared" si="111"/>
        <v>3.8576999999999955</v>
      </c>
      <c r="BY31" s="24">
        <f t="shared" si="112"/>
        <v>5.2718933333333267</v>
      </c>
      <c r="BZ31" s="24">
        <f t="shared" si="113"/>
        <v>26.275725714285674</v>
      </c>
      <c r="CA31" s="24">
        <f t="shared" si="114"/>
        <v>21.353155080213877</v>
      </c>
      <c r="CB31" s="24">
        <f t="shared" si="115"/>
        <v>0</v>
      </c>
      <c r="CC31" s="24">
        <f t="shared" si="116"/>
        <v>3.5826999999999951</v>
      </c>
      <c r="CD31" s="24">
        <f t="shared" si="117"/>
        <v>0</v>
      </c>
      <c r="CE31" s="24">
        <f t="shared" si="118"/>
        <v>0</v>
      </c>
      <c r="CF31" s="24">
        <f t="shared" si="119"/>
        <v>0</v>
      </c>
      <c r="CG31" s="24">
        <f t="shared" si="120"/>
        <v>0</v>
      </c>
      <c r="CH31" s="24">
        <f t="shared" si="121"/>
        <v>8.4372199999999928</v>
      </c>
      <c r="CI31" s="404">
        <f t="shared" si="122"/>
        <v>20.381759999999979</v>
      </c>
      <c r="CJ31" s="24">
        <f t="shared" si="123"/>
        <v>5.9543445454545374</v>
      </c>
      <c r="CK31" s="24">
        <f t="shared" si="124"/>
        <v>7.0418895238095143</v>
      </c>
      <c r="CL31" s="24">
        <f t="shared" si="125"/>
        <v>35.375195428571367</v>
      </c>
      <c r="CM31" s="24">
        <f t="shared" si="126"/>
        <v>31.78218609625663</v>
      </c>
      <c r="CN31" s="24">
        <f t="shared" si="127"/>
        <v>0</v>
      </c>
      <c r="CO31" s="24">
        <f t="shared" si="128"/>
        <v>4.8402899999999915</v>
      </c>
      <c r="CP31" s="24">
        <f t="shared" si="129"/>
        <v>0</v>
      </c>
      <c r="CQ31" s="24">
        <f t="shared" si="130"/>
        <v>0</v>
      </c>
      <c r="CR31" s="24">
        <f t="shared" si="131"/>
        <v>0</v>
      </c>
      <c r="CS31" s="24">
        <f t="shared" si="132"/>
        <v>0</v>
      </c>
      <c r="CT31" s="24">
        <f t="shared" si="133"/>
        <v>11.853357999999982</v>
      </c>
      <c r="CU31" s="404">
        <f t="shared" si="134"/>
        <v>28.680550956521692</v>
      </c>
      <c r="CV31" s="24">
        <f t="shared" si="135"/>
        <v>8.3752869090908888</v>
      </c>
      <c r="CW31" s="24">
        <f t="shared" si="136"/>
        <v>9.871343746031723</v>
      </c>
      <c r="CX31" s="24">
        <f t="shared" si="137"/>
        <v>47.454124799999875</v>
      </c>
      <c r="CY31" s="24">
        <f t="shared" si="138"/>
        <v>46.73151999999989</v>
      </c>
      <c r="CZ31" s="24">
        <f t="shared" si="139"/>
        <v>0</v>
      </c>
      <c r="DA31" s="24">
        <f t="shared" si="140"/>
        <v>6.4537199999999828</v>
      </c>
      <c r="DB31" s="24">
        <f t="shared" si="141"/>
        <v>0</v>
      </c>
      <c r="DC31" s="24">
        <f t="shared" si="142"/>
        <v>0</v>
      </c>
      <c r="DD31" s="24">
        <f t="shared" si="143"/>
        <v>0</v>
      </c>
      <c r="DE31" s="24">
        <f t="shared" si="144"/>
        <v>0</v>
      </c>
      <c r="DF31" s="24">
        <f t="shared" si="145"/>
        <v>15.866646599999964</v>
      </c>
      <c r="DG31" s="25">
        <f t="shared" si="146"/>
        <v>42.179590678260759</v>
      </c>
    </row>
    <row r="32" spans="1:111" s="3" customFormat="1" ht="18" x14ac:dyDescent="0.3">
      <c r="A32" s="36"/>
      <c r="B32" s="36"/>
      <c r="C32" s="594" t="s">
        <v>64</v>
      </c>
      <c r="D32" s="26"/>
      <c r="E32" s="26">
        <f t="shared" ref="E32:O32" si="221">+E14/(E25+E26)</f>
        <v>0</v>
      </c>
      <c r="F32" s="26">
        <f t="shared" si="221"/>
        <v>0</v>
      </c>
      <c r="G32" s="26">
        <f t="shared" si="221"/>
        <v>0</v>
      </c>
      <c r="H32" s="26">
        <f t="shared" si="221"/>
        <v>0</v>
      </c>
      <c r="I32" s="26">
        <f t="shared" si="221"/>
        <v>0</v>
      </c>
      <c r="J32" s="26">
        <f t="shared" si="221"/>
        <v>0</v>
      </c>
      <c r="K32" s="26">
        <f t="shared" si="221"/>
        <v>50</v>
      </c>
      <c r="L32" s="26">
        <f t="shared" si="221"/>
        <v>44.329896907216494</v>
      </c>
      <c r="M32" s="26">
        <f t="shared" si="221"/>
        <v>52.291666666666664</v>
      </c>
      <c r="N32" s="26">
        <f t="shared" si="221"/>
        <v>46.966292134831463</v>
      </c>
      <c r="O32" s="26">
        <f t="shared" si="221"/>
        <v>70.08620689655173</v>
      </c>
      <c r="P32" s="26">
        <f>+P14/(P25)</f>
        <v>58.71591340676035</v>
      </c>
      <c r="Q32" s="26">
        <f t="shared" ref="Q32:AC32" si="222">+Q14/(Q25)</f>
        <v>59.094117647058823</v>
      </c>
      <c r="R32" s="26">
        <f t="shared" si="222"/>
        <v>57.464285714285715</v>
      </c>
      <c r="S32" s="26">
        <f>+S14/(S25+SUM(Q26:S26))</f>
        <v>46.329230769230769</v>
      </c>
      <c r="T32" s="26">
        <f t="shared" si="222"/>
        <v>58.862248520710054</v>
      </c>
      <c r="U32" s="26">
        <f>+U14/(U25)</f>
        <v>48.65309523809524</v>
      </c>
      <c r="V32" s="26">
        <f>+V14/(V25+(SUM($T$26:$V$26)/2))</f>
        <v>53.5</v>
      </c>
      <c r="W32" s="26">
        <f>+W14/(W25+(SUM($T$26:$V$26)/2))</f>
        <v>67.096303317535543</v>
      </c>
      <c r="X32" s="26">
        <f t="shared" si="222"/>
        <v>67.096475095785436</v>
      </c>
      <c r="Y32" s="26">
        <f t="shared" si="222"/>
        <v>60.156844036697251</v>
      </c>
      <c r="Z32" s="26">
        <f t="shared" si="222"/>
        <v>58.787142857142854</v>
      </c>
      <c r="AA32" s="26">
        <f t="shared" si="222"/>
        <v>62.159420289855071</v>
      </c>
      <c r="AB32" s="26">
        <f>+AB14/(AB25)</f>
        <v>66.711111111111109</v>
      </c>
      <c r="AC32" s="26">
        <f t="shared" si="222"/>
        <v>58.489932885906043</v>
      </c>
      <c r="AD32" s="26">
        <f t="shared" ref="AD32:AI32" si="223">+AD14/(AD25)</f>
        <v>57.751037344398341</v>
      </c>
      <c r="AE32" s="26">
        <f t="shared" si="223"/>
        <v>57.605734767025091</v>
      </c>
      <c r="AF32" s="26">
        <f t="shared" si="223"/>
        <v>60.559553072625697</v>
      </c>
      <c r="AG32" s="26">
        <f t="shared" si="223"/>
        <v>72.407731092436975</v>
      </c>
      <c r="AH32" s="26">
        <f t="shared" si="223"/>
        <v>66.746887661141812</v>
      </c>
      <c r="AI32" s="26">
        <f t="shared" si="223"/>
        <v>63.635896279594135</v>
      </c>
      <c r="AJ32" s="368">
        <f t="shared" ref="AJ32" si="224">+AJ14/(AJ25)</f>
        <v>69.092495636998251</v>
      </c>
      <c r="AK32" s="445">
        <f t="shared" ref="AK32" si="225">+AK14/(AK25)</f>
        <v>63.128130736905</v>
      </c>
      <c r="AL32" s="27">
        <f t="shared" ref="AL32:CS32" si="226">+AL14/(AL25)</f>
        <v>61.422835211534732</v>
      </c>
      <c r="AM32" s="405">
        <f t="shared" si="226"/>
        <v>59.8256525802162</v>
      </c>
      <c r="AN32" s="27">
        <f t="shared" si="226"/>
        <v>60.360274606765103</v>
      </c>
      <c r="AO32" s="27">
        <f t="shared" si="226"/>
        <v>60.029069227392057</v>
      </c>
      <c r="AP32" s="27">
        <f t="shared" si="226"/>
        <v>60.374217194449535</v>
      </c>
      <c r="AQ32" s="27">
        <f t="shared" si="226"/>
        <v>59.864253625531283</v>
      </c>
      <c r="AR32" s="27">
        <f t="shared" si="226"/>
        <v>60.058084786951383</v>
      </c>
      <c r="AS32" s="27">
        <f t="shared" si="226"/>
        <v>62.741917548057557</v>
      </c>
      <c r="AT32" s="27">
        <f t="shared" si="226"/>
        <v>63.233999353528766</v>
      </c>
      <c r="AU32" s="27">
        <f t="shared" si="226"/>
        <v>62.987263108394288</v>
      </c>
      <c r="AV32" s="27">
        <f t="shared" si="226"/>
        <v>66.517044087711767</v>
      </c>
      <c r="AW32" s="27">
        <f t="shared" si="226"/>
        <v>63.128130736905007</v>
      </c>
      <c r="AX32" s="27">
        <f t="shared" si="226"/>
        <v>61.422835211534732</v>
      </c>
      <c r="AY32" s="405">
        <f t="shared" si="226"/>
        <v>59.825652580216186</v>
      </c>
      <c r="AZ32" s="27">
        <f t="shared" si="226"/>
        <v>60.360274606765095</v>
      </c>
      <c r="BA32" s="27">
        <f t="shared" si="226"/>
        <v>60.02906922739205</v>
      </c>
      <c r="BB32" s="27">
        <f t="shared" si="226"/>
        <v>60.374217194449535</v>
      </c>
      <c r="BC32" s="27">
        <f t="shared" si="226"/>
        <v>59.864253625531276</v>
      </c>
      <c r="BD32" s="27">
        <f t="shared" si="226"/>
        <v>60.058084786951376</v>
      </c>
      <c r="BE32" s="27">
        <f t="shared" si="226"/>
        <v>62.74191754805755</v>
      </c>
      <c r="BF32" s="27">
        <f t="shared" si="226"/>
        <v>63.233999353528752</v>
      </c>
      <c r="BG32" s="27">
        <f t="shared" si="226"/>
        <v>62.987263108394281</v>
      </c>
      <c r="BH32" s="27">
        <f t="shared" si="226"/>
        <v>66.517044087711767</v>
      </c>
      <c r="BI32" s="27">
        <f t="shared" si="226"/>
        <v>63.128130736905007</v>
      </c>
      <c r="BJ32" s="27">
        <f t="shared" si="226"/>
        <v>61.422835211534732</v>
      </c>
      <c r="BK32" s="405">
        <f t="shared" si="226"/>
        <v>59.825652580216207</v>
      </c>
      <c r="BL32" s="27">
        <f t="shared" si="226"/>
        <v>60.360274606765095</v>
      </c>
      <c r="BM32" s="27">
        <f t="shared" si="226"/>
        <v>60.029069227392057</v>
      </c>
      <c r="BN32" s="27">
        <f t="shared" si="226"/>
        <v>60.374217194449542</v>
      </c>
      <c r="BO32" s="27">
        <f t="shared" si="226"/>
        <v>59.864253625531276</v>
      </c>
      <c r="BP32" s="27">
        <f t="shared" si="226"/>
        <v>60.058084786951369</v>
      </c>
      <c r="BQ32" s="27">
        <f t="shared" si="226"/>
        <v>62.741917548057557</v>
      </c>
      <c r="BR32" s="27">
        <f t="shared" si="226"/>
        <v>63.233999353528759</v>
      </c>
      <c r="BS32" s="27">
        <f t="shared" si="226"/>
        <v>62.987263108394288</v>
      </c>
      <c r="BT32" s="27">
        <f t="shared" si="226"/>
        <v>66.517044087711767</v>
      </c>
      <c r="BU32" s="27">
        <f t="shared" si="226"/>
        <v>63.128130736905021</v>
      </c>
      <c r="BV32" s="27">
        <f t="shared" si="226"/>
        <v>61.422835211534732</v>
      </c>
      <c r="BW32" s="405">
        <f t="shared" si="226"/>
        <v>59.825652580216193</v>
      </c>
      <c r="BX32" s="27">
        <f t="shared" si="226"/>
        <v>60.360274606765081</v>
      </c>
      <c r="BY32" s="27">
        <f t="shared" si="226"/>
        <v>60.02906922739205</v>
      </c>
      <c r="BZ32" s="27">
        <f t="shared" si="226"/>
        <v>60.374217194449542</v>
      </c>
      <c r="CA32" s="27">
        <f t="shared" si="226"/>
        <v>59.864253625531283</v>
      </c>
      <c r="CB32" s="27">
        <f t="shared" si="226"/>
        <v>60.058084786951376</v>
      </c>
      <c r="CC32" s="27">
        <f t="shared" si="226"/>
        <v>62.741917548057557</v>
      </c>
      <c r="CD32" s="27">
        <f t="shared" si="226"/>
        <v>63.233999353528752</v>
      </c>
      <c r="CE32" s="27">
        <f t="shared" si="226"/>
        <v>62.987263108394288</v>
      </c>
      <c r="CF32" s="27">
        <f t="shared" si="226"/>
        <v>66.517044087711767</v>
      </c>
      <c r="CG32" s="27">
        <f t="shared" si="226"/>
        <v>63.128130736905028</v>
      </c>
      <c r="CH32" s="27">
        <f t="shared" si="226"/>
        <v>61.422835211534739</v>
      </c>
      <c r="CI32" s="405">
        <f t="shared" si="226"/>
        <v>59.825652580216193</v>
      </c>
      <c r="CJ32" s="27">
        <f t="shared" si="226"/>
        <v>60.360274606765088</v>
      </c>
      <c r="CK32" s="27">
        <f t="shared" si="226"/>
        <v>60.02906922739205</v>
      </c>
      <c r="CL32" s="27">
        <f t="shared" si="226"/>
        <v>60.374217194449528</v>
      </c>
      <c r="CM32" s="27">
        <f t="shared" si="226"/>
        <v>59.864253625531269</v>
      </c>
      <c r="CN32" s="27">
        <f t="shared" si="226"/>
        <v>60.058084786951362</v>
      </c>
      <c r="CO32" s="27">
        <f t="shared" si="226"/>
        <v>62.741917548057565</v>
      </c>
      <c r="CP32" s="27">
        <f t="shared" si="226"/>
        <v>63.233999353528752</v>
      </c>
      <c r="CQ32" s="27">
        <f t="shared" si="226"/>
        <v>62.987263108394281</v>
      </c>
      <c r="CR32" s="27">
        <f t="shared" si="226"/>
        <v>66.517044087711781</v>
      </c>
      <c r="CS32" s="27">
        <f t="shared" si="226"/>
        <v>63.128130736905021</v>
      </c>
      <c r="CT32" s="27">
        <f t="shared" ref="CT32:DG32" si="227">+CT14/(CT25)</f>
        <v>61.422835211534732</v>
      </c>
      <c r="CU32" s="405">
        <f t="shared" si="227"/>
        <v>59.825652580216186</v>
      </c>
      <c r="CV32" s="27">
        <f t="shared" si="227"/>
        <v>60.360274606765081</v>
      </c>
      <c r="CW32" s="27">
        <f t="shared" si="227"/>
        <v>60.029069227392057</v>
      </c>
      <c r="CX32" s="27">
        <f t="shared" si="227"/>
        <v>60.374217194449535</v>
      </c>
      <c r="CY32" s="27">
        <f t="shared" si="227"/>
        <v>59.86425362553129</v>
      </c>
      <c r="CZ32" s="27">
        <f t="shared" si="227"/>
        <v>60.058084786951369</v>
      </c>
      <c r="DA32" s="27">
        <f t="shared" si="227"/>
        <v>62.741917548057557</v>
      </c>
      <c r="DB32" s="27">
        <f t="shared" si="227"/>
        <v>63.233999353528752</v>
      </c>
      <c r="DC32" s="27">
        <f t="shared" si="227"/>
        <v>62.987263108394295</v>
      </c>
      <c r="DD32" s="27">
        <f t="shared" si="227"/>
        <v>66.517044087711795</v>
      </c>
      <c r="DE32" s="27">
        <f t="shared" si="227"/>
        <v>63.128130736905021</v>
      </c>
      <c r="DF32" s="27">
        <f t="shared" si="227"/>
        <v>61.422835211534732</v>
      </c>
      <c r="DG32" s="28">
        <f t="shared" si="227"/>
        <v>59.825652580216186</v>
      </c>
    </row>
    <row r="33" spans="1:111" ht="18" x14ac:dyDescent="0.3">
      <c r="A33" s="36"/>
      <c r="B33" s="36"/>
      <c r="C33" s="594" t="s">
        <v>291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>
        <f t="shared" ref="P33:AF33" si="228">+(P7-(P31*60))/P27</f>
        <v>58.148837209302329</v>
      </c>
      <c r="Q33" s="26">
        <f t="shared" si="228"/>
        <v>56.226415094339622</v>
      </c>
      <c r="R33" s="26">
        <f t="shared" si="228"/>
        <v>55.479452054794521</v>
      </c>
      <c r="S33" s="26">
        <f t="shared" si="228"/>
        <v>111.69230769230769</v>
      </c>
      <c r="T33" s="26">
        <f t="shared" si="228"/>
        <v>57.601351351351354</v>
      </c>
      <c r="U33" s="26">
        <f t="shared" si="228"/>
        <v>48.190184049079754</v>
      </c>
      <c r="V33" s="26">
        <f t="shared" si="228"/>
        <v>100.90909090909091</v>
      </c>
      <c r="W33" s="26">
        <f t="shared" si="228"/>
        <v>94.5184</v>
      </c>
      <c r="X33" s="26">
        <f t="shared" si="228"/>
        <v>70.055666666666667</v>
      </c>
      <c r="Y33" s="26">
        <f t="shared" si="228"/>
        <v>53.07692307692308</v>
      </c>
      <c r="Z33" s="26">
        <f t="shared" si="228"/>
        <v>53.874345549738223</v>
      </c>
      <c r="AA33" s="26">
        <f t="shared" si="228"/>
        <v>56.551724137931032</v>
      </c>
      <c r="AB33" s="26">
        <f t="shared" si="228"/>
        <v>57.640449438202246</v>
      </c>
      <c r="AC33" s="26">
        <f t="shared" si="228"/>
        <v>58.541666666666664</v>
      </c>
      <c r="AD33" s="26">
        <f t="shared" si="228"/>
        <v>57.766990291262132</v>
      </c>
      <c r="AE33" s="26">
        <f t="shared" si="228"/>
        <v>54.21875</v>
      </c>
      <c r="AF33" s="26">
        <f t="shared" si="228"/>
        <v>62.727272727272727</v>
      </c>
      <c r="AG33" s="26">
        <f t="shared" ref="AG33" si="229">+(AG7-(AG31*60))/AG27</f>
        <v>87.5</v>
      </c>
      <c r="AH33" s="569">
        <f>+(AH7-(AH31*60))/AH27</f>
        <v>72.420645161290324</v>
      </c>
      <c r="AI33" s="569">
        <f>+(AI7-(AI31*60))/AI27</f>
        <v>36.161428571428573</v>
      </c>
      <c r="AJ33" s="570">
        <f>+(AJ7-(AJ31*60))/AJ27</f>
        <v>68.684210526315795</v>
      </c>
      <c r="AK33" s="445">
        <f>+AVERAGE(AH33:AJ33)</f>
        <v>59.088761419678235</v>
      </c>
      <c r="AL33" s="27">
        <f t="shared" ref="AL33:AL36" si="230">+AK33</f>
        <v>59.088761419678235</v>
      </c>
      <c r="AM33" s="405">
        <f t="shared" ref="AM33:AM36" si="231">+AL33</f>
        <v>59.088761419678235</v>
      </c>
      <c r="AN33" s="27">
        <f t="shared" ref="AN33:AN36" si="232">+AM33</f>
        <v>59.088761419678235</v>
      </c>
      <c r="AO33" s="27">
        <f t="shared" ref="AO33:AO36" si="233">+AN33</f>
        <v>59.088761419678235</v>
      </c>
      <c r="AP33" s="27">
        <f t="shared" ref="AP33:AP36" si="234">+AO33</f>
        <v>59.088761419678235</v>
      </c>
      <c r="AQ33" s="27">
        <f t="shared" ref="AQ33:AQ36" si="235">+AP33</f>
        <v>59.088761419678235</v>
      </c>
      <c r="AR33" s="27">
        <f t="shared" ref="AR33:AR36" si="236">+AQ33</f>
        <v>59.088761419678235</v>
      </c>
      <c r="AS33" s="27">
        <f t="shared" ref="AS33:AS36" si="237">+AR33</f>
        <v>59.088761419678235</v>
      </c>
      <c r="AT33" s="27">
        <f t="shared" ref="AT33:AT36" si="238">+AS33</f>
        <v>59.088761419678235</v>
      </c>
      <c r="AU33" s="27">
        <f t="shared" ref="AU33:AU36" si="239">+AT33</f>
        <v>59.088761419678235</v>
      </c>
      <c r="AV33" s="27">
        <f t="shared" ref="AV33:AV36" si="240">+AU33</f>
        <v>59.088761419678235</v>
      </c>
      <c r="AW33" s="27">
        <f t="shared" ref="AW33:AW36" si="241">+AV33</f>
        <v>59.088761419678235</v>
      </c>
      <c r="AX33" s="27">
        <f t="shared" ref="AX33:AX36" si="242">+AW33</f>
        <v>59.088761419678235</v>
      </c>
      <c r="AY33" s="405">
        <f t="shared" ref="AY33:AY36" si="243">+AX33</f>
        <v>59.088761419678235</v>
      </c>
      <c r="AZ33" s="27">
        <f t="shared" ref="AZ33:AZ36" si="244">+AY33</f>
        <v>59.088761419678235</v>
      </c>
      <c r="BA33" s="27">
        <f t="shared" ref="BA33:BA36" si="245">+AZ33</f>
        <v>59.088761419678235</v>
      </c>
      <c r="BB33" s="27">
        <f t="shared" ref="BB33:BB36" si="246">+BA33</f>
        <v>59.088761419678235</v>
      </c>
      <c r="BC33" s="27">
        <f t="shared" ref="BC33:BC36" si="247">+BB33</f>
        <v>59.088761419678235</v>
      </c>
      <c r="BD33" s="27">
        <f t="shared" ref="BD33:BD36" si="248">+BC33</f>
        <v>59.088761419678235</v>
      </c>
      <c r="BE33" s="27">
        <f t="shared" ref="BE33:BE36" si="249">+BD33</f>
        <v>59.088761419678235</v>
      </c>
      <c r="BF33" s="27">
        <f t="shared" ref="BF33:BF36" si="250">+BE33</f>
        <v>59.088761419678235</v>
      </c>
      <c r="BG33" s="27">
        <f t="shared" ref="BG33:BG36" si="251">+BF33</f>
        <v>59.088761419678235</v>
      </c>
      <c r="BH33" s="27">
        <f t="shared" ref="BH33:BH36" si="252">+BG33</f>
        <v>59.088761419678235</v>
      </c>
      <c r="BI33" s="27">
        <f t="shared" ref="BI33:BI36" si="253">+BH33</f>
        <v>59.088761419678235</v>
      </c>
      <c r="BJ33" s="27">
        <f t="shared" ref="BJ33:BJ36" si="254">+BI33</f>
        <v>59.088761419678235</v>
      </c>
      <c r="BK33" s="405">
        <f t="shared" ref="BK33:BK36" si="255">+BJ33</f>
        <v>59.088761419678235</v>
      </c>
      <c r="BL33" s="27">
        <f t="shared" ref="BL33:BL36" si="256">+BK33</f>
        <v>59.088761419678235</v>
      </c>
      <c r="BM33" s="27">
        <f t="shared" ref="BM33:BM36" si="257">+BL33</f>
        <v>59.088761419678235</v>
      </c>
      <c r="BN33" s="27">
        <f t="shared" ref="BN33:BN36" si="258">+BM33</f>
        <v>59.088761419678235</v>
      </c>
      <c r="BO33" s="27">
        <f t="shared" ref="BO33:BO36" si="259">+BN33</f>
        <v>59.088761419678235</v>
      </c>
      <c r="BP33" s="27">
        <f t="shared" ref="BP33:BP36" si="260">+BO33</f>
        <v>59.088761419678235</v>
      </c>
      <c r="BQ33" s="27">
        <f t="shared" ref="BQ33:BQ36" si="261">+BP33</f>
        <v>59.088761419678235</v>
      </c>
      <c r="BR33" s="27">
        <f t="shared" ref="BR33:BR36" si="262">+BQ33</f>
        <v>59.088761419678235</v>
      </c>
      <c r="BS33" s="27">
        <f t="shared" ref="BS33:BS36" si="263">+BR33</f>
        <v>59.088761419678235</v>
      </c>
      <c r="BT33" s="27">
        <f t="shared" ref="BT33:BT36" si="264">+BS33</f>
        <v>59.088761419678235</v>
      </c>
      <c r="BU33" s="27">
        <f t="shared" ref="BU33:BU36" si="265">+BT33</f>
        <v>59.088761419678235</v>
      </c>
      <c r="BV33" s="27">
        <f t="shared" ref="BV33:BV36" si="266">+BU33</f>
        <v>59.088761419678235</v>
      </c>
      <c r="BW33" s="405">
        <f t="shared" ref="BW33:BW36" si="267">+BV33</f>
        <v>59.088761419678235</v>
      </c>
      <c r="BX33" s="27">
        <f t="shared" ref="BX33:BX36" si="268">+BW33</f>
        <v>59.088761419678235</v>
      </c>
      <c r="BY33" s="27">
        <f t="shared" ref="BY33:BY36" si="269">+BX33</f>
        <v>59.088761419678235</v>
      </c>
      <c r="BZ33" s="27">
        <f t="shared" ref="BZ33:BZ36" si="270">+BY33</f>
        <v>59.088761419678235</v>
      </c>
      <c r="CA33" s="27">
        <f t="shared" ref="CA33:CA36" si="271">+BZ33</f>
        <v>59.088761419678235</v>
      </c>
      <c r="CB33" s="27">
        <f t="shared" ref="CB33:CB36" si="272">+CA33</f>
        <v>59.088761419678235</v>
      </c>
      <c r="CC33" s="27">
        <f t="shared" ref="CC33:CC36" si="273">+CB33</f>
        <v>59.088761419678235</v>
      </c>
      <c r="CD33" s="27">
        <f t="shared" ref="CD33:CD36" si="274">+CC33</f>
        <v>59.088761419678235</v>
      </c>
      <c r="CE33" s="27">
        <f t="shared" ref="CE33:CE36" si="275">+CD33</f>
        <v>59.088761419678235</v>
      </c>
      <c r="CF33" s="27">
        <f t="shared" ref="CF33:CF36" si="276">+CE33</f>
        <v>59.088761419678235</v>
      </c>
      <c r="CG33" s="27">
        <f t="shared" ref="CG33:CG36" si="277">+CF33</f>
        <v>59.088761419678235</v>
      </c>
      <c r="CH33" s="27">
        <f t="shared" ref="CH33:CH36" si="278">+CG33</f>
        <v>59.088761419678235</v>
      </c>
      <c r="CI33" s="405">
        <f t="shared" ref="CI33:CI36" si="279">+CH33</f>
        <v>59.088761419678235</v>
      </c>
      <c r="CJ33" s="27">
        <f t="shared" ref="CJ33:CJ36" si="280">+CI33</f>
        <v>59.088761419678235</v>
      </c>
      <c r="CK33" s="27">
        <f t="shared" ref="CK33:CK36" si="281">+CJ33</f>
        <v>59.088761419678235</v>
      </c>
      <c r="CL33" s="27">
        <f t="shared" ref="CL33:CL36" si="282">+CK33</f>
        <v>59.088761419678235</v>
      </c>
      <c r="CM33" s="27">
        <f t="shared" ref="CM33:CM36" si="283">+CL33</f>
        <v>59.088761419678235</v>
      </c>
      <c r="CN33" s="27">
        <f t="shared" ref="CN33:CN36" si="284">+CM33</f>
        <v>59.088761419678235</v>
      </c>
      <c r="CO33" s="27">
        <f t="shared" ref="CO33:CO36" si="285">+CN33</f>
        <v>59.088761419678235</v>
      </c>
      <c r="CP33" s="27">
        <f t="shared" ref="CP33:CP36" si="286">+CO33</f>
        <v>59.088761419678235</v>
      </c>
      <c r="CQ33" s="27">
        <f t="shared" ref="CQ33:CQ36" si="287">+CP33</f>
        <v>59.088761419678235</v>
      </c>
      <c r="CR33" s="27">
        <f t="shared" ref="CR33:CR36" si="288">+CQ33</f>
        <v>59.088761419678235</v>
      </c>
      <c r="CS33" s="27">
        <f t="shared" ref="CS33:CS36" si="289">+CR33</f>
        <v>59.088761419678235</v>
      </c>
      <c r="CT33" s="27">
        <f t="shared" ref="CT33:CT36" si="290">+CS33</f>
        <v>59.088761419678235</v>
      </c>
      <c r="CU33" s="405">
        <f t="shared" ref="CU33:CU36" si="291">+CT33</f>
        <v>59.088761419678235</v>
      </c>
      <c r="CV33" s="27">
        <f t="shared" ref="CV33:CV36" si="292">+CU33</f>
        <v>59.088761419678235</v>
      </c>
      <c r="CW33" s="27">
        <f t="shared" ref="CW33:CW36" si="293">+CV33</f>
        <v>59.088761419678235</v>
      </c>
      <c r="CX33" s="27">
        <f t="shared" ref="CX33:CX36" si="294">+CW33</f>
        <v>59.088761419678235</v>
      </c>
      <c r="CY33" s="27">
        <f t="shared" ref="CY33:CY36" si="295">+CX33</f>
        <v>59.088761419678235</v>
      </c>
      <c r="CZ33" s="27">
        <f t="shared" ref="CZ33:CZ36" si="296">+CY33</f>
        <v>59.088761419678235</v>
      </c>
      <c r="DA33" s="27">
        <f t="shared" ref="DA33:DA36" si="297">+CZ33</f>
        <v>59.088761419678235</v>
      </c>
      <c r="DB33" s="27">
        <f t="shared" ref="DB33:DB36" si="298">+DA33</f>
        <v>59.088761419678235</v>
      </c>
      <c r="DC33" s="27">
        <f t="shared" ref="DC33:DC36" si="299">+DB33</f>
        <v>59.088761419678235</v>
      </c>
      <c r="DD33" s="27">
        <f t="shared" ref="DD33:DD36" si="300">+DC33</f>
        <v>59.088761419678235</v>
      </c>
      <c r="DE33" s="27">
        <f t="shared" ref="DE33:DE36" si="301">+DD33</f>
        <v>59.088761419678235</v>
      </c>
      <c r="DF33" s="27">
        <f t="shared" ref="DF33:DG36" si="302">+DE33</f>
        <v>59.088761419678235</v>
      </c>
      <c r="DG33" s="28">
        <f t="shared" si="302"/>
        <v>59.088761419678235</v>
      </c>
    </row>
    <row r="34" spans="1:111" ht="18" x14ac:dyDescent="0.3">
      <c r="A34" s="36"/>
      <c r="B34" s="36"/>
      <c r="C34" s="594" t="s">
        <v>292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>
        <f t="shared" ref="P34:AF34" si="303">+IFERROR(P8/P28, 0)</f>
        <v>0</v>
      </c>
      <c r="Q34" s="26">
        <f t="shared" si="303"/>
        <v>0</v>
      </c>
      <c r="R34" s="26">
        <f t="shared" si="303"/>
        <v>0</v>
      </c>
      <c r="S34" s="26">
        <f t="shared" si="303"/>
        <v>0</v>
      </c>
      <c r="T34" s="26">
        <f t="shared" si="303"/>
        <v>0</v>
      </c>
      <c r="U34" s="26">
        <f t="shared" si="303"/>
        <v>0</v>
      </c>
      <c r="V34" s="26">
        <f t="shared" si="303"/>
        <v>60</v>
      </c>
      <c r="W34" s="26">
        <f t="shared" si="303"/>
        <v>140</v>
      </c>
      <c r="X34" s="26">
        <f t="shared" si="303"/>
        <v>72.376237623762378</v>
      </c>
      <c r="Y34" s="26">
        <f t="shared" si="303"/>
        <v>72</v>
      </c>
      <c r="Z34" s="26">
        <f t="shared" si="303"/>
        <v>64.848484848484844</v>
      </c>
      <c r="AA34" s="26">
        <f t="shared" si="303"/>
        <v>70</v>
      </c>
      <c r="AB34" s="26">
        <f t="shared" si="303"/>
        <v>60</v>
      </c>
      <c r="AC34" s="26">
        <f t="shared" si="303"/>
        <v>60</v>
      </c>
      <c r="AD34" s="26">
        <f t="shared" si="303"/>
        <v>60</v>
      </c>
      <c r="AE34" s="26">
        <f t="shared" si="303"/>
        <v>60</v>
      </c>
      <c r="AF34" s="26">
        <f t="shared" si="303"/>
        <v>60</v>
      </c>
      <c r="AG34" s="569">
        <f>+IFERROR(AG8/AG28, 0)</f>
        <v>53.265714285714289</v>
      </c>
      <c r="AH34" s="575">
        <f>+IFERROR(AH8/AH28, 0)</f>
        <v>64.560439560439562</v>
      </c>
      <c r="AI34" s="575">
        <f>+IFERROR(AI8/AI28, 0)</f>
        <v>63.786982248520708</v>
      </c>
      <c r="AJ34" s="571">
        <f>+IFERROR(AJ8/AJ28, 0)</f>
        <v>69.545454545454547</v>
      </c>
      <c r="AK34" s="445">
        <v>60</v>
      </c>
      <c r="AL34" s="27">
        <f t="shared" si="230"/>
        <v>60</v>
      </c>
      <c r="AM34" s="405">
        <f t="shared" si="231"/>
        <v>60</v>
      </c>
      <c r="AN34" s="27">
        <f t="shared" si="232"/>
        <v>60</v>
      </c>
      <c r="AO34" s="27">
        <f t="shared" si="233"/>
        <v>60</v>
      </c>
      <c r="AP34" s="27">
        <f t="shared" si="234"/>
        <v>60</v>
      </c>
      <c r="AQ34" s="27">
        <f t="shared" si="235"/>
        <v>60</v>
      </c>
      <c r="AR34" s="27">
        <f t="shared" si="236"/>
        <v>60</v>
      </c>
      <c r="AS34" s="27">
        <f t="shared" si="237"/>
        <v>60</v>
      </c>
      <c r="AT34" s="27">
        <f t="shared" si="238"/>
        <v>60</v>
      </c>
      <c r="AU34" s="27">
        <f t="shared" si="239"/>
        <v>60</v>
      </c>
      <c r="AV34" s="27">
        <f t="shared" si="240"/>
        <v>60</v>
      </c>
      <c r="AW34" s="27">
        <f t="shared" si="241"/>
        <v>60</v>
      </c>
      <c r="AX34" s="27">
        <f t="shared" si="242"/>
        <v>60</v>
      </c>
      <c r="AY34" s="405">
        <f t="shared" si="243"/>
        <v>60</v>
      </c>
      <c r="AZ34" s="27">
        <f t="shared" si="244"/>
        <v>60</v>
      </c>
      <c r="BA34" s="27">
        <f t="shared" si="245"/>
        <v>60</v>
      </c>
      <c r="BB34" s="27">
        <f t="shared" si="246"/>
        <v>60</v>
      </c>
      <c r="BC34" s="27">
        <f t="shared" si="247"/>
        <v>60</v>
      </c>
      <c r="BD34" s="27">
        <f t="shared" si="248"/>
        <v>60</v>
      </c>
      <c r="BE34" s="27">
        <f t="shared" si="249"/>
        <v>60</v>
      </c>
      <c r="BF34" s="27">
        <f t="shared" si="250"/>
        <v>60</v>
      </c>
      <c r="BG34" s="27">
        <f t="shared" si="251"/>
        <v>60</v>
      </c>
      <c r="BH34" s="27">
        <f t="shared" si="252"/>
        <v>60</v>
      </c>
      <c r="BI34" s="27">
        <f t="shared" si="253"/>
        <v>60</v>
      </c>
      <c r="BJ34" s="27">
        <f t="shared" si="254"/>
        <v>60</v>
      </c>
      <c r="BK34" s="405">
        <f t="shared" si="255"/>
        <v>60</v>
      </c>
      <c r="BL34" s="27">
        <f t="shared" si="256"/>
        <v>60</v>
      </c>
      <c r="BM34" s="27">
        <f t="shared" si="257"/>
        <v>60</v>
      </c>
      <c r="BN34" s="27">
        <f t="shared" si="258"/>
        <v>60</v>
      </c>
      <c r="BO34" s="27">
        <f t="shared" si="259"/>
        <v>60</v>
      </c>
      <c r="BP34" s="27">
        <f t="shared" si="260"/>
        <v>60</v>
      </c>
      <c r="BQ34" s="27">
        <f t="shared" si="261"/>
        <v>60</v>
      </c>
      <c r="BR34" s="27">
        <f t="shared" si="262"/>
        <v>60</v>
      </c>
      <c r="BS34" s="27">
        <f t="shared" si="263"/>
        <v>60</v>
      </c>
      <c r="BT34" s="27">
        <f t="shared" si="264"/>
        <v>60</v>
      </c>
      <c r="BU34" s="27">
        <f t="shared" si="265"/>
        <v>60</v>
      </c>
      <c r="BV34" s="27">
        <f t="shared" si="266"/>
        <v>60</v>
      </c>
      <c r="BW34" s="405">
        <f t="shared" si="267"/>
        <v>60</v>
      </c>
      <c r="BX34" s="27">
        <f t="shared" si="268"/>
        <v>60</v>
      </c>
      <c r="BY34" s="27">
        <f t="shared" si="269"/>
        <v>60</v>
      </c>
      <c r="BZ34" s="27">
        <f t="shared" si="270"/>
        <v>60</v>
      </c>
      <c r="CA34" s="27">
        <f t="shared" si="271"/>
        <v>60</v>
      </c>
      <c r="CB34" s="27">
        <f t="shared" si="272"/>
        <v>60</v>
      </c>
      <c r="CC34" s="27">
        <f t="shared" si="273"/>
        <v>60</v>
      </c>
      <c r="CD34" s="27">
        <f t="shared" si="274"/>
        <v>60</v>
      </c>
      <c r="CE34" s="27">
        <f t="shared" si="275"/>
        <v>60</v>
      </c>
      <c r="CF34" s="27">
        <f t="shared" si="276"/>
        <v>60</v>
      </c>
      <c r="CG34" s="27">
        <f t="shared" si="277"/>
        <v>60</v>
      </c>
      <c r="CH34" s="27">
        <f t="shared" si="278"/>
        <v>60</v>
      </c>
      <c r="CI34" s="405">
        <f t="shared" si="279"/>
        <v>60</v>
      </c>
      <c r="CJ34" s="27">
        <f t="shared" si="280"/>
        <v>60</v>
      </c>
      <c r="CK34" s="27">
        <f t="shared" si="281"/>
        <v>60</v>
      </c>
      <c r="CL34" s="27">
        <f t="shared" si="282"/>
        <v>60</v>
      </c>
      <c r="CM34" s="27">
        <f t="shared" si="283"/>
        <v>60</v>
      </c>
      <c r="CN34" s="27">
        <f t="shared" si="284"/>
        <v>60</v>
      </c>
      <c r="CO34" s="27">
        <f t="shared" si="285"/>
        <v>60</v>
      </c>
      <c r="CP34" s="27">
        <f t="shared" si="286"/>
        <v>60</v>
      </c>
      <c r="CQ34" s="27">
        <f t="shared" si="287"/>
        <v>60</v>
      </c>
      <c r="CR34" s="27">
        <f t="shared" si="288"/>
        <v>60</v>
      </c>
      <c r="CS34" s="27">
        <f t="shared" si="289"/>
        <v>60</v>
      </c>
      <c r="CT34" s="27">
        <f t="shared" si="290"/>
        <v>60</v>
      </c>
      <c r="CU34" s="405">
        <f t="shared" si="291"/>
        <v>60</v>
      </c>
      <c r="CV34" s="27">
        <f t="shared" si="292"/>
        <v>60</v>
      </c>
      <c r="CW34" s="27">
        <f t="shared" si="293"/>
        <v>60</v>
      </c>
      <c r="CX34" s="27">
        <f t="shared" si="294"/>
        <v>60</v>
      </c>
      <c r="CY34" s="27">
        <f t="shared" si="295"/>
        <v>60</v>
      </c>
      <c r="CZ34" s="27">
        <f t="shared" si="296"/>
        <v>60</v>
      </c>
      <c r="DA34" s="27">
        <f t="shared" si="297"/>
        <v>60</v>
      </c>
      <c r="DB34" s="27">
        <f t="shared" si="298"/>
        <v>60</v>
      </c>
      <c r="DC34" s="27">
        <f t="shared" si="299"/>
        <v>60</v>
      </c>
      <c r="DD34" s="27">
        <f t="shared" si="300"/>
        <v>60</v>
      </c>
      <c r="DE34" s="27">
        <f t="shared" si="301"/>
        <v>60</v>
      </c>
      <c r="DF34" s="27">
        <f t="shared" si="302"/>
        <v>60</v>
      </c>
      <c r="DG34" s="28">
        <f t="shared" si="302"/>
        <v>60</v>
      </c>
    </row>
    <row r="35" spans="1:111" ht="18" x14ac:dyDescent="0.3">
      <c r="A35" s="36"/>
      <c r="B35" s="36"/>
      <c r="C35" s="594" t="s">
        <v>302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>
        <f t="shared" ref="P35:AG35" si="304">+IFERROR(P9/P29, 0)</f>
        <v>0</v>
      </c>
      <c r="Q35" s="26">
        <f t="shared" si="304"/>
        <v>0</v>
      </c>
      <c r="R35" s="26">
        <f t="shared" si="304"/>
        <v>0</v>
      </c>
      <c r="S35" s="26">
        <f t="shared" si="304"/>
        <v>0</v>
      </c>
      <c r="T35" s="26">
        <f t="shared" si="304"/>
        <v>0</v>
      </c>
      <c r="U35" s="26">
        <f t="shared" si="304"/>
        <v>0</v>
      </c>
      <c r="V35" s="26">
        <f t="shared" si="304"/>
        <v>0</v>
      </c>
      <c r="W35" s="26">
        <f t="shared" si="304"/>
        <v>0</v>
      </c>
      <c r="X35" s="26">
        <f t="shared" si="304"/>
        <v>0</v>
      </c>
      <c r="Y35" s="26">
        <f t="shared" si="304"/>
        <v>0</v>
      </c>
      <c r="Z35" s="26">
        <f t="shared" si="304"/>
        <v>0</v>
      </c>
      <c r="AA35" s="26">
        <f t="shared" si="304"/>
        <v>0</v>
      </c>
      <c r="AB35" s="26">
        <f t="shared" si="304"/>
        <v>0</v>
      </c>
      <c r="AC35" s="26">
        <f t="shared" si="304"/>
        <v>0</v>
      </c>
      <c r="AD35" s="26">
        <f t="shared" si="304"/>
        <v>0</v>
      </c>
      <c r="AE35" s="26">
        <f t="shared" si="304"/>
        <v>0</v>
      </c>
      <c r="AF35" s="26">
        <f t="shared" si="304"/>
        <v>0</v>
      </c>
      <c r="AG35" s="26">
        <f t="shared" si="304"/>
        <v>0</v>
      </c>
      <c r="AH35" s="26">
        <f t="shared" ref="AH35" si="305">+IFERROR(AH9/AH29, 0)</f>
        <v>0</v>
      </c>
      <c r="AI35" s="26">
        <f t="shared" ref="AI35:AJ35" si="306">+IFERROR(AI9/AI29, 0)</f>
        <v>69.489795918367349</v>
      </c>
      <c r="AJ35" s="368">
        <f t="shared" si="306"/>
        <v>65.409836065573771</v>
      </c>
      <c r="AK35" s="445">
        <f>+AJ35</f>
        <v>65.409836065573771</v>
      </c>
      <c r="AL35" s="27">
        <f t="shared" ref="AL35" si="307">+AK35</f>
        <v>65.409836065573771</v>
      </c>
      <c r="AM35" s="405">
        <f t="shared" ref="AM35" si="308">+AL35</f>
        <v>65.409836065573771</v>
      </c>
      <c r="AN35" s="27">
        <f t="shared" ref="AN35" si="309">+AM35</f>
        <v>65.409836065573771</v>
      </c>
      <c r="AO35" s="27">
        <f t="shared" ref="AO35" si="310">+AN35</f>
        <v>65.409836065573771</v>
      </c>
      <c r="AP35" s="27">
        <f t="shared" ref="AP35" si="311">+AO35</f>
        <v>65.409836065573771</v>
      </c>
      <c r="AQ35" s="27">
        <f t="shared" ref="AQ35" si="312">+AP35</f>
        <v>65.409836065573771</v>
      </c>
      <c r="AR35" s="27">
        <f t="shared" ref="AR35" si="313">+AQ35</f>
        <v>65.409836065573771</v>
      </c>
      <c r="AS35" s="27">
        <f t="shared" ref="AS35" si="314">+AR35</f>
        <v>65.409836065573771</v>
      </c>
      <c r="AT35" s="27">
        <f t="shared" ref="AT35" si="315">+AS35</f>
        <v>65.409836065573771</v>
      </c>
      <c r="AU35" s="27">
        <f t="shared" ref="AU35" si="316">+AT35</f>
        <v>65.409836065573771</v>
      </c>
      <c r="AV35" s="27">
        <f t="shared" ref="AV35" si="317">+AU35</f>
        <v>65.409836065573771</v>
      </c>
      <c r="AW35" s="27">
        <f t="shared" ref="AW35" si="318">+AV35</f>
        <v>65.409836065573771</v>
      </c>
      <c r="AX35" s="27">
        <f t="shared" ref="AX35" si="319">+AW35</f>
        <v>65.409836065573771</v>
      </c>
      <c r="AY35" s="405">
        <f t="shared" ref="AY35" si="320">+AX35</f>
        <v>65.409836065573771</v>
      </c>
      <c r="AZ35" s="27">
        <f t="shared" ref="AZ35" si="321">+AY35</f>
        <v>65.409836065573771</v>
      </c>
      <c r="BA35" s="27">
        <f t="shared" ref="BA35" si="322">+AZ35</f>
        <v>65.409836065573771</v>
      </c>
      <c r="BB35" s="27">
        <f t="shared" ref="BB35" si="323">+BA35</f>
        <v>65.409836065573771</v>
      </c>
      <c r="BC35" s="27">
        <f t="shared" ref="BC35" si="324">+BB35</f>
        <v>65.409836065573771</v>
      </c>
      <c r="BD35" s="27">
        <f t="shared" ref="BD35" si="325">+BC35</f>
        <v>65.409836065573771</v>
      </c>
      <c r="BE35" s="27">
        <f t="shared" ref="BE35" si="326">+BD35</f>
        <v>65.409836065573771</v>
      </c>
      <c r="BF35" s="27">
        <f t="shared" ref="BF35" si="327">+BE35</f>
        <v>65.409836065573771</v>
      </c>
      <c r="BG35" s="27">
        <f t="shared" ref="BG35" si="328">+BF35</f>
        <v>65.409836065573771</v>
      </c>
      <c r="BH35" s="27">
        <f t="shared" ref="BH35" si="329">+BG35</f>
        <v>65.409836065573771</v>
      </c>
      <c r="BI35" s="27">
        <f t="shared" ref="BI35" si="330">+BH35</f>
        <v>65.409836065573771</v>
      </c>
      <c r="BJ35" s="27">
        <f t="shared" ref="BJ35" si="331">+BI35</f>
        <v>65.409836065573771</v>
      </c>
      <c r="BK35" s="405">
        <f t="shared" ref="BK35" si="332">+BJ35</f>
        <v>65.409836065573771</v>
      </c>
      <c r="BL35" s="27">
        <f t="shared" ref="BL35" si="333">+BK35</f>
        <v>65.409836065573771</v>
      </c>
      <c r="BM35" s="27">
        <f t="shared" ref="BM35" si="334">+BL35</f>
        <v>65.409836065573771</v>
      </c>
      <c r="BN35" s="27">
        <f t="shared" ref="BN35" si="335">+BM35</f>
        <v>65.409836065573771</v>
      </c>
      <c r="BO35" s="27">
        <f t="shared" ref="BO35" si="336">+BN35</f>
        <v>65.409836065573771</v>
      </c>
      <c r="BP35" s="27">
        <f t="shared" ref="BP35" si="337">+BO35</f>
        <v>65.409836065573771</v>
      </c>
      <c r="BQ35" s="27">
        <f t="shared" ref="BQ35" si="338">+BP35</f>
        <v>65.409836065573771</v>
      </c>
      <c r="BR35" s="27">
        <f t="shared" ref="BR35" si="339">+BQ35</f>
        <v>65.409836065573771</v>
      </c>
      <c r="BS35" s="27">
        <f t="shared" ref="BS35" si="340">+BR35</f>
        <v>65.409836065573771</v>
      </c>
      <c r="BT35" s="27">
        <f t="shared" ref="BT35" si="341">+BS35</f>
        <v>65.409836065573771</v>
      </c>
      <c r="BU35" s="27">
        <f t="shared" ref="BU35" si="342">+BT35</f>
        <v>65.409836065573771</v>
      </c>
      <c r="BV35" s="27">
        <f t="shared" ref="BV35" si="343">+BU35</f>
        <v>65.409836065573771</v>
      </c>
      <c r="BW35" s="405">
        <f t="shared" ref="BW35" si="344">+BV35</f>
        <v>65.409836065573771</v>
      </c>
      <c r="BX35" s="27">
        <f t="shared" ref="BX35" si="345">+BW35</f>
        <v>65.409836065573771</v>
      </c>
      <c r="BY35" s="27">
        <f t="shared" ref="BY35" si="346">+BX35</f>
        <v>65.409836065573771</v>
      </c>
      <c r="BZ35" s="27">
        <f t="shared" ref="BZ35" si="347">+BY35</f>
        <v>65.409836065573771</v>
      </c>
      <c r="CA35" s="27">
        <f t="shared" ref="CA35" si="348">+BZ35</f>
        <v>65.409836065573771</v>
      </c>
      <c r="CB35" s="27">
        <f t="shared" ref="CB35" si="349">+CA35</f>
        <v>65.409836065573771</v>
      </c>
      <c r="CC35" s="27">
        <f t="shared" ref="CC35" si="350">+CB35</f>
        <v>65.409836065573771</v>
      </c>
      <c r="CD35" s="27">
        <f t="shared" ref="CD35" si="351">+CC35</f>
        <v>65.409836065573771</v>
      </c>
      <c r="CE35" s="27">
        <f t="shared" ref="CE35" si="352">+CD35</f>
        <v>65.409836065573771</v>
      </c>
      <c r="CF35" s="27">
        <f t="shared" ref="CF35" si="353">+CE35</f>
        <v>65.409836065573771</v>
      </c>
      <c r="CG35" s="27">
        <f t="shared" ref="CG35" si="354">+CF35</f>
        <v>65.409836065573771</v>
      </c>
      <c r="CH35" s="27">
        <f t="shared" ref="CH35" si="355">+CG35</f>
        <v>65.409836065573771</v>
      </c>
      <c r="CI35" s="405">
        <f t="shared" ref="CI35" si="356">+CH35</f>
        <v>65.409836065573771</v>
      </c>
      <c r="CJ35" s="27">
        <f t="shared" ref="CJ35" si="357">+CI35</f>
        <v>65.409836065573771</v>
      </c>
      <c r="CK35" s="27">
        <f t="shared" ref="CK35" si="358">+CJ35</f>
        <v>65.409836065573771</v>
      </c>
      <c r="CL35" s="27">
        <f t="shared" ref="CL35" si="359">+CK35</f>
        <v>65.409836065573771</v>
      </c>
      <c r="CM35" s="27">
        <f t="shared" ref="CM35" si="360">+CL35</f>
        <v>65.409836065573771</v>
      </c>
      <c r="CN35" s="27">
        <f t="shared" ref="CN35" si="361">+CM35</f>
        <v>65.409836065573771</v>
      </c>
      <c r="CO35" s="27">
        <f t="shared" ref="CO35" si="362">+CN35</f>
        <v>65.409836065573771</v>
      </c>
      <c r="CP35" s="27">
        <f t="shared" ref="CP35" si="363">+CO35</f>
        <v>65.409836065573771</v>
      </c>
      <c r="CQ35" s="27">
        <f t="shared" ref="CQ35" si="364">+CP35</f>
        <v>65.409836065573771</v>
      </c>
      <c r="CR35" s="27">
        <f t="shared" ref="CR35" si="365">+CQ35</f>
        <v>65.409836065573771</v>
      </c>
      <c r="CS35" s="27">
        <f t="shared" ref="CS35" si="366">+CR35</f>
        <v>65.409836065573771</v>
      </c>
      <c r="CT35" s="27">
        <f t="shared" ref="CT35" si="367">+CS35</f>
        <v>65.409836065573771</v>
      </c>
      <c r="CU35" s="405">
        <f t="shared" ref="CU35" si="368">+CT35</f>
        <v>65.409836065573771</v>
      </c>
      <c r="CV35" s="27">
        <f t="shared" ref="CV35" si="369">+CU35</f>
        <v>65.409836065573771</v>
      </c>
      <c r="CW35" s="27">
        <f t="shared" ref="CW35" si="370">+CV35</f>
        <v>65.409836065573771</v>
      </c>
      <c r="CX35" s="27">
        <f t="shared" ref="CX35" si="371">+CW35</f>
        <v>65.409836065573771</v>
      </c>
      <c r="CY35" s="27">
        <f t="shared" ref="CY35" si="372">+CX35</f>
        <v>65.409836065573771</v>
      </c>
      <c r="CZ35" s="27">
        <f t="shared" ref="CZ35" si="373">+CY35</f>
        <v>65.409836065573771</v>
      </c>
      <c r="DA35" s="27">
        <f t="shared" ref="DA35" si="374">+CZ35</f>
        <v>65.409836065573771</v>
      </c>
      <c r="DB35" s="27">
        <f t="shared" ref="DB35" si="375">+DA35</f>
        <v>65.409836065573771</v>
      </c>
      <c r="DC35" s="27">
        <f t="shared" ref="DC35" si="376">+DB35</f>
        <v>65.409836065573771</v>
      </c>
      <c r="DD35" s="27">
        <f t="shared" ref="DD35" si="377">+DC35</f>
        <v>65.409836065573771</v>
      </c>
      <c r="DE35" s="27">
        <f t="shared" ref="DE35" si="378">+DD35</f>
        <v>65.409836065573771</v>
      </c>
      <c r="DF35" s="27">
        <f t="shared" ref="DF35" si="379">+DE35</f>
        <v>65.409836065573771</v>
      </c>
      <c r="DG35" s="28">
        <f t="shared" ref="DG35" si="380">+DF35</f>
        <v>65.409836065573771</v>
      </c>
    </row>
    <row r="36" spans="1:111" ht="18" x14ac:dyDescent="0.3">
      <c r="A36" s="36"/>
      <c r="B36" s="36"/>
      <c r="C36" s="594" t="s">
        <v>303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>
        <f>IFERROR(P10/P30, 0)</f>
        <v>50</v>
      </c>
      <c r="Q36" s="26">
        <f t="shared" ref="Q36:AD36" si="381">IFERROR(Q10/Q30, 0)</f>
        <v>0</v>
      </c>
      <c r="R36" s="26">
        <f t="shared" si="381"/>
        <v>0</v>
      </c>
      <c r="S36" s="26">
        <f t="shared" si="381"/>
        <v>44.91</v>
      </c>
      <c r="T36" s="26">
        <f t="shared" si="381"/>
        <v>0</v>
      </c>
      <c r="U36" s="26">
        <f t="shared" si="381"/>
        <v>60</v>
      </c>
      <c r="V36" s="26">
        <f t="shared" si="381"/>
        <v>57.241379310344826</v>
      </c>
      <c r="W36" s="26">
        <f t="shared" si="381"/>
        <v>59.074074074074076</v>
      </c>
      <c r="X36" s="26">
        <f t="shared" si="381"/>
        <v>59.447513812154696</v>
      </c>
      <c r="Y36" s="26">
        <f t="shared" si="381"/>
        <v>60</v>
      </c>
      <c r="Z36" s="26">
        <f t="shared" si="381"/>
        <v>60</v>
      </c>
      <c r="AA36" s="26">
        <f>IFERROR(AA10/AA30, 0)</f>
        <v>60</v>
      </c>
      <c r="AB36" s="26">
        <f t="shared" si="381"/>
        <v>60</v>
      </c>
      <c r="AC36" s="26">
        <f t="shared" si="381"/>
        <v>33.333333333333336</v>
      </c>
      <c r="AD36" s="26">
        <f t="shared" si="381"/>
        <v>37.5</v>
      </c>
      <c r="AE36" s="26">
        <f t="shared" ref="AE36:AJ36" si="382">IFERROR(AE10/AE30, 0)</f>
        <v>60</v>
      </c>
      <c r="AF36" s="26">
        <f t="shared" si="382"/>
        <v>0</v>
      </c>
      <c r="AG36" s="569">
        <f t="shared" si="382"/>
        <v>85.3125</v>
      </c>
      <c r="AH36" s="569">
        <f t="shared" si="382"/>
        <v>67.355769230769226</v>
      </c>
      <c r="AI36" s="569">
        <f t="shared" si="382"/>
        <v>67.36363636363636</v>
      </c>
      <c r="AJ36" s="570">
        <f t="shared" si="382"/>
        <v>69.567901234567898</v>
      </c>
      <c r="AK36" s="445">
        <f>+AVERAGE(AH36:AJ36)</f>
        <v>68.095768942991171</v>
      </c>
      <c r="AL36" s="27">
        <f t="shared" si="230"/>
        <v>68.095768942991171</v>
      </c>
      <c r="AM36" s="405">
        <f t="shared" si="231"/>
        <v>68.095768942991171</v>
      </c>
      <c r="AN36" s="27">
        <f t="shared" si="232"/>
        <v>68.095768942991171</v>
      </c>
      <c r="AO36" s="27">
        <f t="shared" si="233"/>
        <v>68.095768942991171</v>
      </c>
      <c r="AP36" s="27">
        <f t="shared" si="234"/>
        <v>68.095768942991171</v>
      </c>
      <c r="AQ36" s="27">
        <f t="shared" si="235"/>
        <v>68.095768942991171</v>
      </c>
      <c r="AR36" s="27">
        <f t="shared" si="236"/>
        <v>68.095768942991171</v>
      </c>
      <c r="AS36" s="27">
        <f t="shared" si="237"/>
        <v>68.095768942991171</v>
      </c>
      <c r="AT36" s="27">
        <f t="shared" si="238"/>
        <v>68.095768942991171</v>
      </c>
      <c r="AU36" s="27">
        <f t="shared" si="239"/>
        <v>68.095768942991171</v>
      </c>
      <c r="AV36" s="27">
        <f t="shared" si="240"/>
        <v>68.095768942991171</v>
      </c>
      <c r="AW36" s="27">
        <f t="shared" si="241"/>
        <v>68.095768942991171</v>
      </c>
      <c r="AX36" s="27">
        <f t="shared" si="242"/>
        <v>68.095768942991171</v>
      </c>
      <c r="AY36" s="405">
        <f t="shared" si="243"/>
        <v>68.095768942991171</v>
      </c>
      <c r="AZ36" s="27">
        <f t="shared" si="244"/>
        <v>68.095768942991171</v>
      </c>
      <c r="BA36" s="27">
        <f t="shared" si="245"/>
        <v>68.095768942991171</v>
      </c>
      <c r="BB36" s="27">
        <f t="shared" si="246"/>
        <v>68.095768942991171</v>
      </c>
      <c r="BC36" s="27">
        <f t="shared" si="247"/>
        <v>68.095768942991171</v>
      </c>
      <c r="BD36" s="27">
        <f t="shared" si="248"/>
        <v>68.095768942991171</v>
      </c>
      <c r="BE36" s="27">
        <f t="shared" si="249"/>
        <v>68.095768942991171</v>
      </c>
      <c r="BF36" s="27">
        <f t="shared" si="250"/>
        <v>68.095768942991171</v>
      </c>
      <c r="BG36" s="27">
        <f t="shared" si="251"/>
        <v>68.095768942991171</v>
      </c>
      <c r="BH36" s="27">
        <f t="shared" si="252"/>
        <v>68.095768942991171</v>
      </c>
      <c r="BI36" s="27">
        <f t="shared" si="253"/>
        <v>68.095768942991171</v>
      </c>
      <c r="BJ36" s="27">
        <f t="shared" si="254"/>
        <v>68.095768942991171</v>
      </c>
      <c r="BK36" s="405">
        <f t="shared" si="255"/>
        <v>68.095768942991171</v>
      </c>
      <c r="BL36" s="27">
        <f t="shared" si="256"/>
        <v>68.095768942991171</v>
      </c>
      <c r="BM36" s="27">
        <f t="shared" si="257"/>
        <v>68.095768942991171</v>
      </c>
      <c r="BN36" s="27">
        <f t="shared" si="258"/>
        <v>68.095768942991171</v>
      </c>
      <c r="BO36" s="27">
        <f t="shared" si="259"/>
        <v>68.095768942991171</v>
      </c>
      <c r="BP36" s="27">
        <f t="shared" si="260"/>
        <v>68.095768942991171</v>
      </c>
      <c r="BQ36" s="27">
        <f t="shared" si="261"/>
        <v>68.095768942991171</v>
      </c>
      <c r="BR36" s="27">
        <f t="shared" si="262"/>
        <v>68.095768942991171</v>
      </c>
      <c r="BS36" s="27">
        <f t="shared" si="263"/>
        <v>68.095768942991171</v>
      </c>
      <c r="BT36" s="27">
        <f t="shared" si="264"/>
        <v>68.095768942991171</v>
      </c>
      <c r="BU36" s="27">
        <f t="shared" si="265"/>
        <v>68.095768942991171</v>
      </c>
      <c r="BV36" s="27">
        <f t="shared" si="266"/>
        <v>68.095768942991171</v>
      </c>
      <c r="BW36" s="405">
        <f t="shared" si="267"/>
        <v>68.095768942991171</v>
      </c>
      <c r="BX36" s="27">
        <f t="shared" si="268"/>
        <v>68.095768942991171</v>
      </c>
      <c r="BY36" s="27">
        <f t="shared" si="269"/>
        <v>68.095768942991171</v>
      </c>
      <c r="BZ36" s="27">
        <f t="shared" si="270"/>
        <v>68.095768942991171</v>
      </c>
      <c r="CA36" s="27">
        <f t="shared" si="271"/>
        <v>68.095768942991171</v>
      </c>
      <c r="CB36" s="27">
        <f t="shared" si="272"/>
        <v>68.095768942991171</v>
      </c>
      <c r="CC36" s="27">
        <f t="shared" si="273"/>
        <v>68.095768942991171</v>
      </c>
      <c r="CD36" s="27">
        <f t="shared" si="274"/>
        <v>68.095768942991171</v>
      </c>
      <c r="CE36" s="27">
        <f t="shared" si="275"/>
        <v>68.095768942991171</v>
      </c>
      <c r="CF36" s="27">
        <f t="shared" si="276"/>
        <v>68.095768942991171</v>
      </c>
      <c r="CG36" s="27">
        <f t="shared" si="277"/>
        <v>68.095768942991171</v>
      </c>
      <c r="CH36" s="27">
        <f t="shared" si="278"/>
        <v>68.095768942991171</v>
      </c>
      <c r="CI36" s="405">
        <f t="shared" si="279"/>
        <v>68.095768942991171</v>
      </c>
      <c r="CJ36" s="27">
        <f t="shared" si="280"/>
        <v>68.095768942991171</v>
      </c>
      <c r="CK36" s="27">
        <f t="shared" si="281"/>
        <v>68.095768942991171</v>
      </c>
      <c r="CL36" s="27">
        <f t="shared" si="282"/>
        <v>68.095768942991171</v>
      </c>
      <c r="CM36" s="27">
        <f t="shared" si="283"/>
        <v>68.095768942991171</v>
      </c>
      <c r="CN36" s="27">
        <f t="shared" si="284"/>
        <v>68.095768942991171</v>
      </c>
      <c r="CO36" s="27">
        <f t="shared" si="285"/>
        <v>68.095768942991171</v>
      </c>
      <c r="CP36" s="27">
        <f t="shared" si="286"/>
        <v>68.095768942991171</v>
      </c>
      <c r="CQ36" s="27">
        <f t="shared" si="287"/>
        <v>68.095768942991171</v>
      </c>
      <c r="CR36" s="27">
        <f t="shared" si="288"/>
        <v>68.095768942991171</v>
      </c>
      <c r="CS36" s="27">
        <f t="shared" si="289"/>
        <v>68.095768942991171</v>
      </c>
      <c r="CT36" s="27">
        <f t="shared" si="290"/>
        <v>68.095768942991171</v>
      </c>
      <c r="CU36" s="405">
        <f t="shared" si="291"/>
        <v>68.095768942991171</v>
      </c>
      <c r="CV36" s="27">
        <f t="shared" si="292"/>
        <v>68.095768942991171</v>
      </c>
      <c r="CW36" s="27">
        <f t="shared" si="293"/>
        <v>68.095768942991171</v>
      </c>
      <c r="CX36" s="27">
        <f t="shared" si="294"/>
        <v>68.095768942991171</v>
      </c>
      <c r="CY36" s="27">
        <f t="shared" si="295"/>
        <v>68.095768942991171</v>
      </c>
      <c r="CZ36" s="27">
        <f t="shared" si="296"/>
        <v>68.095768942991171</v>
      </c>
      <c r="DA36" s="27">
        <f t="shared" si="297"/>
        <v>68.095768942991171</v>
      </c>
      <c r="DB36" s="27">
        <f t="shared" si="298"/>
        <v>68.095768942991171</v>
      </c>
      <c r="DC36" s="27">
        <f t="shared" si="299"/>
        <v>68.095768942991171</v>
      </c>
      <c r="DD36" s="27">
        <f t="shared" si="300"/>
        <v>68.095768942991171</v>
      </c>
      <c r="DE36" s="27">
        <f t="shared" si="301"/>
        <v>68.095768942991171</v>
      </c>
      <c r="DF36" s="27">
        <f t="shared" si="302"/>
        <v>68.095768942991171</v>
      </c>
      <c r="DG36" s="28">
        <f t="shared" si="302"/>
        <v>68.095768942991171</v>
      </c>
    </row>
    <row r="37" spans="1:111" ht="18" x14ac:dyDescent="0.3">
      <c r="A37" s="36"/>
      <c r="B37" s="36"/>
      <c r="C37" s="594" t="s">
        <v>293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>
        <f>+IFERROR((P31*60)/P31, 0)</f>
        <v>60.000000000000007</v>
      </c>
      <c r="Q37" s="26">
        <f t="shared" ref="Q37:AD37" si="383">+IFERROR((Q31*60)/Q31, 0)</f>
        <v>60</v>
      </c>
      <c r="R37" s="26">
        <f t="shared" si="383"/>
        <v>60</v>
      </c>
      <c r="S37" s="26">
        <f t="shared" si="383"/>
        <v>60</v>
      </c>
      <c r="T37" s="26">
        <f t="shared" si="383"/>
        <v>60</v>
      </c>
      <c r="U37" s="26">
        <f t="shared" si="383"/>
        <v>0</v>
      </c>
      <c r="V37" s="26">
        <f t="shared" si="383"/>
        <v>0</v>
      </c>
      <c r="W37" s="26">
        <f t="shared" si="383"/>
        <v>0</v>
      </c>
      <c r="X37" s="26">
        <f t="shared" si="383"/>
        <v>0</v>
      </c>
      <c r="Y37" s="26">
        <f t="shared" si="383"/>
        <v>0</v>
      </c>
      <c r="Z37" s="26">
        <f t="shared" si="383"/>
        <v>60</v>
      </c>
      <c r="AA37" s="26">
        <f t="shared" si="383"/>
        <v>60</v>
      </c>
      <c r="AB37" s="26">
        <f t="shared" si="383"/>
        <v>60</v>
      </c>
      <c r="AC37" s="26">
        <f t="shared" si="383"/>
        <v>60</v>
      </c>
      <c r="AD37" s="26">
        <f t="shared" si="383"/>
        <v>60</v>
      </c>
      <c r="AE37" s="26">
        <f t="shared" ref="AE37" si="384">+IFERROR((AE31*60)/AE31, 0)</f>
        <v>60</v>
      </c>
      <c r="AF37" s="26">
        <f>+IFERROR((AF31*60)/AF31, 0)</f>
        <v>0</v>
      </c>
      <c r="AG37" s="26">
        <f t="shared" ref="AG37:AH37" si="385">+IFERROR((AG31*60)/AG31, 0)</f>
        <v>60</v>
      </c>
      <c r="AH37" s="26">
        <f t="shared" si="385"/>
        <v>0</v>
      </c>
      <c r="AI37" s="26">
        <f t="shared" ref="AI37:AJ37" si="386">+IFERROR((AI31*60)/AI31, 0)</f>
        <v>0</v>
      </c>
      <c r="AJ37" s="368">
        <f t="shared" si="386"/>
        <v>0</v>
      </c>
      <c r="AK37" s="445">
        <v>60</v>
      </c>
      <c r="AL37" s="27">
        <f t="shared" ref="AL37" si="387">+AK37</f>
        <v>60</v>
      </c>
      <c r="AM37" s="405">
        <f t="shared" ref="AM37" si="388">+AL37</f>
        <v>60</v>
      </c>
      <c r="AN37" s="27">
        <f t="shared" ref="AN37" si="389">+AM37</f>
        <v>60</v>
      </c>
      <c r="AO37" s="27">
        <f t="shared" ref="AO37" si="390">+AN37</f>
        <v>60</v>
      </c>
      <c r="AP37" s="27">
        <f t="shared" ref="AP37" si="391">+AO37</f>
        <v>60</v>
      </c>
      <c r="AQ37" s="27">
        <f t="shared" ref="AQ37" si="392">+AP37</f>
        <v>60</v>
      </c>
      <c r="AR37" s="27">
        <f t="shared" ref="AR37" si="393">+AQ37</f>
        <v>60</v>
      </c>
      <c r="AS37" s="27">
        <f t="shared" ref="AS37" si="394">+AR37</f>
        <v>60</v>
      </c>
      <c r="AT37" s="27">
        <f t="shared" ref="AT37" si="395">+AS37</f>
        <v>60</v>
      </c>
      <c r="AU37" s="27">
        <f t="shared" ref="AU37" si="396">+AT37</f>
        <v>60</v>
      </c>
      <c r="AV37" s="27">
        <f t="shared" ref="AV37" si="397">+AU37</f>
        <v>60</v>
      </c>
      <c r="AW37" s="27">
        <f t="shared" ref="AW37" si="398">+AV37</f>
        <v>60</v>
      </c>
      <c r="AX37" s="27">
        <f t="shared" ref="AX37" si="399">+AW37</f>
        <v>60</v>
      </c>
      <c r="AY37" s="405">
        <f t="shared" ref="AY37" si="400">+AX37</f>
        <v>60</v>
      </c>
      <c r="AZ37" s="27">
        <f t="shared" ref="AZ37" si="401">+AY37</f>
        <v>60</v>
      </c>
      <c r="BA37" s="27">
        <f t="shared" ref="BA37" si="402">+AZ37</f>
        <v>60</v>
      </c>
      <c r="BB37" s="27">
        <f t="shared" ref="BB37" si="403">+BA37</f>
        <v>60</v>
      </c>
      <c r="BC37" s="27">
        <f t="shared" ref="BC37" si="404">+BB37</f>
        <v>60</v>
      </c>
      <c r="BD37" s="27">
        <f t="shared" ref="BD37" si="405">+BC37</f>
        <v>60</v>
      </c>
      <c r="BE37" s="27">
        <f t="shared" ref="BE37" si="406">+BD37</f>
        <v>60</v>
      </c>
      <c r="BF37" s="27">
        <f t="shared" ref="BF37" si="407">+BE37</f>
        <v>60</v>
      </c>
      <c r="BG37" s="27">
        <f t="shared" ref="BG37" si="408">+BF37</f>
        <v>60</v>
      </c>
      <c r="BH37" s="27">
        <f t="shared" ref="BH37" si="409">+BG37</f>
        <v>60</v>
      </c>
      <c r="BI37" s="27">
        <f t="shared" ref="BI37" si="410">+BH37</f>
        <v>60</v>
      </c>
      <c r="BJ37" s="27">
        <f t="shared" ref="BJ37" si="411">+BI37</f>
        <v>60</v>
      </c>
      <c r="BK37" s="405">
        <f t="shared" ref="BK37" si="412">+BJ37</f>
        <v>60</v>
      </c>
      <c r="BL37" s="27">
        <f t="shared" ref="BL37" si="413">+BK37</f>
        <v>60</v>
      </c>
      <c r="BM37" s="27">
        <f t="shared" ref="BM37" si="414">+BL37</f>
        <v>60</v>
      </c>
      <c r="BN37" s="27">
        <f t="shared" ref="BN37" si="415">+BM37</f>
        <v>60</v>
      </c>
      <c r="BO37" s="27">
        <f t="shared" ref="BO37" si="416">+BN37</f>
        <v>60</v>
      </c>
      <c r="BP37" s="27">
        <f t="shared" ref="BP37" si="417">+BO37</f>
        <v>60</v>
      </c>
      <c r="BQ37" s="27">
        <f t="shared" ref="BQ37" si="418">+BP37</f>
        <v>60</v>
      </c>
      <c r="BR37" s="27">
        <f t="shared" ref="BR37" si="419">+BQ37</f>
        <v>60</v>
      </c>
      <c r="BS37" s="27">
        <f t="shared" ref="BS37" si="420">+BR37</f>
        <v>60</v>
      </c>
      <c r="BT37" s="27">
        <f t="shared" ref="BT37" si="421">+BS37</f>
        <v>60</v>
      </c>
      <c r="BU37" s="27">
        <f t="shared" ref="BU37" si="422">+BT37</f>
        <v>60</v>
      </c>
      <c r="BV37" s="27">
        <f t="shared" ref="BV37" si="423">+BU37</f>
        <v>60</v>
      </c>
      <c r="BW37" s="405">
        <f t="shared" ref="BW37" si="424">+BV37</f>
        <v>60</v>
      </c>
      <c r="BX37" s="27">
        <f t="shared" ref="BX37" si="425">+BW37</f>
        <v>60</v>
      </c>
      <c r="BY37" s="27">
        <f t="shared" ref="BY37" si="426">+BX37</f>
        <v>60</v>
      </c>
      <c r="BZ37" s="27">
        <f t="shared" ref="BZ37" si="427">+BY37</f>
        <v>60</v>
      </c>
      <c r="CA37" s="27">
        <f t="shared" ref="CA37" si="428">+BZ37</f>
        <v>60</v>
      </c>
      <c r="CB37" s="27">
        <f t="shared" ref="CB37" si="429">+CA37</f>
        <v>60</v>
      </c>
      <c r="CC37" s="27">
        <f t="shared" ref="CC37" si="430">+CB37</f>
        <v>60</v>
      </c>
      <c r="CD37" s="27">
        <f t="shared" ref="CD37" si="431">+CC37</f>
        <v>60</v>
      </c>
      <c r="CE37" s="27">
        <f t="shared" ref="CE37" si="432">+CD37</f>
        <v>60</v>
      </c>
      <c r="CF37" s="27">
        <f t="shared" ref="CF37" si="433">+CE37</f>
        <v>60</v>
      </c>
      <c r="CG37" s="27">
        <f t="shared" ref="CG37" si="434">+CF37</f>
        <v>60</v>
      </c>
      <c r="CH37" s="27">
        <f t="shared" ref="CH37" si="435">+CG37</f>
        <v>60</v>
      </c>
      <c r="CI37" s="405">
        <f t="shared" ref="CI37" si="436">+CH37</f>
        <v>60</v>
      </c>
      <c r="CJ37" s="27">
        <f t="shared" ref="CJ37" si="437">+CI37</f>
        <v>60</v>
      </c>
      <c r="CK37" s="27">
        <f t="shared" ref="CK37" si="438">+CJ37</f>
        <v>60</v>
      </c>
      <c r="CL37" s="27">
        <f t="shared" ref="CL37" si="439">+CK37</f>
        <v>60</v>
      </c>
      <c r="CM37" s="27">
        <f t="shared" ref="CM37" si="440">+CL37</f>
        <v>60</v>
      </c>
      <c r="CN37" s="27">
        <f t="shared" ref="CN37" si="441">+CM37</f>
        <v>60</v>
      </c>
      <c r="CO37" s="27">
        <f t="shared" ref="CO37" si="442">+CN37</f>
        <v>60</v>
      </c>
      <c r="CP37" s="27">
        <f t="shared" ref="CP37" si="443">+CO37</f>
        <v>60</v>
      </c>
      <c r="CQ37" s="27">
        <f t="shared" ref="CQ37" si="444">+CP37</f>
        <v>60</v>
      </c>
      <c r="CR37" s="27">
        <f t="shared" ref="CR37" si="445">+CQ37</f>
        <v>60</v>
      </c>
      <c r="CS37" s="27">
        <f t="shared" ref="CS37" si="446">+CR37</f>
        <v>60</v>
      </c>
      <c r="CT37" s="27">
        <f t="shared" ref="CT37" si="447">+CS37</f>
        <v>60</v>
      </c>
      <c r="CU37" s="405">
        <f t="shared" ref="CU37" si="448">+CT37</f>
        <v>60</v>
      </c>
      <c r="CV37" s="27">
        <f t="shared" ref="CV37" si="449">+CU37</f>
        <v>60</v>
      </c>
      <c r="CW37" s="27">
        <f t="shared" ref="CW37" si="450">+CV37</f>
        <v>60</v>
      </c>
      <c r="CX37" s="27">
        <f t="shared" ref="CX37" si="451">+CW37</f>
        <v>60</v>
      </c>
      <c r="CY37" s="27">
        <f t="shared" ref="CY37" si="452">+CX37</f>
        <v>60</v>
      </c>
      <c r="CZ37" s="27">
        <f t="shared" ref="CZ37" si="453">+CY37</f>
        <v>60</v>
      </c>
      <c r="DA37" s="27">
        <f t="shared" ref="DA37" si="454">+CZ37</f>
        <v>60</v>
      </c>
      <c r="DB37" s="27">
        <f t="shared" ref="DB37" si="455">+DA37</f>
        <v>60</v>
      </c>
      <c r="DC37" s="27">
        <f t="shared" ref="DC37" si="456">+DB37</f>
        <v>60</v>
      </c>
      <c r="DD37" s="27">
        <f t="shared" ref="DD37" si="457">+DC37</f>
        <v>60</v>
      </c>
      <c r="DE37" s="27">
        <f t="shared" ref="DE37" si="458">+DD37</f>
        <v>60</v>
      </c>
      <c r="DF37" s="27">
        <f t="shared" ref="DF37" si="459">+DE37</f>
        <v>60</v>
      </c>
      <c r="DG37" s="28">
        <f t="shared" ref="DG37" si="460">+DF37</f>
        <v>60</v>
      </c>
    </row>
    <row r="38" spans="1:111" ht="18" x14ac:dyDescent="0.3">
      <c r="A38" s="36"/>
      <c r="B38" s="36"/>
      <c r="C38" s="59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368"/>
      <c r="AK38" s="27"/>
      <c r="AL38" s="27"/>
      <c r="AM38" s="405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405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405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405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405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405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8"/>
    </row>
    <row r="39" spans="1:111" ht="18" x14ac:dyDescent="0.3">
      <c r="A39" s="36"/>
      <c r="B39" s="36"/>
      <c r="C39" s="594" t="s">
        <v>238</v>
      </c>
      <c r="D39" s="26"/>
      <c r="E39" s="26"/>
      <c r="F39" s="26"/>
      <c r="G39" s="26"/>
      <c r="H39" s="26"/>
      <c r="I39" s="179"/>
      <c r="J39" s="179"/>
      <c r="K39" s="179"/>
      <c r="L39" s="179">
        <f t="shared" ref="L39:AF39" si="461">+AVERAGE(F20:L20)/AVERAGE(F17:L17)</f>
        <v>-0.20634920634920637</v>
      </c>
      <c r="M39" s="179">
        <f t="shared" si="461"/>
        <v>-0.125</v>
      </c>
      <c r="N39" s="179">
        <f t="shared" si="461"/>
        <v>-0.18421052631578946</v>
      </c>
      <c r="O39" s="179">
        <f t="shared" si="461"/>
        <v>-0.24657534246575344</v>
      </c>
      <c r="P39" s="178">
        <f t="shared" si="461"/>
        <v>-0.25</v>
      </c>
      <c r="Q39" s="178">
        <f t="shared" si="461"/>
        <v>-0.28169014084507044</v>
      </c>
      <c r="R39" s="178">
        <f t="shared" si="461"/>
        <v>-0.21052631578947367</v>
      </c>
      <c r="S39" s="178">
        <f t="shared" si="461"/>
        <v>-0.29729729729729731</v>
      </c>
      <c r="T39" s="178">
        <f t="shared" si="461"/>
        <v>-0.39393939393939392</v>
      </c>
      <c r="U39" s="178">
        <f t="shared" si="461"/>
        <v>-0.3970588235294118</v>
      </c>
      <c r="V39" s="178">
        <f t="shared" si="461"/>
        <v>-0.46376811594202894</v>
      </c>
      <c r="W39" s="178">
        <f t="shared" si="461"/>
        <v>-0.43421052631578949</v>
      </c>
      <c r="X39" s="178">
        <f t="shared" si="461"/>
        <v>-0.33684210526315789</v>
      </c>
      <c r="Y39" s="178">
        <f t="shared" si="461"/>
        <v>-0.29914529914529914</v>
      </c>
      <c r="Z39" s="178">
        <f>+AVERAGE(T20:Z20)/AVERAGE(T17:Z17)</f>
        <v>-0.30281690140845074</v>
      </c>
      <c r="AA39" s="178">
        <f t="shared" si="461"/>
        <v>-0.37499999999999994</v>
      </c>
      <c r="AB39" s="178">
        <f t="shared" si="461"/>
        <v>-0.36774193548387096</v>
      </c>
      <c r="AC39" s="178">
        <f t="shared" si="461"/>
        <v>-0.32098765432098769</v>
      </c>
      <c r="AD39" s="178">
        <f t="shared" si="461"/>
        <v>-0.32515337423312884</v>
      </c>
      <c r="AE39" s="178">
        <f t="shared" si="461"/>
        <v>-0.38410596026490068</v>
      </c>
      <c r="AF39" s="178">
        <f t="shared" si="461"/>
        <v>-0.40287769784172661</v>
      </c>
      <c r="AG39" s="178">
        <f>+AVERAGE(AA20:AG20)/AVERAGE(AA17:AG17)</f>
        <v>-0.40458015267175568</v>
      </c>
      <c r="AH39" s="178">
        <f>+AVERAGE(AB20:AH20)/AVERAGE(AB17:AH17)</f>
        <v>-0.25352112676056343</v>
      </c>
      <c r="AI39" s="178">
        <f>+AVERAGE(AC20:AI20)/AVERAGE(AC17:AI17)</f>
        <v>-0.18902439024390247</v>
      </c>
      <c r="AJ39" s="369">
        <f>+AVERAGE(AD20:AJ20)/AVERAGE(AD17:AJ17)</f>
        <v>-0.17277486910994766</v>
      </c>
      <c r="AK39" s="187">
        <f>+Y39</f>
        <v>-0.29914529914529914</v>
      </c>
      <c r="AL39" s="187">
        <f t="shared" ref="AL39:CT39" si="462">+Z39</f>
        <v>-0.30281690140845074</v>
      </c>
      <c r="AM39" s="406">
        <f t="shared" si="462"/>
        <v>-0.37499999999999994</v>
      </c>
      <c r="AN39" s="187">
        <f t="shared" si="462"/>
        <v>-0.36774193548387096</v>
      </c>
      <c r="AO39" s="187">
        <f t="shared" si="462"/>
        <v>-0.32098765432098769</v>
      </c>
      <c r="AP39" s="187">
        <f t="shared" si="462"/>
        <v>-0.32515337423312884</v>
      </c>
      <c r="AQ39" s="187">
        <f t="shared" si="462"/>
        <v>-0.38410596026490068</v>
      </c>
      <c r="AR39" s="187">
        <f t="shared" si="462"/>
        <v>-0.40287769784172661</v>
      </c>
      <c r="AS39" s="187">
        <f t="shared" si="462"/>
        <v>-0.40458015267175568</v>
      </c>
      <c r="AT39" s="187">
        <f t="shared" si="462"/>
        <v>-0.25352112676056343</v>
      </c>
      <c r="AU39" s="187">
        <f t="shared" si="462"/>
        <v>-0.18902439024390247</v>
      </c>
      <c r="AV39" s="187">
        <f t="shared" si="462"/>
        <v>-0.17277486910994766</v>
      </c>
      <c r="AW39" s="187">
        <f t="shared" si="462"/>
        <v>-0.29914529914529914</v>
      </c>
      <c r="AX39" s="187">
        <f t="shared" si="462"/>
        <v>-0.30281690140845074</v>
      </c>
      <c r="AY39" s="406">
        <f t="shared" si="462"/>
        <v>-0.37499999999999994</v>
      </c>
      <c r="AZ39" s="187">
        <f t="shared" si="462"/>
        <v>-0.36774193548387096</v>
      </c>
      <c r="BA39" s="187">
        <f t="shared" si="462"/>
        <v>-0.32098765432098769</v>
      </c>
      <c r="BB39" s="187">
        <f t="shared" si="462"/>
        <v>-0.32515337423312884</v>
      </c>
      <c r="BC39" s="187">
        <f t="shared" si="462"/>
        <v>-0.38410596026490068</v>
      </c>
      <c r="BD39" s="187">
        <f t="shared" si="462"/>
        <v>-0.40287769784172661</v>
      </c>
      <c r="BE39" s="187">
        <f t="shared" si="462"/>
        <v>-0.40458015267175568</v>
      </c>
      <c r="BF39" s="187">
        <f t="shared" si="462"/>
        <v>-0.25352112676056343</v>
      </c>
      <c r="BG39" s="187">
        <f t="shared" si="462"/>
        <v>-0.18902439024390247</v>
      </c>
      <c r="BH39" s="187">
        <f t="shared" si="462"/>
        <v>-0.17277486910994766</v>
      </c>
      <c r="BI39" s="187">
        <f t="shared" si="462"/>
        <v>-0.29914529914529914</v>
      </c>
      <c r="BJ39" s="187">
        <f t="shared" si="462"/>
        <v>-0.30281690140845074</v>
      </c>
      <c r="BK39" s="406">
        <f t="shared" si="462"/>
        <v>-0.37499999999999994</v>
      </c>
      <c r="BL39" s="187">
        <f t="shared" si="462"/>
        <v>-0.36774193548387096</v>
      </c>
      <c r="BM39" s="187">
        <f t="shared" si="462"/>
        <v>-0.32098765432098769</v>
      </c>
      <c r="BN39" s="187">
        <f t="shared" si="462"/>
        <v>-0.32515337423312884</v>
      </c>
      <c r="BO39" s="187">
        <f t="shared" si="462"/>
        <v>-0.38410596026490068</v>
      </c>
      <c r="BP39" s="187">
        <f t="shared" si="462"/>
        <v>-0.40287769784172661</v>
      </c>
      <c r="BQ39" s="187">
        <f t="shared" si="462"/>
        <v>-0.40458015267175568</v>
      </c>
      <c r="BR39" s="187">
        <f t="shared" si="462"/>
        <v>-0.25352112676056343</v>
      </c>
      <c r="BS39" s="187">
        <f t="shared" si="462"/>
        <v>-0.18902439024390247</v>
      </c>
      <c r="BT39" s="187">
        <f t="shared" si="462"/>
        <v>-0.17277486910994766</v>
      </c>
      <c r="BU39" s="187">
        <f t="shared" si="462"/>
        <v>-0.29914529914529914</v>
      </c>
      <c r="BV39" s="187">
        <f t="shared" si="462"/>
        <v>-0.30281690140845074</v>
      </c>
      <c r="BW39" s="406">
        <f t="shared" si="462"/>
        <v>-0.37499999999999994</v>
      </c>
      <c r="BX39" s="187">
        <f t="shared" si="462"/>
        <v>-0.36774193548387096</v>
      </c>
      <c r="BY39" s="187">
        <f t="shared" si="462"/>
        <v>-0.32098765432098769</v>
      </c>
      <c r="BZ39" s="187">
        <f t="shared" si="462"/>
        <v>-0.32515337423312884</v>
      </c>
      <c r="CA39" s="187">
        <f t="shared" si="462"/>
        <v>-0.38410596026490068</v>
      </c>
      <c r="CB39" s="187">
        <f t="shared" si="462"/>
        <v>-0.40287769784172661</v>
      </c>
      <c r="CC39" s="187">
        <f t="shared" si="462"/>
        <v>-0.40458015267175568</v>
      </c>
      <c r="CD39" s="187">
        <f t="shared" si="462"/>
        <v>-0.25352112676056343</v>
      </c>
      <c r="CE39" s="187">
        <f t="shared" si="462"/>
        <v>-0.18902439024390247</v>
      </c>
      <c r="CF39" s="187">
        <f t="shared" si="462"/>
        <v>-0.17277486910994766</v>
      </c>
      <c r="CG39" s="187">
        <f t="shared" si="462"/>
        <v>-0.29914529914529914</v>
      </c>
      <c r="CH39" s="187">
        <f t="shared" si="462"/>
        <v>-0.30281690140845074</v>
      </c>
      <c r="CI39" s="406">
        <f t="shared" si="462"/>
        <v>-0.37499999999999994</v>
      </c>
      <c r="CJ39" s="187">
        <f t="shared" si="462"/>
        <v>-0.36774193548387096</v>
      </c>
      <c r="CK39" s="187">
        <f t="shared" si="462"/>
        <v>-0.32098765432098769</v>
      </c>
      <c r="CL39" s="187">
        <f t="shared" si="462"/>
        <v>-0.32515337423312884</v>
      </c>
      <c r="CM39" s="187">
        <f t="shared" si="462"/>
        <v>-0.38410596026490068</v>
      </c>
      <c r="CN39" s="187">
        <f t="shared" si="462"/>
        <v>-0.40287769784172661</v>
      </c>
      <c r="CO39" s="187">
        <f t="shared" si="462"/>
        <v>-0.40458015267175568</v>
      </c>
      <c r="CP39" s="187">
        <f t="shared" si="462"/>
        <v>-0.25352112676056343</v>
      </c>
      <c r="CQ39" s="187">
        <f t="shared" si="462"/>
        <v>-0.18902439024390247</v>
      </c>
      <c r="CR39" s="187">
        <f t="shared" si="462"/>
        <v>-0.17277486910994766</v>
      </c>
      <c r="CS39" s="187">
        <f t="shared" si="462"/>
        <v>-0.29914529914529914</v>
      </c>
      <c r="CT39" s="187">
        <f t="shared" si="462"/>
        <v>-0.30281690140845074</v>
      </c>
      <c r="CU39" s="406">
        <f t="shared" ref="CU39:DG39" si="463">+CI39</f>
        <v>-0.37499999999999994</v>
      </c>
      <c r="CV39" s="187">
        <f t="shared" si="463"/>
        <v>-0.36774193548387096</v>
      </c>
      <c r="CW39" s="187">
        <f t="shared" si="463"/>
        <v>-0.32098765432098769</v>
      </c>
      <c r="CX39" s="187">
        <f t="shared" si="463"/>
        <v>-0.32515337423312884</v>
      </c>
      <c r="CY39" s="187">
        <f t="shared" si="463"/>
        <v>-0.38410596026490068</v>
      </c>
      <c r="CZ39" s="187">
        <f t="shared" si="463"/>
        <v>-0.40287769784172661</v>
      </c>
      <c r="DA39" s="187">
        <f t="shared" si="463"/>
        <v>-0.40458015267175568</v>
      </c>
      <c r="DB39" s="187">
        <f t="shared" si="463"/>
        <v>-0.25352112676056343</v>
      </c>
      <c r="DC39" s="187">
        <f t="shared" si="463"/>
        <v>-0.18902439024390247</v>
      </c>
      <c r="DD39" s="187">
        <f t="shared" si="463"/>
        <v>-0.17277486910994766</v>
      </c>
      <c r="DE39" s="187">
        <f t="shared" si="463"/>
        <v>-0.29914529914529914</v>
      </c>
      <c r="DF39" s="187">
        <f t="shared" si="463"/>
        <v>-0.30281690140845074</v>
      </c>
      <c r="DG39" s="188">
        <f t="shared" si="463"/>
        <v>-0.37499999999999994</v>
      </c>
    </row>
    <row r="40" spans="1:111" ht="18" x14ac:dyDescent="0.3">
      <c r="A40" s="36"/>
      <c r="B40" s="36"/>
      <c r="C40" s="594" t="s">
        <v>230</v>
      </c>
      <c r="D40" s="26"/>
      <c r="E40" s="26"/>
      <c r="F40" s="26"/>
      <c r="G40" s="26"/>
      <c r="H40" s="26"/>
      <c r="I40" s="184"/>
      <c r="J40" s="184"/>
      <c r="K40" s="184"/>
      <c r="L40" s="184">
        <f t="shared" ref="L40:Q40" si="464">1/-L39</f>
        <v>4.8461538461538458</v>
      </c>
      <c r="M40" s="184">
        <f t="shared" si="464"/>
        <v>8</v>
      </c>
      <c r="N40" s="184">
        <f t="shared" si="464"/>
        <v>5.4285714285714288</v>
      </c>
      <c r="O40" s="184">
        <f t="shared" si="464"/>
        <v>4.0555555555555554</v>
      </c>
      <c r="P40" s="184">
        <f t="shared" si="464"/>
        <v>4</v>
      </c>
      <c r="Q40" s="184">
        <f t="shared" si="464"/>
        <v>3.55</v>
      </c>
      <c r="R40" s="184">
        <f t="shared" ref="R40:CC40" si="465">1/-R39</f>
        <v>4.75</v>
      </c>
      <c r="S40" s="184">
        <f>1/-S39</f>
        <v>3.3636363636363633</v>
      </c>
      <c r="T40" s="184">
        <f>1/-T39</f>
        <v>2.5384615384615388</v>
      </c>
      <c r="U40" s="184">
        <f>1/-U39</f>
        <v>2.5185185185185182</v>
      </c>
      <c r="V40" s="184">
        <f t="shared" si="465"/>
        <v>2.1562500000000004</v>
      </c>
      <c r="W40" s="184">
        <f t="shared" ref="W40:AB40" si="466">1/-W39</f>
        <v>2.3030303030303028</v>
      </c>
      <c r="X40" s="184">
        <f t="shared" si="466"/>
        <v>2.96875</v>
      </c>
      <c r="Y40" s="184">
        <f t="shared" si="466"/>
        <v>3.342857142857143</v>
      </c>
      <c r="Z40" s="184">
        <f t="shared" si="466"/>
        <v>3.3023255813953485</v>
      </c>
      <c r="AA40" s="184">
        <f t="shared" si="466"/>
        <v>2.666666666666667</v>
      </c>
      <c r="AB40" s="184">
        <f t="shared" si="466"/>
        <v>2.7192982456140351</v>
      </c>
      <c r="AC40" s="184">
        <f t="shared" ref="AC40:AD40" si="467">1/-AC39</f>
        <v>3.115384615384615</v>
      </c>
      <c r="AD40" s="184">
        <f t="shared" si="467"/>
        <v>3.0754716981132075</v>
      </c>
      <c r="AE40" s="184">
        <f t="shared" ref="AE40" si="468">1/-AE39</f>
        <v>2.603448275862069</v>
      </c>
      <c r="AF40" s="184">
        <f t="shared" ref="AF40" si="469">1/-AF39</f>
        <v>2.4821428571428572</v>
      </c>
      <c r="AG40" s="184">
        <f>1/-AG39</f>
        <v>2.4716981132075473</v>
      </c>
      <c r="AH40" s="184">
        <f>1/-AH39</f>
        <v>3.9444444444444438</v>
      </c>
      <c r="AI40" s="184">
        <f>1/-AI39</f>
        <v>5.2903225806451601</v>
      </c>
      <c r="AJ40" s="370">
        <f>1/-AJ39</f>
        <v>5.7878787878787872</v>
      </c>
      <c r="AK40" s="185">
        <f t="shared" ref="AK40" si="470">1/-AK39</f>
        <v>3.342857142857143</v>
      </c>
      <c r="AL40" s="185">
        <f t="shared" si="465"/>
        <v>3.3023255813953485</v>
      </c>
      <c r="AM40" s="407">
        <f t="shared" si="465"/>
        <v>2.666666666666667</v>
      </c>
      <c r="AN40" s="185">
        <f t="shared" si="465"/>
        <v>2.7192982456140351</v>
      </c>
      <c r="AO40" s="185">
        <f t="shared" si="465"/>
        <v>3.115384615384615</v>
      </c>
      <c r="AP40" s="185">
        <f t="shared" si="465"/>
        <v>3.0754716981132075</v>
      </c>
      <c r="AQ40" s="185">
        <f t="shared" si="465"/>
        <v>2.603448275862069</v>
      </c>
      <c r="AR40" s="185">
        <f t="shared" si="465"/>
        <v>2.4821428571428572</v>
      </c>
      <c r="AS40" s="185">
        <f t="shared" si="465"/>
        <v>2.4716981132075473</v>
      </c>
      <c r="AT40" s="185">
        <f t="shared" si="465"/>
        <v>3.9444444444444438</v>
      </c>
      <c r="AU40" s="185">
        <f t="shared" si="465"/>
        <v>5.2903225806451601</v>
      </c>
      <c r="AV40" s="185">
        <f t="shared" si="465"/>
        <v>5.7878787878787872</v>
      </c>
      <c r="AW40" s="185">
        <f t="shared" si="465"/>
        <v>3.342857142857143</v>
      </c>
      <c r="AX40" s="185">
        <f t="shared" si="465"/>
        <v>3.3023255813953485</v>
      </c>
      <c r="AY40" s="407">
        <f t="shared" si="465"/>
        <v>2.666666666666667</v>
      </c>
      <c r="AZ40" s="185">
        <f t="shared" si="465"/>
        <v>2.7192982456140351</v>
      </c>
      <c r="BA40" s="185">
        <f t="shared" si="465"/>
        <v>3.115384615384615</v>
      </c>
      <c r="BB40" s="185">
        <f t="shared" si="465"/>
        <v>3.0754716981132075</v>
      </c>
      <c r="BC40" s="185">
        <f t="shared" si="465"/>
        <v>2.603448275862069</v>
      </c>
      <c r="BD40" s="185">
        <f t="shared" si="465"/>
        <v>2.4821428571428572</v>
      </c>
      <c r="BE40" s="185">
        <f t="shared" si="465"/>
        <v>2.4716981132075473</v>
      </c>
      <c r="BF40" s="185">
        <f t="shared" si="465"/>
        <v>3.9444444444444438</v>
      </c>
      <c r="BG40" s="185">
        <f t="shared" si="465"/>
        <v>5.2903225806451601</v>
      </c>
      <c r="BH40" s="185">
        <f t="shared" si="465"/>
        <v>5.7878787878787872</v>
      </c>
      <c r="BI40" s="185">
        <f t="shared" si="465"/>
        <v>3.342857142857143</v>
      </c>
      <c r="BJ40" s="185">
        <f t="shared" si="465"/>
        <v>3.3023255813953485</v>
      </c>
      <c r="BK40" s="407">
        <f t="shared" si="465"/>
        <v>2.666666666666667</v>
      </c>
      <c r="BL40" s="185">
        <f t="shared" si="465"/>
        <v>2.7192982456140351</v>
      </c>
      <c r="BM40" s="185">
        <f t="shared" si="465"/>
        <v>3.115384615384615</v>
      </c>
      <c r="BN40" s="185">
        <f t="shared" si="465"/>
        <v>3.0754716981132075</v>
      </c>
      <c r="BO40" s="185">
        <f t="shared" si="465"/>
        <v>2.603448275862069</v>
      </c>
      <c r="BP40" s="185">
        <f t="shared" si="465"/>
        <v>2.4821428571428572</v>
      </c>
      <c r="BQ40" s="185">
        <f t="shared" si="465"/>
        <v>2.4716981132075473</v>
      </c>
      <c r="BR40" s="185">
        <f t="shared" si="465"/>
        <v>3.9444444444444438</v>
      </c>
      <c r="BS40" s="185">
        <f t="shared" si="465"/>
        <v>5.2903225806451601</v>
      </c>
      <c r="BT40" s="185">
        <f t="shared" si="465"/>
        <v>5.7878787878787872</v>
      </c>
      <c r="BU40" s="185">
        <f t="shared" si="465"/>
        <v>3.342857142857143</v>
      </c>
      <c r="BV40" s="185">
        <f t="shared" si="465"/>
        <v>3.3023255813953485</v>
      </c>
      <c r="BW40" s="407">
        <f t="shared" si="465"/>
        <v>2.666666666666667</v>
      </c>
      <c r="BX40" s="185">
        <f t="shared" si="465"/>
        <v>2.7192982456140351</v>
      </c>
      <c r="BY40" s="185">
        <f t="shared" si="465"/>
        <v>3.115384615384615</v>
      </c>
      <c r="BZ40" s="185">
        <f t="shared" si="465"/>
        <v>3.0754716981132075</v>
      </c>
      <c r="CA40" s="185">
        <f t="shared" si="465"/>
        <v>2.603448275862069</v>
      </c>
      <c r="CB40" s="185">
        <f t="shared" si="465"/>
        <v>2.4821428571428572</v>
      </c>
      <c r="CC40" s="185">
        <f t="shared" si="465"/>
        <v>2.4716981132075473</v>
      </c>
      <c r="CD40" s="185">
        <f t="shared" ref="CD40:DG40" si="471">1/-CD39</f>
        <v>3.9444444444444438</v>
      </c>
      <c r="CE40" s="185">
        <f t="shared" si="471"/>
        <v>5.2903225806451601</v>
      </c>
      <c r="CF40" s="185">
        <f t="shared" si="471"/>
        <v>5.7878787878787872</v>
      </c>
      <c r="CG40" s="185">
        <f t="shared" si="471"/>
        <v>3.342857142857143</v>
      </c>
      <c r="CH40" s="185">
        <f t="shared" si="471"/>
        <v>3.3023255813953485</v>
      </c>
      <c r="CI40" s="407">
        <f t="shared" si="471"/>
        <v>2.666666666666667</v>
      </c>
      <c r="CJ40" s="185">
        <f t="shared" si="471"/>
        <v>2.7192982456140351</v>
      </c>
      <c r="CK40" s="185">
        <f t="shared" si="471"/>
        <v>3.115384615384615</v>
      </c>
      <c r="CL40" s="185">
        <f t="shared" si="471"/>
        <v>3.0754716981132075</v>
      </c>
      <c r="CM40" s="185">
        <f t="shared" si="471"/>
        <v>2.603448275862069</v>
      </c>
      <c r="CN40" s="185">
        <f t="shared" si="471"/>
        <v>2.4821428571428572</v>
      </c>
      <c r="CO40" s="185">
        <f t="shared" si="471"/>
        <v>2.4716981132075473</v>
      </c>
      <c r="CP40" s="185">
        <f t="shared" si="471"/>
        <v>3.9444444444444438</v>
      </c>
      <c r="CQ40" s="185">
        <f t="shared" si="471"/>
        <v>5.2903225806451601</v>
      </c>
      <c r="CR40" s="185">
        <f t="shared" si="471"/>
        <v>5.7878787878787872</v>
      </c>
      <c r="CS40" s="185">
        <f t="shared" si="471"/>
        <v>3.342857142857143</v>
      </c>
      <c r="CT40" s="185">
        <f t="shared" si="471"/>
        <v>3.3023255813953485</v>
      </c>
      <c r="CU40" s="407">
        <f t="shared" si="471"/>
        <v>2.666666666666667</v>
      </c>
      <c r="CV40" s="185">
        <f t="shared" si="471"/>
        <v>2.7192982456140351</v>
      </c>
      <c r="CW40" s="185">
        <f t="shared" si="471"/>
        <v>3.115384615384615</v>
      </c>
      <c r="CX40" s="185">
        <f t="shared" si="471"/>
        <v>3.0754716981132075</v>
      </c>
      <c r="CY40" s="185">
        <f t="shared" si="471"/>
        <v>2.603448275862069</v>
      </c>
      <c r="CZ40" s="185">
        <f t="shared" si="471"/>
        <v>2.4821428571428572</v>
      </c>
      <c r="DA40" s="185">
        <f t="shared" si="471"/>
        <v>2.4716981132075473</v>
      </c>
      <c r="DB40" s="185">
        <f t="shared" si="471"/>
        <v>3.9444444444444438</v>
      </c>
      <c r="DC40" s="185">
        <f t="shared" si="471"/>
        <v>5.2903225806451601</v>
      </c>
      <c r="DD40" s="185">
        <f t="shared" si="471"/>
        <v>5.7878787878787872</v>
      </c>
      <c r="DE40" s="185">
        <f t="shared" si="471"/>
        <v>3.342857142857143</v>
      </c>
      <c r="DF40" s="185">
        <f t="shared" si="471"/>
        <v>3.3023255813953485</v>
      </c>
      <c r="DG40" s="186">
        <f t="shared" si="471"/>
        <v>2.666666666666667</v>
      </c>
    </row>
    <row r="41" spans="1:111" ht="18" x14ac:dyDescent="0.3">
      <c r="A41" s="36"/>
      <c r="B41" s="36"/>
      <c r="C41" s="594" t="s">
        <v>231</v>
      </c>
      <c r="D41" s="26"/>
      <c r="E41" s="26"/>
      <c r="F41" s="26"/>
      <c r="G41" s="26"/>
      <c r="H41" s="26"/>
      <c r="I41" s="26"/>
      <c r="J41" s="26"/>
      <c r="K41" s="26"/>
      <c r="L41" s="26">
        <f t="shared" ref="L41:AQ41" si="472">+L14/L17</f>
        <v>119.44444444444444</v>
      </c>
      <c r="M41" s="26">
        <f t="shared" si="472"/>
        <v>221.47058823529412</v>
      </c>
      <c r="N41" s="26">
        <f t="shared" si="472"/>
        <v>190</v>
      </c>
      <c r="O41" s="26">
        <f t="shared" si="472"/>
        <v>290.35714285714283</v>
      </c>
      <c r="P41" s="26">
        <f t="shared" si="472"/>
        <v>128.83250000000001</v>
      </c>
      <c r="Q41" s="26">
        <f t="shared" si="472"/>
        <v>125.575</v>
      </c>
      <c r="R41" s="26">
        <f t="shared" si="472"/>
        <v>120.675</v>
      </c>
      <c r="S41" s="26">
        <f t="shared" si="472"/>
        <v>279.63</v>
      </c>
      <c r="T41" s="26">
        <f t="shared" si="472"/>
        <v>276.32555555555552</v>
      </c>
      <c r="U41" s="26">
        <f t="shared" si="472"/>
        <v>157.18692307692308</v>
      </c>
      <c r="V41" s="26">
        <f t="shared" si="472"/>
        <v>354.4375</v>
      </c>
      <c r="W41" s="26">
        <f t="shared" si="472"/>
        <v>372.56105263157895</v>
      </c>
      <c r="X41" s="26">
        <f t="shared" si="472"/>
        <v>301.93413793103451</v>
      </c>
      <c r="Y41" s="26">
        <f t="shared" si="472"/>
        <v>256.13656250000003</v>
      </c>
      <c r="Z41" s="26">
        <f t="shared" si="472"/>
        <v>154.31625</v>
      </c>
      <c r="AA41" s="26">
        <f t="shared" si="472"/>
        <v>112.86842105263158</v>
      </c>
      <c r="AB41" s="26">
        <f>+AB14/AB17</f>
        <v>187.625</v>
      </c>
      <c r="AC41" s="26">
        <f t="shared" si="472"/>
        <v>290.5</v>
      </c>
      <c r="AD41" s="26">
        <f t="shared" ref="AD41:AI41" si="473">+AD14/AD17</f>
        <v>173.97499999999999</v>
      </c>
      <c r="AE41" s="26">
        <f t="shared" si="473"/>
        <v>236.35294117647058</v>
      </c>
      <c r="AF41" s="26">
        <f t="shared" si="473"/>
        <v>271.00400000000002</v>
      </c>
      <c r="AG41" s="26">
        <f t="shared" si="473"/>
        <v>179.51083333333335</v>
      </c>
      <c r="AH41" s="26">
        <f t="shared" si="473"/>
        <v>302.02966666666669</v>
      </c>
      <c r="AI41" s="26">
        <f t="shared" si="473"/>
        <v>371.34894736842108</v>
      </c>
      <c r="AJ41" s="368">
        <f t="shared" ref="AJ41" si="474">+AJ14/AJ17</f>
        <v>235.6547619047619</v>
      </c>
      <c r="AK41" s="27">
        <f t="shared" ref="AK41" si="475">+AK14/AK17</f>
        <v>281.00536888746598</v>
      </c>
      <c r="AL41" s="27">
        <f t="shared" si="472"/>
        <v>153.17319530876475</v>
      </c>
      <c r="AM41" s="405">
        <f t="shared" si="472"/>
        <v>170.50310985361617</v>
      </c>
      <c r="AN41" s="27">
        <f t="shared" si="472"/>
        <v>177.47978471023262</v>
      </c>
      <c r="AO41" s="27">
        <f t="shared" si="472"/>
        <v>283.94702586925126</v>
      </c>
      <c r="AP41" s="27">
        <f t="shared" si="472"/>
        <v>181.87732929827922</v>
      </c>
      <c r="AQ41" s="27">
        <f t="shared" si="472"/>
        <v>245.61951119887098</v>
      </c>
      <c r="AR41" s="27">
        <f t="shared" ref="AR41:BW41" si="476">+AR14/AR17</f>
        <v>257.07471509892878</v>
      </c>
      <c r="AS41" s="27">
        <f t="shared" si="476"/>
        <v>163.32505411728735</v>
      </c>
      <c r="AT41" s="27">
        <f t="shared" si="476"/>
        <v>286.13384707471766</v>
      </c>
      <c r="AU41" s="27">
        <f t="shared" si="476"/>
        <v>350.85638454547262</v>
      </c>
      <c r="AV41" s="27">
        <f t="shared" si="476"/>
        <v>237.67399596646672</v>
      </c>
      <c r="AW41" s="27">
        <f t="shared" si="476"/>
        <v>281.00536888746603</v>
      </c>
      <c r="AX41" s="27">
        <f t="shared" si="476"/>
        <v>145.11144818725083</v>
      </c>
      <c r="AY41" s="405">
        <f t="shared" si="476"/>
        <v>188.45080562768098</v>
      </c>
      <c r="AZ41" s="27">
        <f t="shared" si="476"/>
        <v>169.76327233152682</v>
      </c>
      <c r="BA41" s="27">
        <f t="shared" si="476"/>
        <v>283.94702586925126</v>
      </c>
      <c r="BB41" s="27">
        <f t="shared" si="476"/>
        <v>190.53815450295915</v>
      </c>
      <c r="BC41" s="27">
        <f t="shared" si="476"/>
        <v>245.61951119887095</v>
      </c>
      <c r="BD41" s="27">
        <f t="shared" si="476"/>
        <v>245.38950077625023</v>
      </c>
      <c r="BE41" s="27">
        <f t="shared" si="476"/>
        <v>171.10243764668195</v>
      </c>
      <c r="BF41" s="27">
        <f t="shared" si="476"/>
        <v>299.13993103265932</v>
      </c>
      <c r="BG41" s="27">
        <f t="shared" si="476"/>
        <v>350.85638454547257</v>
      </c>
      <c r="BH41" s="27">
        <f t="shared" si="476"/>
        <v>237.67399596646669</v>
      </c>
      <c r="BI41" s="27">
        <f t="shared" si="476"/>
        <v>268.78774415322835</v>
      </c>
      <c r="BJ41" s="27">
        <f t="shared" si="476"/>
        <v>169.29668955179261</v>
      </c>
      <c r="BK41" s="405">
        <f t="shared" si="476"/>
        <v>206.3985014017459</v>
      </c>
      <c r="BL41" s="27">
        <f t="shared" si="476"/>
        <v>162.04675995282105</v>
      </c>
      <c r="BM41" s="27">
        <f t="shared" si="476"/>
        <v>283.94702586925126</v>
      </c>
      <c r="BN41" s="27">
        <f t="shared" si="476"/>
        <v>199.19897970763918</v>
      </c>
      <c r="BO41" s="27">
        <f t="shared" si="476"/>
        <v>245.61951119887098</v>
      </c>
      <c r="BP41" s="27">
        <f t="shared" si="476"/>
        <v>245.38950077625023</v>
      </c>
      <c r="BQ41" s="27">
        <f t="shared" si="476"/>
        <v>171.10243764668198</v>
      </c>
      <c r="BR41" s="27">
        <f t="shared" si="476"/>
        <v>286.13384707471766</v>
      </c>
      <c r="BS41" s="27">
        <f t="shared" si="476"/>
        <v>367.56383142859033</v>
      </c>
      <c r="BT41" s="27">
        <f t="shared" si="476"/>
        <v>237.67399596646672</v>
      </c>
      <c r="BU41" s="27">
        <f t="shared" si="476"/>
        <v>256.57011941899071</v>
      </c>
      <c r="BV41" s="27">
        <f t="shared" si="476"/>
        <v>177.35843667330656</v>
      </c>
      <c r="BW41" s="405">
        <f t="shared" si="476"/>
        <v>206.39850140174585</v>
      </c>
      <c r="BX41" s="27">
        <f t="shared" ref="BX41:DG41" si="477">+BX14/BX17</f>
        <v>162.04675995282105</v>
      </c>
      <c r="BY41" s="27">
        <f t="shared" si="477"/>
        <v>298.14437716271379</v>
      </c>
      <c r="BZ41" s="27">
        <f t="shared" si="477"/>
        <v>199.19897970763915</v>
      </c>
      <c r="CA41" s="27">
        <f t="shared" si="477"/>
        <v>223.29046472624637</v>
      </c>
      <c r="CB41" s="27">
        <f t="shared" si="477"/>
        <v>268.75992942160741</v>
      </c>
      <c r="CC41" s="27">
        <f t="shared" si="477"/>
        <v>171.10243764668195</v>
      </c>
      <c r="CD41" s="27">
        <f t="shared" si="477"/>
        <v>273.1277631167759</v>
      </c>
      <c r="CE41" s="27">
        <f t="shared" si="477"/>
        <v>384.27127831170804</v>
      </c>
      <c r="CF41" s="27">
        <f t="shared" si="477"/>
        <v>226.87063251344549</v>
      </c>
      <c r="CG41" s="27">
        <f t="shared" si="477"/>
        <v>268.7877441532284</v>
      </c>
      <c r="CH41" s="27">
        <f t="shared" si="477"/>
        <v>177.35843667330656</v>
      </c>
      <c r="CI41" s="405">
        <f t="shared" si="477"/>
        <v>188.45080562768101</v>
      </c>
      <c r="CJ41" s="27">
        <f t="shared" si="477"/>
        <v>177.47978471023259</v>
      </c>
      <c r="CK41" s="27">
        <f t="shared" si="477"/>
        <v>283.94702586925126</v>
      </c>
      <c r="CL41" s="27">
        <f t="shared" si="477"/>
        <v>190.53815450295915</v>
      </c>
      <c r="CM41" s="27">
        <f t="shared" si="477"/>
        <v>234.45498796255862</v>
      </c>
      <c r="CN41" s="27">
        <f t="shared" si="477"/>
        <v>268.7599294216073</v>
      </c>
      <c r="CO41" s="27">
        <f t="shared" si="477"/>
        <v>163.32505411728735</v>
      </c>
      <c r="CP41" s="27">
        <f t="shared" si="477"/>
        <v>286.13384707471766</v>
      </c>
      <c r="CQ41" s="27">
        <f t="shared" si="477"/>
        <v>384.27127831170804</v>
      </c>
      <c r="CR41" s="27">
        <f t="shared" si="477"/>
        <v>216.06726906042431</v>
      </c>
      <c r="CS41" s="27">
        <f t="shared" si="477"/>
        <v>281.00536888746609</v>
      </c>
      <c r="CT41" s="27">
        <f t="shared" si="477"/>
        <v>177.35843667330656</v>
      </c>
      <c r="CU41" s="405">
        <f t="shared" si="477"/>
        <v>188.45080562768101</v>
      </c>
      <c r="CV41" s="27">
        <f t="shared" si="477"/>
        <v>177.47978471023256</v>
      </c>
      <c r="CW41" s="27">
        <f t="shared" si="477"/>
        <v>283.94702586925126</v>
      </c>
      <c r="CX41" s="27">
        <f t="shared" si="477"/>
        <v>181.87732929827922</v>
      </c>
      <c r="CY41" s="27">
        <f t="shared" si="477"/>
        <v>245.61951119887101</v>
      </c>
      <c r="CZ41" s="27">
        <f t="shared" si="477"/>
        <v>268.75992942160741</v>
      </c>
      <c r="DA41" s="27">
        <f t="shared" si="477"/>
        <v>155.54767058789272</v>
      </c>
      <c r="DB41" s="27">
        <f t="shared" si="477"/>
        <v>299.13993103265932</v>
      </c>
      <c r="DC41" s="27">
        <f t="shared" si="477"/>
        <v>367.56383142859039</v>
      </c>
      <c r="DD41" s="27">
        <f t="shared" si="477"/>
        <v>226.87063251344557</v>
      </c>
      <c r="DE41" s="27">
        <f t="shared" si="477"/>
        <v>281.00536888746609</v>
      </c>
      <c r="DF41" s="27">
        <f t="shared" si="477"/>
        <v>169.29668955179261</v>
      </c>
      <c r="DG41" s="28">
        <f t="shared" si="477"/>
        <v>197.42465351471341</v>
      </c>
    </row>
    <row r="42" spans="1:111" ht="18" x14ac:dyDescent="0.3">
      <c r="A42" s="36"/>
      <c r="B42" s="36"/>
      <c r="C42" s="594" t="s">
        <v>232</v>
      </c>
      <c r="D42" s="26"/>
      <c r="E42" s="26"/>
      <c r="F42" s="26"/>
      <c r="G42" s="26"/>
      <c r="H42" s="26"/>
      <c r="I42" s="26"/>
      <c r="J42" s="26"/>
      <c r="K42" s="26"/>
      <c r="L42" s="26">
        <f t="shared" ref="L42:Q42" si="478">+L41*L40</f>
        <v>578.84615384615381</v>
      </c>
      <c r="M42" s="26">
        <f t="shared" si="478"/>
        <v>1771.7647058823529</v>
      </c>
      <c r="N42" s="26">
        <f t="shared" si="478"/>
        <v>1031.4285714285716</v>
      </c>
      <c r="O42" s="26">
        <f t="shared" si="478"/>
        <v>1177.5595238095236</v>
      </c>
      <c r="P42" s="26">
        <f t="shared" si="478"/>
        <v>515.33000000000004</v>
      </c>
      <c r="Q42" s="26">
        <f t="shared" si="478"/>
        <v>445.79124999999999</v>
      </c>
      <c r="R42" s="26">
        <f t="shared" ref="R42:CC42" si="479">+R41*R40</f>
        <v>573.20624999999995</v>
      </c>
      <c r="S42" s="26">
        <f t="shared" si="479"/>
        <v>940.5736363636363</v>
      </c>
      <c r="T42" s="26">
        <f t="shared" si="479"/>
        <v>701.44179487179485</v>
      </c>
      <c r="U42" s="26">
        <f t="shared" si="479"/>
        <v>395.87817663817657</v>
      </c>
      <c r="V42" s="26">
        <f t="shared" si="479"/>
        <v>764.25585937500011</v>
      </c>
      <c r="W42" s="26">
        <f t="shared" si="479"/>
        <v>858.01939393939381</v>
      </c>
      <c r="X42" s="26">
        <f t="shared" ref="X42" si="480">+X41*X40</f>
        <v>896.36697198275874</v>
      </c>
      <c r="Y42" s="26">
        <f t="shared" ref="Y42:AC42" si="481">+Y41*Y40</f>
        <v>856.22793750000017</v>
      </c>
      <c r="Z42" s="26">
        <f t="shared" si="481"/>
        <v>509.60249999999991</v>
      </c>
      <c r="AA42" s="26">
        <f t="shared" si="481"/>
        <v>300.98245614035091</v>
      </c>
      <c r="AB42" s="26">
        <f>+AB41*AB40</f>
        <v>510.20833333333331</v>
      </c>
      <c r="AC42" s="26">
        <f t="shared" si="481"/>
        <v>905.0192307692306</v>
      </c>
      <c r="AD42" s="26">
        <f t="shared" ref="AD42:AI42" si="482">+AD41*AD40</f>
        <v>535.05518867924525</v>
      </c>
      <c r="AE42" s="26">
        <f t="shared" si="482"/>
        <v>615.33265720081135</v>
      </c>
      <c r="AF42" s="26">
        <f t="shared" si="482"/>
        <v>672.67064285714287</v>
      </c>
      <c r="AG42" s="26">
        <f t="shared" si="482"/>
        <v>443.69658805031452</v>
      </c>
      <c r="AH42" s="26">
        <f t="shared" si="482"/>
        <v>1191.3392407407407</v>
      </c>
      <c r="AI42" s="26">
        <f t="shared" si="482"/>
        <v>1964.5557215619692</v>
      </c>
      <c r="AJ42" s="368">
        <f t="shared" ref="AJ42" si="483">+AJ41*AJ40</f>
        <v>1363.9411976911974</v>
      </c>
      <c r="AK42" s="27">
        <f t="shared" ref="AK42" si="484">+AK41*AK40</f>
        <v>939.36080456667196</v>
      </c>
      <c r="AL42" s="27">
        <f t="shared" si="479"/>
        <v>505.82776125219982</v>
      </c>
      <c r="AM42" s="405">
        <f t="shared" si="479"/>
        <v>454.67495960964317</v>
      </c>
      <c r="AN42" s="27">
        <f t="shared" si="479"/>
        <v>482.62046719449222</v>
      </c>
      <c r="AO42" s="27">
        <f t="shared" si="479"/>
        <v>884.60419597728264</v>
      </c>
      <c r="AP42" s="27">
        <f t="shared" si="479"/>
        <v>559.35857878527383</v>
      </c>
      <c r="AQ42" s="27">
        <f t="shared" si="479"/>
        <v>639.45769294878482</v>
      </c>
      <c r="AR42" s="27">
        <f t="shared" si="479"/>
        <v>638.09616783484114</v>
      </c>
      <c r="AS42" s="27">
        <f t="shared" si="479"/>
        <v>403.6902281012197</v>
      </c>
      <c r="AT42" s="27">
        <f t="shared" si="479"/>
        <v>1128.6390634613861</v>
      </c>
      <c r="AU42" s="27">
        <f t="shared" si="479"/>
        <v>1856.1434537244354</v>
      </c>
      <c r="AV42" s="27">
        <f t="shared" si="479"/>
        <v>1375.6282796847011</v>
      </c>
      <c r="AW42" s="27">
        <f t="shared" si="479"/>
        <v>939.36080456667219</v>
      </c>
      <c r="AX42" s="27">
        <f t="shared" si="479"/>
        <v>479.20524750208409</v>
      </c>
      <c r="AY42" s="405">
        <f t="shared" si="479"/>
        <v>502.53548167381598</v>
      </c>
      <c r="AZ42" s="27">
        <f t="shared" si="479"/>
        <v>461.63696862081855</v>
      </c>
      <c r="BA42" s="27">
        <f t="shared" si="479"/>
        <v>884.60419597728264</v>
      </c>
      <c r="BB42" s="27">
        <f t="shared" si="479"/>
        <v>585.99470158457245</v>
      </c>
      <c r="BC42" s="27">
        <f t="shared" si="479"/>
        <v>639.45769294878471</v>
      </c>
      <c r="BD42" s="27">
        <f t="shared" si="479"/>
        <v>609.09179656962112</v>
      </c>
      <c r="BE42" s="27">
        <f t="shared" si="479"/>
        <v>422.91357229651578</v>
      </c>
      <c r="BF42" s="27">
        <f t="shared" si="479"/>
        <v>1179.9408390732672</v>
      </c>
      <c r="BG42" s="27">
        <f t="shared" si="479"/>
        <v>1856.1434537244352</v>
      </c>
      <c r="BH42" s="27">
        <f t="shared" si="479"/>
        <v>1375.6282796847011</v>
      </c>
      <c r="BI42" s="27">
        <f t="shared" si="479"/>
        <v>898.51903045507765</v>
      </c>
      <c r="BJ42" s="27">
        <f t="shared" si="479"/>
        <v>559.07278875243139</v>
      </c>
      <c r="BK42" s="405">
        <f t="shared" si="479"/>
        <v>550.39600373798919</v>
      </c>
      <c r="BL42" s="27">
        <f t="shared" si="479"/>
        <v>440.65347004714494</v>
      </c>
      <c r="BM42" s="27">
        <f t="shared" si="479"/>
        <v>884.60419597728264</v>
      </c>
      <c r="BN42" s="27">
        <f t="shared" si="479"/>
        <v>612.63082438387141</v>
      </c>
      <c r="BO42" s="27">
        <f t="shared" si="479"/>
        <v>639.45769294878482</v>
      </c>
      <c r="BP42" s="27">
        <f t="shared" si="479"/>
        <v>609.09179656962112</v>
      </c>
      <c r="BQ42" s="27">
        <f t="shared" si="479"/>
        <v>422.91357229651584</v>
      </c>
      <c r="BR42" s="27">
        <f t="shared" si="479"/>
        <v>1128.6390634613861</v>
      </c>
      <c r="BS42" s="27">
        <f t="shared" si="479"/>
        <v>1944.5312372351227</v>
      </c>
      <c r="BT42" s="27">
        <f t="shared" si="479"/>
        <v>1375.6282796847011</v>
      </c>
      <c r="BU42" s="27">
        <f t="shared" si="479"/>
        <v>857.67725634348324</v>
      </c>
      <c r="BV42" s="27">
        <f t="shared" si="479"/>
        <v>585.69530250254718</v>
      </c>
      <c r="BW42" s="405">
        <f t="shared" si="479"/>
        <v>550.39600373798896</v>
      </c>
      <c r="BX42" s="27">
        <f t="shared" si="479"/>
        <v>440.65347004714494</v>
      </c>
      <c r="BY42" s="27">
        <f t="shared" si="479"/>
        <v>928.8344057761467</v>
      </c>
      <c r="BZ42" s="27">
        <f t="shared" si="479"/>
        <v>612.63082438387141</v>
      </c>
      <c r="CA42" s="27">
        <f t="shared" si="479"/>
        <v>581.32517540798619</v>
      </c>
      <c r="CB42" s="27">
        <f t="shared" si="479"/>
        <v>667.10053910006127</v>
      </c>
      <c r="CC42" s="27">
        <f t="shared" si="479"/>
        <v>422.91357229651578</v>
      </c>
      <c r="CD42" s="27">
        <f t="shared" ref="CD42:DG42" si="485">+CD41*CD40</f>
        <v>1077.3372878495047</v>
      </c>
      <c r="CE42" s="27">
        <f t="shared" si="485"/>
        <v>2032.9190207458098</v>
      </c>
      <c r="CF42" s="27">
        <f t="shared" si="485"/>
        <v>1313.0997215172147</v>
      </c>
      <c r="CG42" s="27">
        <f t="shared" si="485"/>
        <v>898.51903045507788</v>
      </c>
      <c r="CH42" s="27">
        <f t="shared" si="485"/>
        <v>585.69530250254718</v>
      </c>
      <c r="CI42" s="405">
        <f t="shared" si="485"/>
        <v>502.53548167381609</v>
      </c>
      <c r="CJ42" s="27">
        <f t="shared" si="485"/>
        <v>482.62046719449216</v>
      </c>
      <c r="CK42" s="27">
        <f t="shared" si="485"/>
        <v>884.60419597728264</v>
      </c>
      <c r="CL42" s="27">
        <f t="shared" si="485"/>
        <v>585.99470158457245</v>
      </c>
      <c r="CM42" s="27">
        <f t="shared" si="485"/>
        <v>610.39143417838534</v>
      </c>
      <c r="CN42" s="27">
        <f t="shared" si="485"/>
        <v>667.10053910006093</v>
      </c>
      <c r="CO42" s="27">
        <f t="shared" si="485"/>
        <v>403.6902281012197</v>
      </c>
      <c r="CP42" s="27">
        <f t="shared" si="485"/>
        <v>1128.6390634613861</v>
      </c>
      <c r="CQ42" s="27">
        <f t="shared" si="485"/>
        <v>2032.9190207458098</v>
      </c>
      <c r="CR42" s="27">
        <f t="shared" si="485"/>
        <v>1250.5711633497285</v>
      </c>
      <c r="CS42" s="27">
        <f t="shared" si="485"/>
        <v>939.36080456667241</v>
      </c>
      <c r="CT42" s="27">
        <f t="shared" si="485"/>
        <v>585.69530250254718</v>
      </c>
      <c r="CU42" s="405">
        <f t="shared" si="485"/>
        <v>502.53548167381609</v>
      </c>
      <c r="CV42" s="27">
        <f t="shared" si="485"/>
        <v>482.62046719449205</v>
      </c>
      <c r="CW42" s="27">
        <f t="shared" si="485"/>
        <v>884.60419597728264</v>
      </c>
      <c r="CX42" s="27">
        <f t="shared" si="485"/>
        <v>559.35857878527383</v>
      </c>
      <c r="CY42" s="27">
        <f t="shared" si="485"/>
        <v>639.45769294878482</v>
      </c>
      <c r="CZ42" s="27">
        <f t="shared" si="485"/>
        <v>667.10053910006127</v>
      </c>
      <c r="DA42" s="27">
        <f t="shared" si="485"/>
        <v>384.46688390592357</v>
      </c>
      <c r="DB42" s="27">
        <f t="shared" si="485"/>
        <v>1179.9408390732672</v>
      </c>
      <c r="DC42" s="27">
        <f t="shared" si="485"/>
        <v>1944.5312372351229</v>
      </c>
      <c r="DD42" s="27">
        <f t="shared" si="485"/>
        <v>1313.0997215172151</v>
      </c>
      <c r="DE42" s="27">
        <f t="shared" si="485"/>
        <v>939.36080456667241</v>
      </c>
      <c r="DF42" s="27">
        <f t="shared" si="485"/>
        <v>559.07278875243139</v>
      </c>
      <c r="DG42" s="28">
        <f t="shared" si="485"/>
        <v>526.46574270590247</v>
      </c>
    </row>
    <row r="43" spans="1:111" s="317" customFormat="1" ht="18" x14ac:dyDescent="0.3">
      <c r="A43" s="36"/>
      <c r="B43" s="36"/>
      <c r="C43" s="594" t="s">
        <v>284</v>
      </c>
      <c r="D43" s="438"/>
      <c r="E43" s="438"/>
      <c r="F43" s="438"/>
      <c r="G43" s="438"/>
      <c r="H43" s="438"/>
      <c r="I43" s="439"/>
      <c r="J43" s="439"/>
      <c r="K43" s="439"/>
      <c r="L43" s="439">
        <f t="shared" ref="L43:AH43" si="486">+L88/L14</f>
        <v>0.97488372093023257</v>
      </c>
      <c r="M43" s="439">
        <f t="shared" si="486"/>
        <v>0.52279946879150074</v>
      </c>
      <c r="N43" s="439">
        <f t="shared" si="486"/>
        <v>0.77405263157894733</v>
      </c>
      <c r="O43" s="439">
        <f t="shared" si="486"/>
        <v>0.92024600246002464</v>
      </c>
      <c r="P43" s="440">
        <f t="shared" si="486"/>
        <v>0.84790975362065735</v>
      </c>
      <c r="Q43" s="440">
        <f t="shared" si="486"/>
        <v>0.87755524586900258</v>
      </c>
      <c r="R43" s="440">
        <f t="shared" si="486"/>
        <v>0.91269111249223134</v>
      </c>
      <c r="S43" s="440">
        <f t="shared" si="486"/>
        <v>0.86061172672051334</v>
      </c>
      <c r="T43" s="440">
        <f t="shared" si="486"/>
        <v>0.7784416931719027</v>
      </c>
      <c r="U43" s="440">
        <f t="shared" si="486"/>
        <v>0.68324826394836136</v>
      </c>
      <c r="V43" s="440">
        <f t="shared" si="486"/>
        <v>0.84737788749779575</v>
      </c>
      <c r="W43" s="440">
        <f t="shared" si="486"/>
        <v>0.8796453000991713</v>
      </c>
      <c r="X43" s="440">
        <f t="shared" si="486"/>
        <v>0.81197543652475013</v>
      </c>
      <c r="Y43" s="440">
        <f t="shared" si="486"/>
        <v>0.83560161388517107</v>
      </c>
      <c r="Z43" s="440">
        <f t="shared" si="486"/>
        <v>0.81644228977829614</v>
      </c>
      <c r="AA43" s="440">
        <f t="shared" si="486"/>
        <v>0.62813243180228495</v>
      </c>
      <c r="AB43" s="440">
        <f t="shared" si="486"/>
        <v>0.86101265822784823</v>
      </c>
      <c r="AC43" s="440">
        <f t="shared" si="486"/>
        <v>0.62926907630522089</v>
      </c>
      <c r="AD43" s="440">
        <f t="shared" si="486"/>
        <v>0.72897542750395183</v>
      </c>
      <c r="AE43" s="440">
        <f t="shared" si="486"/>
        <v>0.30741662518665996</v>
      </c>
      <c r="AF43" s="440">
        <f t="shared" si="486"/>
        <v>0.87270483092500484</v>
      </c>
      <c r="AG43" s="440">
        <f t="shared" si="486"/>
        <v>0.6333972415778063</v>
      </c>
      <c r="AH43" s="440">
        <f t="shared" si="486"/>
        <v>0.69685538617067422</v>
      </c>
      <c r="AI43" s="440">
        <f t="shared" ref="AI43:AJ43" si="487">+AI88/AI14</f>
        <v>0.83443576264628394</v>
      </c>
      <c r="AJ43" s="441">
        <f t="shared" si="487"/>
        <v>0.8527193735791867</v>
      </c>
      <c r="AK43" s="442">
        <f t="shared" ref="AK43" si="488">+AK88/AK14</f>
        <v>0.38665362295000222</v>
      </c>
      <c r="AL43" s="442">
        <f t="shared" ref="AL43:AQ43" si="489">+AL88/AL14</f>
        <v>0.56851562264720068</v>
      </c>
      <c r="AM43" s="443">
        <f t="shared" si="489"/>
        <v>0.55293354128070527</v>
      </c>
      <c r="AN43" s="442">
        <f t="shared" si="489"/>
        <v>0.29796970595063821</v>
      </c>
      <c r="AO43" s="442">
        <f t="shared" si="489"/>
        <v>0.65462199081852668</v>
      </c>
      <c r="AP43" s="442">
        <f t="shared" si="489"/>
        <v>0.61417365166131999</v>
      </c>
      <c r="AQ43" s="442">
        <f t="shared" si="489"/>
        <v>0.53064189573601561</v>
      </c>
      <c r="AR43" s="442">
        <f t="shared" ref="AR43:BW43" si="490">+AR88/AR14</f>
        <v>0.67976833559358574</v>
      </c>
      <c r="AS43" s="442">
        <f t="shared" si="490"/>
        <v>0.55379830356562965</v>
      </c>
      <c r="AT43" s="442">
        <f t="shared" si="490"/>
        <v>0.52761829033357965</v>
      </c>
      <c r="AU43" s="442">
        <f t="shared" si="490"/>
        <v>0.52086444180440794</v>
      </c>
      <c r="AV43" s="442">
        <f t="shared" si="490"/>
        <v>0.64409493196523648</v>
      </c>
      <c r="AW43" s="442">
        <f t="shared" si="490"/>
        <v>0.38665036030317973</v>
      </c>
      <c r="AX43" s="442">
        <f t="shared" si="490"/>
        <v>0.67077919653622498</v>
      </c>
      <c r="AY43" s="443">
        <f t="shared" si="490"/>
        <v>0.7152825175831008</v>
      </c>
      <c r="AZ43" s="442">
        <f t="shared" si="490"/>
        <v>0.31504467780072831</v>
      </c>
      <c r="BA43" s="442">
        <f t="shared" si="490"/>
        <v>0.51195742439044756</v>
      </c>
      <c r="BB43" s="442">
        <f t="shared" si="490"/>
        <v>0.69023846841276482</v>
      </c>
      <c r="BC43" s="442">
        <f t="shared" si="490"/>
        <v>0.38626415299069261</v>
      </c>
      <c r="BD43" s="442">
        <f t="shared" si="490"/>
        <v>0.53146374436156041</v>
      </c>
      <c r="BE43" s="442">
        <f t="shared" si="490"/>
        <v>0.6775267735703252</v>
      </c>
      <c r="BF43" s="442">
        <f t="shared" si="490"/>
        <v>0.36391468834044294</v>
      </c>
      <c r="BG43" s="442">
        <f t="shared" si="490"/>
        <v>0.41469463341376744</v>
      </c>
      <c r="BH43" s="442">
        <f t="shared" si="490"/>
        <v>0.51441495070919174</v>
      </c>
      <c r="BI43" s="442">
        <f t="shared" si="490"/>
        <v>0.29460630393594656</v>
      </c>
      <c r="BJ43" s="442">
        <f t="shared" si="490"/>
        <v>0.56248454885992538</v>
      </c>
      <c r="BK43" s="443">
        <f t="shared" si="490"/>
        <v>0.49884943985395602</v>
      </c>
      <c r="BL43" s="442">
        <f t="shared" si="490"/>
        <v>0.37568425116893939</v>
      </c>
      <c r="BM43" s="442">
        <f t="shared" si="490"/>
        <v>0.39828401141646208</v>
      </c>
      <c r="BN43" s="442">
        <f t="shared" si="490"/>
        <v>0.50598562549632609</v>
      </c>
      <c r="BO43" s="442">
        <f t="shared" si="490"/>
        <v>0.25153891056167438</v>
      </c>
      <c r="BP43" s="442">
        <f t="shared" si="490"/>
        <v>0.4111004026365046</v>
      </c>
      <c r="BQ43" s="442">
        <f t="shared" si="490"/>
        <v>0.60551748249955017</v>
      </c>
      <c r="BR43" s="442">
        <f t="shared" si="490"/>
        <v>0.26095526145050096</v>
      </c>
      <c r="BS43" s="442">
        <f t="shared" si="490"/>
        <v>0.33363377643772008</v>
      </c>
      <c r="BT43" s="442">
        <f t="shared" si="490"/>
        <v>0.42324204123063569</v>
      </c>
      <c r="BU43" s="442">
        <f t="shared" si="490"/>
        <v>0.22424870719690018</v>
      </c>
      <c r="BV43" s="442">
        <f t="shared" si="490"/>
        <v>0.42512608419924069</v>
      </c>
      <c r="BW43" s="443">
        <f t="shared" si="490"/>
        <v>0.38829899151838987</v>
      </c>
      <c r="BX43" s="442">
        <f t="shared" ref="BX43:DG43" si="491">+BX88/BX14</f>
        <v>0.21175191615031275</v>
      </c>
      <c r="BY43" s="442">
        <f t="shared" si="491"/>
        <v>0.30818138216096486</v>
      </c>
      <c r="BZ43" s="442">
        <f t="shared" si="491"/>
        <v>0.39467325642159923</v>
      </c>
      <c r="CA43" s="442">
        <f t="shared" si="491"/>
        <v>0.15872697886235743</v>
      </c>
      <c r="CB43" s="442">
        <f t="shared" si="491"/>
        <v>0.30945679365710121</v>
      </c>
      <c r="CC43" s="442">
        <f t="shared" si="491"/>
        <v>0.4740661459605629</v>
      </c>
      <c r="CD43" s="442">
        <f t="shared" si="491"/>
        <v>0.18302375586988306</v>
      </c>
      <c r="CE43" s="442">
        <f t="shared" si="491"/>
        <v>0.28046852599589678</v>
      </c>
      <c r="CF43" s="442">
        <f t="shared" si="491"/>
        <v>0.36733301503063553</v>
      </c>
      <c r="CG43" s="442">
        <f t="shared" si="491"/>
        <v>0.17029976366285127</v>
      </c>
      <c r="CH43" s="442">
        <f t="shared" si="491"/>
        <v>0.34124601432971774</v>
      </c>
      <c r="CI43" s="443">
        <f t="shared" si="491"/>
        <v>0.32593324249241967</v>
      </c>
      <c r="CJ43" s="442">
        <f t="shared" si="491"/>
        <v>8.7659874655506648E-2</v>
      </c>
      <c r="CK43" s="442">
        <f t="shared" si="491"/>
        <v>0.26043277362492023</v>
      </c>
      <c r="CL43" s="442">
        <f t="shared" si="491"/>
        <v>0.32258068246380939</v>
      </c>
      <c r="CM43" s="442">
        <f t="shared" si="491"/>
        <v>8.4904259920629097E-2</v>
      </c>
      <c r="CN43" s="442">
        <f t="shared" si="491"/>
        <v>0.25504729519659858</v>
      </c>
      <c r="CO43" s="442">
        <f t="shared" si="491"/>
        <v>0.38745388211692383</v>
      </c>
      <c r="CP43" s="442">
        <f t="shared" si="491"/>
        <v>0.12594490132408226</v>
      </c>
      <c r="CQ43" s="442">
        <f t="shared" si="491"/>
        <v>0.24764737402650808</v>
      </c>
      <c r="CR43" s="442">
        <f t="shared" si="491"/>
        <v>0.32483471898029193</v>
      </c>
      <c r="CS43" s="442">
        <f t="shared" si="491"/>
        <v>0.13436284124500675</v>
      </c>
      <c r="CT43" s="442">
        <f t="shared" si="491"/>
        <v>0.28299362227438113</v>
      </c>
      <c r="CU43" s="443">
        <f t="shared" si="491"/>
        <v>0.26544172347866923</v>
      </c>
      <c r="CV43" s="442">
        <f t="shared" si="491"/>
        <v>1.5393604731306447E-3</v>
      </c>
      <c r="CW43" s="442">
        <f t="shared" si="491"/>
        <v>0.22107681925103617</v>
      </c>
      <c r="CX43" s="442">
        <f t="shared" si="491"/>
        <v>0.27028296018801939</v>
      </c>
      <c r="CY43" s="442">
        <f t="shared" si="491"/>
        <v>3.6225834467429871E-2</v>
      </c>
      <c r="CZ43" s="442">
        <f t="shared" si="491"/>
        <v>0.21765273356947828</v>
      </c>
      <c r="DA43" s="442">
        <f t="shared" si="491"/>
        <v>0.326304443150782</v>
      </c>
      <c r="DB43" s="442">
        <f t="shared" si="491"/>
        <v>8.7773522678878307E-2</v>
      </c>
      <c r="DC43" s="442">
        <f t="shared" si="491"/>
        <v>0.2271077349796066</v>
      </c>
      <c r="DD43" s="442">
        <f t="shared" si="491"/>
        <v>0.28750367260797449</v>
      </c>
      <c r="DE43" s="442">
        <f t="shared" si="491"/>
        <v>0.10748296440886408</v>
      </c>
      <c r="DF43" s="442">
        <f t="shared" si="491"/>
        <v>0.2465066718151796</v>
      </c>
      <c r="DG43" s="444">
        <f t="shared" si="491"/>
        <v>0.21942388623405529</v>
      </c>
    </row>
    <row r="44" spans="1:111" ht="18" x14ac:dyDescent="0.3">
      <c r="A44" s="36"/>
      <c r="B44" s="36"/>
      <c r="C44" s="594" t="s">
        <v>237</v>
      </c>
      <c r="D44" s="26"/>
      <c r="E44" s="26"/>
      <c r="F44" s="26"/>
      <c r="G44" s="26"/>
      <c r="H44" s="26"/>
      <c r="I44" s="26"/>
      <c r="J44" s="26"/>
      <c r="K44" s="26"/>
      <c r="L44" s="26">
        <f t="shared" ref="L44:AQ44" si="492">+AVERAGE(L43*L42,K43*K42, J43*J42)</f>
        <v>188.10256410256409</v>
      </c>
      <c r="M44" s="26">
        <f t="shared" si="492"/>
        <v>496.86177978883865</v>
      </c>
      <c r="N44" s="26">
        <f t="shared" si="492"/>
        <v>762.98844645550537</v>
      </c>
      <c r="O44" s="26">
        <f t="shared" si="492"/>
        <v>936.10069716775604</v>
      </c>
      <c r="P44" s="26">
        <f t="shared" si="492"/>
        <v>772.9925925925927</v>
      </c>
      <c r="Q44" s="26">
        <f t="shared" si="492"/>
        <v>637.26807592592593</v>
      </c>
      <c r="R44" s="26">
        <f t="shared" si="492"/>
        <v>450.44001111111112</v>
      </c>
      <c r="S44" s="26">
        <f t="shared" si="492"/>
        <v>574.6118004329004</v>
      </c>
      <c r="T44" s="26">
        <f t="shared" si="492"/>
        <v>626.22016325341326</v>
      </c>
      <c r="U44" s="26">
        <f t="shared" si="492"/>
        <v>541.99443889443887</v>
      </c>
      <c r="V44" s="26">
        <f t="shared" si="492"/>
        <v>488.04271033653851</v>
      </c>
      <c r="W44" s="26">
        <f t="shared" si="492"/>
        <v>557.61643994026804</v>
      </c>
      <c r="X44" s="26">
        <f t="shared" si="492"/>
        <v>710.06473541993216</v>
      </c>
      <c r="Y44" s="26">
        <f t="shared" si="492"/>
        <v>732.68204568778913</v>
      </c>
      <c r="Z44" s="26">
        <f t="shared" si="492"/>
        <v>619.78481392246158</v>
      </c>
      <c r="AA44" s="26">
        <f t="shared" si="492"/>
        <v>440.19444017019288</v>
      </c>
      <c r="AB44" s="26">
        <f t="shared" si="492"/>
        <v>348.13790247178025</v>
      </c>
      <c r="AC44" s="26">
        <f t="shared" si="492"/>
        <v>399.28443027440397</v>
      </c>
      <c r="AD44" s="26">
        <f t="shared" si="492"/>
        <v>466.27951120786969</v>
      </c>
      <c r="AE44" s="26">
        <f t="shared" si="492"/>
        <v>382.90206304469638</v>
      </c>
      <c r="AF44" s="26">
        <f t="shared" si="492"/>
        <v>388.74949779744367</v>
      </c>
      <c r="AG44" s="26">
        <f t="shared" si="492"/>
        <v>352.41420115174134</v>
      </c>
      <c r="AH44" s="26">
        <f t="shared" si="492"/>
        <v>566.09009375935909</v>
      </c>
      <c r="AI44" s="26">
        <f t="shared" si="492"/>
        <v>916.8409711393009</v>
      </c>
      <c r="AJ44" s="368">
        <f t="shared" si="492"/>
        <v>1210.8486007144775</v>
      </c>
      <c r="AK44" s="27">
        <f t="shared" si="492"/>
        <v>1055.1872979398995</v>
      </c>
      <c r="AL44" s="27">
        <f t="shared" si="492"/>
        <v>604.61244222585003</v>
      </c>
      <c r="AM44" s="405">
        <f t="shared" si="492"/>
        <v>300.7277595106961</v>
      </c>
      <c r="AN44" s="27">
        <f t="shared" si="492"/>
        <v>227.59409962828602</v>
      </c>
      <c r="AO44" s="27">
        <f t="shared" si="492"/>
        <v>324.76422470046498</v>
      </c>
      <c r="AP44" s="27">
        <f t="shared" si="492"/>
        <v>355.47697982447039</v>
      </c>
      <c r="AQ44" s="27">
        <f t="shared" si="492"/>
        <v>420.64923440234361</v>
      </c>
      <c r="AR44" s="27">
        <f t="shared" ref="AR44:BW44" si="493">+AVERAGE(AR43*AR42,AQ43*AQ42, AP43*AP42)</f>
        <v>372.20797110256507</v>
      </c>
      <c r="AS44" s="27">
        <f t="shared" si="493"/>
        <v>332.21452529184501</v>
      </c>
      <c r="AT44" s="27">
        <f t="shared" si="493"/>
        <v>417.60371550446729</v>
      </c>
      <c r="AU44" s="27">
        <f t="shared" si="493"/>
        <v>595.28423349625018</v>
      </c>
      <c r="AV44" s="27">
        <f t="shared" si="493"/>
        <v>816.10831340441518</v>
      </c>
      <c r="AW44" s="27">
        <f t="shared" si="493"/>
        <v>738.67950689548172</v>
      </c>
      <c r="AX44" s="27">
        <f t="shared" si="493"/>
        <v>523.56010254958403</v>
      </c>
      <c r="AY44" s="405">
        <f t="shared" si="493"/>
        <v>348.03331631408759</v>
      </c>
      <c r="AZ44" s="27">
        <f t="shared" si="493"/>
        <v>275.44400848064157</v>
      </c>
      <c r="BA44" s="27">
        <f t="shared" si="493"/>
        <v>319.25693344134879</v>
      </c>
      <c r="BB44" s="27">
        <f t="shared" si="493"/>
        <v>334.26401371243111</v>
      </c>
      <c r="BC44" s="27">
        <f t="shared" si="493"/>
        <v>368.11845174582913</v>
      </c>
      <c r="BD44" s="27">
        <f t="shared" si="493"/>
        <v>325.06195877492524</v>
      </c>
      <c r="BE44" s="27">
        <f t="shared" si="493"/>
        <v>285.74835304740139</v>
      </c>
      <c r="BF44" s="27">
        <f t="shared" si="493"/>
        <v>346.54775923782273</v>
      </c>
      <c r="BG44" s="27">
        <f t="shared" si="493"/>
        <v>495.22193331809541</v>
      </c>
      <c r="BH44" s="27">
        <f t="shared" si="493"/>
        <v>635.59142850176784</v>
      </c>
      <c r="BI44" s="27">
        <f t="shared" si="493"/>
        <v>580.69528445742515</v>
      </c>
      <c r="BJ44" s="27">
        <f t="shared" si="493"/>
        <v>428.94097654264266</v>
      </c>
      <c r="BK44" s="405">
        <f t="shared" si="493"/>
        <v>284.58130470076804</v>
      </c>
      <c r="BL44" s="27">
        <f t="shared" si="493"/>
        <v>251.52703748115994</v>
      </c>
      <c r="BM44" s="27">
        <f t="shared" si="493"/>
        <v>264.14500492395814</v>
      </c>
      <c r="BN44" s="27">
        <f t="shared" si="493"/>
        <v>275.95088916117521</v>
      </c>
      <c r="BO44" s="27">
        <f t="shared" si="493"/>
        <v>274.38486333282947</v>
      </c>
      <c r="BP44" s="27">
        <f t="shared" si="493"/>
        <v>240.40958837372841</v>
      </c>
      <c r="BQ44" s="27">
        <f t="shared" si="493"/>
        <v>222.44264528628665</v>
      </c>
      <c r="BR44" s="27">
        <f t="shared" si="493"/>
        <v>267.00124877101848</v>
      </c>
      <c r="BS44" s="27">
        <f t="shared" si="493"/>
        <v>399.78905452685285</v>
      </c>
      <c r="BT44" s="27">
        <f t="shared" si="493"/>
        <v>508.50310767900709</v>
      </c>
      <c r="BU44" s="27">
        <f t="shared" si="493"/>
        <v>474.43934569180573</v>
      </c>
      <c r="BV44" s="27">
        <f t="shared" si="493"/>
        <v>341.18369582744958</v>
      </c>
      <c r="BW44" s="405">
        <f t="shared" si="493"/>
        <v>218.34852653374037</v>
      </c>
      <c r="BX44" s="27">
        <f t="shared" ref="BX44:DC44" si="494">+AVERAGE(BX43*BX42,BW43*BW42, BV43*BV42)</f>
        <v>185.34059343825936</v>
      </c>
      <c r="BY44" s="27">
        <f t="shared" si="494"/>
        <v>197.75896693291057</v>
      </c>
      <c r="BZ44" s="27">
        <f t="shared" si="494"/>
        <v>207.11589668511672</v>
      </c>
      <c r="CA44" s="27">
        <f t="shared" si="494"/>
        <v>206.7701540812408</v>
      </c>
      <c r="CB44" s="27">
        <f t="shared" si="494"/>
        <v>180.16659504993322</v>
      </c>
      <c r="CC44" s="27">
        <f t="shared" si="494"/>
        <v>166.39992999966378</v>
      </c>
      <c r="CD44" s="27">
        <f t="shared" si="494"/>
        <v>201.36870597691382</v>
      </c>
      <c r="CE44" s="27">
        <f t="shared" si="494"/>
        <v>322.61237509050403</v>
      </c>
      <c r="CF44" s="27">
        <f t="shared" si="494"/>
        <v>416.5643325730984</v>
      </c>
      <c r="CG44" s="27">
        <f t="shared" si="494"/>
        <v>401.84408649715988</v>
      </c>
      <c r="CH44" s="27">
        <f t="shared" si="494"/>
        <v>278.40954862150431</v>
      </c>
      <c r="CI44" s="405">
        <f t="shared" si="494"/>
        <v>172.22559504438115</v>
      </c>
      <c r="CJ44" s="27">
        <f t="shared" si="494"/>
        <v>135.32188542017354</v>
      </c>
      <c r="CK44" s="27">
        <f t="shared" si="494"/>
        <v>145.49313099616475</v>
      </c>
      <c r="CL44" s="27">
        <f t="shared" si="494"/>
        <v>153.90564824546172</v>
      </c>
      <c r="CM44" s="27">
        <f t="shared" si="494"/>
        <v>157.07844268558037</v>
      </c>
      <c r="CN44" s="27">
        <f t="shared" si="494"/>
        <v>136.99919728659938</v>
      </c>
      <c r="CO44" s="27">
        <f t="shared" si="494"/>
        <v>126.12612238431818</v>
      </c>
      <c r="CP44" s="27">
        <f t="shared" si="494"/>
        <v>156.23328988343209</v>
      </c>
      <c r="CQ44" s="27">
        <f t="shared" si="494"/>
        <v>267.33491287495769</v>
      </c>
      <c r="CR44" s="27">
        <f t="shared" si="494"/>
        <v>350.60744166198492</v>
      </c>
      <c r="CS44" s="27">
        <f t="shared" si="494"/>
        <v>345.2970587211932</v>
      </c>
      <c r="CT44" s="27">
        <f t="shared" si="494"/>
        <v>232.73071809054159</v>
      </c>
      <c r="CU44" s="405">
        <f t="shared" si="494"/>
        <v>141.78570207491325</v>
      </c>
      <c r="CV44" s="27">
        <f t="shared" si="494"/>
        <v>99.961615479896409</v>
      </c>
      <c r="CW44" s="27">
        <f t="shared" si="494"/>
        <v>109.9007643927273</v>
      </c>
      <c r="CX44" s="27">
        <f t="shared" si="494"/>
        <v>115.83116709804942</v>
      </c>
      <c r="CY44" s="27">
        <f t="shared" si="494"/>
        <v>123.3051543190375</v>
      </c>
      <c r="CZ44" s="27">
        <f t="shared" si="494"/>
        <v>106.51541230504517</v>
      </c>
      <c r="DA44" s="27">
        <f t="shared" si="494"/>
        <v>97.938132299109</v>
      </c>
      <c r="DB44" s="27">
        <f t="shared" si="494"/>
        <v>124.7390241205906</v>
      </c>
      <c r="DC44" s="27">
        <f t="shared" si="494"/>
        <v>223.54630044884388</v>
      </c>
      <c r="DD44" s="27">
        <f t="shared" ref="DD44:DG44" si="495">+AVERAGE(DD43*DD42,DC43*DC42, DB43*DB42)</f>
        <v>307.56888044013363</v>
      </c>
      <c r="DE44" s="27">
        <f t="shared" si="495"/>
        <v>306.70145374886346</v>
      </c>
      <c r="DF44" s="27">
        <f t="shared" si="495"/>
        <v>205.43381627294079</v>
      </c>
      <c r="DG44" s="28">
        <f t="shared" si="495"/>
        <v>118.09987187191393</v>
      </c>
    </row>
    <row r="45" spans="1:111" ht="18" x14ac:dyDescent="0.3">
      <c r="A45" s="36"/>
      <c r="B45" s="36"/>
      <c r="C45" s="594" t="s">
        <v>236</v>
      </c>
      <c r="D45" s="26"/>
      <c r="E45" s="26"/>
      <c r="F45" s="26"/>
      <c r="G45" s="26"/>
      <c r="H45" s="26"/>
      <c r="I45" s="26"/>
      <c r="J45" s="26"/>
      <c r="K45" s="26"/>
      <c r="L45" s="448">
        <f t="shared" ref="L45:AQ45" si="496">+AVERAGE(J91:L91)</f>
        <v>12</v>
      </c>
      <c r="M45" s="26">
        <f t="shared" si="496"/>
        <v>155.03</v>
      </c>
      <c r="N45" s="26">
        <f t="shared" si="496"/>
        <v>142.43</v>
      </c>
      <c r="O45" s="26">
        <f t="shared" si="496"/>
        <v>149.90666666666667</v>
      </c>
      <c r="P45" s="26">
        <f t="shared" si="496"/>
        <v>93.929999999999993</v>
      </c>
      <c r="Q45" s="26">
        <f t="shared" si="496"/>
        <v>71.106666666666669</v>
      </c>
      <c r="R45" s="26">
        <f t="shared" si="496"/>
        <v>84.75</v>
      </c>
      <c r="S45" s="26">
        <f t="shared" si="496"/>
        <v>96.65666666666668</v>
      </c>
      <c r="T45" s="26">
        <f t="shared" si="496"/>
        <v>122.36333333333333</v>
      </c>
      <c r="U45" s="26">
        <f t="shared" si="496"/>
        <v>158.40333333333334</v>
      </c>
      <c r="V45" s="26">
        <f t="shared" si="496"/>
        <v>112.85333333333334</v>
      </c>
      <c r="W45" s="26">
        <f t="shared" si="496"/>
        <v>86.146666666666661</v>
      </c>
      <c r="X45" s="26">
        <f t="shared" si="496"/>
        <v>121.39333333333333</v>
      </c>
      <c r="Y45" s="26">
        <f t="shared" si="496"/>
        <v>238.96333333333337</v>
      </c>
      <c r="Z45" s="26">
        <f t="shared" si="496"/>
        <v>243.01333333333335</v>
      </c>
      <c r="AA45" s="26">
        <f t="shared" si="496"/>
        <v>156.24333333333337</v>
      </c>
      <c r="AB45" s="26">
        <f t="shared" si="496"/>
        <v>55.243333333333332</v>
      </c>
      <c r="AC45" s="26">
        <f t="shared" si="496"/>
        <v>438.72333333333336</v>
      </c>
      <c r="AD45" s="26">
        <f t="shared" si="496"/>
        <v>458.40000000000009</v>
      </c>
      <c r="AE45" s="26">
        <f t="shared" si="496"/>
        <v>1237.6133333333335</v>
      </c>
      <c r="AF45" s="26">
        <f t="shared" si="496"/>
        <v>887.48666666666668</v>
      </c>
      <c r="AG45" s="26">
        <f t="shared" si="496"/>
        <v>1183.3999999999999</v>
      </c>
      <c r="AH45" s="26">
        <f t="shared" si="496"/>
        <v>1005.46</v>
      </c>
      <c r="AI45" s="26">
        <f t="shared" si="496"/>
        <v>1254.4066666666665</v>
      </c>
      <c r="AJ45" s="368">
        <f t="shared" si="496"/>
        <v>1066.43</v>
      </c>
      <c r="AK45" s="27">
        <f t="shared" si="496"/>
        <v>2365.7106944444445</v>
      </c>
      <c r="AL45" s="27">
        <f t="shared" si="496"/>
        <v>2343.3084722222225</v>
      </c>
      <c r="AM45" s="405">
        <f t="shared" si="496"/>
        <v>2485.2595833333335</v>
      </c>
      <c r="AN45" s="27">
        <f t="shared" si="496"/>
        <v>1046.6111111111111</v>
      </c>
      <c r="AO45" s="27">
        <f t="shared" si="496"/>
        <v>1172.4971957671953</v>
      </c>
      <c r="AP45" s="27">
        <f t="shared" si="496"/>
        <v>1048.1716402116399</v>
      </c>
      <c r="AQ45" s="27">
        <f t="shared" si="496"/>
        <v>1081.5049735449732</v>
      </c>
      <c r="AR45" s="27">
        <f t="shared" ref="AR45:BW45" si="497">+AVERAGE(AP91:AR91)</f>
        <v>973.78608695652099</v>
      </c>
      <c r="AS45" s="27">
        <f t="shared" si="497"/>
        <v>973.78608695652099</v>
      </c>
      <c r="AT45" s="27">
        <f t="shared" si="497"/>
        <v>1189.6194202898539</v>
      </c>
      <c r="AU45" s="27">
        <f t="shared" si="497"/>
        <v>2305.9584051036672</v>
      </c>
      <c r="AV45" s="27">
        <f t="shared" si="497"/>
        <v>2783.367702155821</v>
      </c>
      <c r="AW45" s="27">
        <f t="shared" si="497"/>
        <v>4196.4697381406695</v>
      </c>
      <c r="AX45" s="27">
        <f t="shared" si="497"/>
        <v>2937.6379997036688</v>
      </c>
      <c r="AY45" s="405">
        <f t="shared" si="497"/>
        <v>2460.2287026515151</v>
      </c>
      <c r="AZ45" s="27">
        <f t="shared" si="497"/>
        <v>982.75400000000002</v>
      </c>
      <c r="BA45" s="27">
        <f t="shared" si="497"/>
        <v>2086.1072592592573</v>
      </c>
      <c r="BB45" s="27">
        <f t="shared" si="497"/>
        <v>2176.8115767195727</v>
      </c>
      <c r="BC45" s="27">
        <f t="shared" si="497"/>
        <v>2910.3992237783946</v>
      </c>
      <c r="BD45" s="27">
        <f t="shared" si="497"/>
        <v>2755.5588050988458</v>
      </c>
      <c r="BE45" s="27">
        <f t="shared" si="497"/>
        <v>2694.94848763853</v>
      </c>
      <c r="BF45" s="27">
        <f t="shared" si="497"/>
        <v>3323.5296587615235</v>
      </c>
      <c r="BG45" s="27">
        <f t="shared" si="497"/>
        <v>5056.51133652312</v>
      </c>
      <c r="BH45" s="27">
        <f t="shared" si="497"/>
        <v>6582.0385474074692</v>
      </c>
      <c r="BI45" s="27">
        <f t="shared" si="497"/>
        <v>8208.7525125589837</v>
      </c>
      <c r="BJ45" s="27">
        <f t="shared" si="497"/>
        <v>6318.468660884344</v>
      </c>
      <c r="BK45" s="405">
        <f t="shared" si="497"/>
        <v>5966.4081166666574</v>
      </c>
      <c r="BL45" s="27">
        <f t="shared" si="497"/>
        <v>3240.134403333328</v>
      </c>
      <c r="BM45" s="27">
        <f t="shared" si="497"/>
        <v>4851.0268329629544</v>
      </c>
      <c r="BN45" s="27">
        <f t="shared" si="497"/>
        <v>4779.2915377248601</v>
      </c>
      <c r="BO45" s="27">
        <f t="shared" si="497"/>
        <v>6697.4817529601496</v>
      </c>
      <c r="BP45" s="27">
        <f t="shared" si="497"/>
        <v>6494.3247320261726</v>
      </c>
      <c r="BQ45" s="27">
        <f t="shared" si="497"/>
        <v>5896.1047717087131</v>
      </c>
      <c r="BR45" s="27">
        <f t="shared" si="497"/>
        <v>6611.8657731734174</v>
      </c>
      <c r="BS45" s="27">
        <f t="shared" si="497"/>
        <v>9398.424743425132</v>
      </c>
      <c r="BT45" s="27">
        <f t="shared" si="497"/>
        <v>11935.828853402454</v>
      </c>
      <c r="BU45" s="27">
        <f t="shared" si="497"/>
        <v>14085.241812299726</v>
      </c>
      <c r="BV45" s="27">
        <f t="shared" si="497"/>
        <v>11273.72023335236</v>
      </c>
      <c r="BW45" s="405">
        <f t="shared" si="497"/>
        <v>10745.104178930591</v>
      </c>
      <c r="BX45" s="27">
        <f t="shared" ref="BX45" si="498">+AVERAGE(BV91:BX91)</f>
        <v>7146.6302189069893</v>
      </c>
      <c r="BY45" s="27">
        <f t="shared" ref="BY45:DG45" si="499">+AVERAGE(BW91:BY91)</f>
        <v>9544.7898011292054</v>
      </c>
      <c r="BZ45" s="27">
        <f t="shared" si="499"/>
        <v>9426.1398119228561</v>
      </c>
      <c r="CA45" s="27">
        <f t="shared" si="499"/>
        <v>11602.087647296619</v>
      </c>
      <c r="CB45" s="27">
        <f t="shared" si="499"/>
        <v>11565.548091741062</v>
      </c>
      <c r="CC45" s="27">
        <f t="shared" si="499"/>
        <v>10720.85760761408</v>
      </c>
      <c r="CD45" s="27">
        <f t="shared" si="499"/>
        <v>11960.411576792603</v>
      </c>
      <c r="CE45" s="27">
        <f t="shared" si="499"/>
        <v>15720.659055261494</v>
      </c>
      <c r="CF45" s="27">
        <f t="shared" si="499"/>
        <v>18956.045840975781</v>
      </c>
      <c r="CG45" s="27">
        <f t="shared" si="499"/>
        <v>22703.625633988373</v>
      </c>
      <c r="CH45" s="27">
        <f t="shared" si="499"/>
        <v>18340.037488852817</v>
      </c>
      <c r="CI45" s="405">
        <f t="shared" si="499"/>
        <v>17411.562536471862</v>
      </c>
      <c r="CJ45" s="27">
        <f t="shared" si="499"/>
        <v>12358.48164987663</v>
      </c>
      <c r="CK45" s="27">
        <f t="shared" si="499"/>
        <v>15248.109573940115</v>
      </c>
      <c r="CL45" s="27">
        <f t="shared" si="499"/>
        <v>15360.788018638525</v>
      </c>
      <c r="CM45" s="27">
        <f t="shared" si="499"/>
        <v>18437.553643139196</v>
      </c>
      <c r="CN45" s="27">
        <f t="shared" si="499"/>
        <v>18866.693351075704</v>
      </c>
      <c r="CO45" s="27">
        <f t="shared" si="499"/>
        <v>17746.21558837729</v>
      </c>
      <c r="CP45" s="27">
        <f t="shared" si="499"/>
        <v>19531.41699716404</v>
      </c>
      <c r="CQ45" s="27">
        <f t="shared" si="499"/>
        <v>24817.440500513312</v>
      </c>
      <c r="CR45" s="27">
        <f t="shared" si="499"/>
        <v>29165.909833279748</v>
      </c>
      <c r="CS45" s="27">
        <f t="shared" si="499"/>
        <v>34646.221126305238</v>
      </c>
      <c r="CT45" s="27">
        <f t="shared" si="499"/>
        <v>28484.729022955973</v>
      </c>
      <c r="CU45" s="405">
        <f t="shared" si="499"/>
        <v>27581.963840189535</v>
      </c>
      <c r="CV45" s="27">
        <f t="shared" si="499"/>
        <v>19828.637525993341</v>
      </c>
      <c r="CW45" s="27">
        <f t="shared" si="499"/>
        <v>23850.60832904941</v>
      </c>
      <c r="CX45" s="27">
        <f t="shared" si="499"/>
        <v>23609.32790078274</v>
      </c>
      <c r="CY45" s="27">
        <f t="shared" si="499"/>
        <v>28417.191117275401</v>
      </c>
      <c r="CZ45" s="27">
        <f t="shared" si="499"/>
        <v>29002.219512619315</v>
      </c>
      <c r="DA45" s="27">
        <f t="shared" si="499"/>
        <v>27460.183459285981</v>
      </c>
      <c r="DB45" s="27">
        <f t="shared" si="499"/>
        <v>30023.402336215793</v>
      </c>
      <c r="DC45" s="27">
        <f t="shared" si="499"/>
        <v>36582.635280777176</v>
      </c>
      <c r="DD45" s="27">
        <f t="shared" si="499"/>
        <v>43642.247995062877</v>
      </c>
      <c r="DE45" s="27">
        <f t="shared" si="499"/>
        <v>50842.476471806884</v>
      </c>
      <c r="DF45" s="27">
        <f t="shared" si="499"/>
        <v>42547.949267245502</v>
      </c>
      <c r="DG45" s="28">
        <f t="shared" si="499"/>
        <v>41215.029872959785</v>
      </c>
    </row>
    <row r="46" spans="1:111" ht="18" x14ac:dyDescent="0.3">
      <c r="A46" s="36"/>
      <c r="B46" s="36"/>
      <c r="C46" s="594" t="s">
        <v>234</v>
      </c>
      <c r="D46" s="26"/>
      <c r="E46" s="26"/>
      <c r="F46" s="26"/>
      <c r="G46" s="26"/>
      <c r="H46" s="26"/>
      <c r="I46" s="26"/>
      <c r="J46" s="26"/>
      <c r="K46" s="189"/>
      <c r="L46" s="189">
        <f t="shared" ref="L46:T46" si="500">+L44/L45</f>
        <v>15.675213675213675</v>
      </c>
      <c r="M46" s="189">
        <f t="shared" si="500"/>
        <v>3.2049395587230771</v>
      </c>
      <c r="N46" s="189">
        <f t="shared" si="500"/>
        <v>5.3569363649196466</v>
      </c>
      <c r="O46" s="189">
        <f t="shared" si="500"/>
        <v>6.244556816470844</v>
      </c>
      <c r="P46" s="189">
        <f t="shared" si="500"/>
        <v>8.2294537697497372</v>
      </c>
      <c r="Q46" s="189">
        <f t="shared" si="500"/>
        <v>8.9621424516115589</v>
      </c>
      <c r="R46" s="189">
        <f t="shared" si="500"/>
        <v>5.314926384791872</v>
      </c>
      <c r="S46" s="189">
        <f t="shared" si="500"/>
        <v>5.9448749915463699</v>
      </c>
      <c r="T46" s="189">
        <f t="shared" si="500"/>
        <v>5.1177108876848729</v>
      </c>
      <c r="U46" s="190">
        <f t="shared" ref="U46:CF46" si="501">+U44/U45</f>
        <v>3.4216100601488111</v>
      </c>
      <c r="V46" s="190">
        <f t="shared" si="501"/>
        <v>4.3245750561484391</v>
      </c>
      <c r="W46" s="190">
        <f t="shared" si="501"/>
        <v>6.4728730839684419</v>
      </c>
      <c r="X46" s="190">
        <f t="shared" ref="X46:Y46" si="502">+X44/X45</f>
        <v>5.8492893795919505</v>
      </c>
      <c r="Y46" s="190">
        <f t="shared" si="502"/>
        <v>3.0660856436320314</v>
      </c>
      <c r="Z46" s="190">
        <f t="shared" ref="Z46:AA46" si="503">+Z44/Z45</f>
        <v>2.5504148493462426</v>
      </c>
      <c r="AA46" s="190">
        <f t="shared" si="503"/>
        <v>2.8173646246465522</v>
      </c>
      <c r="AB46" s="190">
        <f t="shared" ref="AB46" si="504">+AB44/AB45</f>
        <v>6.3018989164022248</v>
      </c>
      <c r="AC46" s="190">
        <f t="shared" ref="AC46:AD46" si="505">+AC44/AC45</f>
        <v>0.91010529857329359</v>
      </c>
      <c r="AD46" s="190">
        <f t="shared" si="505"/>
        <v>1.0171891605756318</v>
      </c>
      <c r="AE46" s="190">
        <f t="shared" ref="AE46" si="506">+AE44/AE45</f>
        <v>0.30938747404522926</v>
      </c>
      <c r="AF46" s="190">
        <f t="shared" ref="AF46" si="507">+AF44/AF45</f>
        <v>0.43803418394730098</v>
      </c>
      <c r="AG46" s="190">
        <f>+AG44/AG45</f>
        <v>0.2977980405203155</v>
      </c>
      <c r="AH46" s="190">
        <f>+AH44/AH45</f>
        <v>0.56301602625600133</v>
      </c>
      <c r="AI46" s="190">
        <f>+AI44/AI45</f>
        <v>0.7308961244407457</v>
      </c>
      <c r="AJ46" s="371">
        <f>+AJ44/AJ45</f>
        <v>1.1354224850336894</v>
      </c>
      <c r="AK46" s="191">
        <f t="shared" ref="AK46" si="508">+AK44/AK45</f>
        <v>0.44603395521602279</v>
      </c>
      <c r="AL46" s="191">
        <f t="shared" si="501"/>
        <v>0.25801658185124887</v>
      </c>
      <c r="AM46" s="408">
        <f t="shared" si="501"/>
        <v>0.12100456689813767</v>
      </c>
      <c r="AN46" s="191">
        <f t="shared" si="501"/>
        <v>0.21745813436536698</v>
      </c>
      <c r="AO46" s="191">
        <f t="shared" si="501"/>
        <v>0.27698507584742099</v>
      </c>
      <c r="AP46" s="191">
        <f t="shared" si="501"/>
        <v>0.33914004747609355</v>
      </c>
      <c r="AQ46" s="191">
        <f t="shared" si="501"/>
        <v>0.38894803509181586</v>
      </c>
      <c r="AR46" s="191">
        <f t="shared" si="501"/>
        <v>0.38222765357622523</v>
      </c>
      <c r="AS46" s="191">
        <f t="shared" si="501"/>
        <v>0.34115760097800435</v>
      </c>
      <c r="AT46" s="191">
        <f t="shared" si="501"/>
        <v>0.35103975976007273</v>
      </c>
      <c r="AU46" s="191">
        <f t="shared" si="501"/>
        <v>0.25815046454382529</v>
      </c>
      <c r="AV46" s="191">
        <f t="shared" si="501"/>
        <v>0.29320894712269213</v>
      </c>
      <c r="AW46" s="191">
        <f t="shared" si="501"/>
        <v>0.17602402804953113</v>
      </c>
      <c r="AX46" s="191">
        <f t="shared" si="501"/>
        <v>0.17822485364173449</v>
      </c>
      <c r="AY46" s="408">
        <f t="shared" si="501"/>
        <v>0.14146380616525372</v>
      </c>
      <c r="AZ46" s="191">
        <f t="shared" si="501"/>
        <v>0.28027767730341629</v>
      </c>
      <c r="BA46" s="191">
        <f t="shared" si="501"/>
        <v>0.15303955826063886</v>
      </c>
      <c r="BB46" s="191">
        <f t="shared" si="501"/>
        <v>0.15355670526898002</v>
      </c>
      <c r="BC46" s="191">
        <f t="shared" si="501"/>
        <v>0.12648383381161135</v>
      </c>
      <c r="BD46" s="191">
        <f t="shared" si="501"/>
        <v>0.11796589431277436</v>
      </c>
      <c r="BE46" s="191">
        <f t="shared" si="501"/>
        <v>0.10603110017059757</v>
      </c>
      <c r="BF46" s="191">
        <f t="shared" si="501"/>
        <v>0.10427099945512745</v>
      </c>
      <c r="BG46" s="191">
        <f t="shared" si="501"/>
        <v>9.7937471185145661E-2</v>
      </c>
      <c r="BH46" s="191">
        <f t="shared" si="501"/>
        <v>9.6564525401042253E-2</v>
      </c>
      <c r="BI46" s="191">
        <f t="shared" si="501"/>
        <v>7.0740990615686145E-2</v>
      </c>
      <c r="BJ46" s="191">
        <f t="shared" si="501"/>
        <v>6.7886856699643311E-2</v>
      </c>
      <c r="BK46" s="408">
        <f t="shared" si="501"/>
        <v>4.7697257568722826E-2</v>
      </c>
      <c r="BL46" s="191">
        <f t="shared" si="501"/>
        <v>7.7628581463286953E-2</v>
      </c>
      <c r="BM46" s="191">
        <f t="shared" si="501"/>
        <v>5.4451359272861669E-2</v>
      </c>
      <c r="BN46" s="191">
        <f t="shared" si="501"/>
        <v>5.7738869240971061E-2</v>
      </c>
      <c r="BO46" s="191">
        <f t="shared" si="501"/>
        <v>4.0968362953965047E-2</v>
      </c>
      <c r="BP46" s="191">
        <f t="shared" si="501"/>
        <v>3.7018411966400502E-2</v>
      </c>
      <c r="BQ46" s="191">
        <f t="shared" si="501"/>
        <v>3.7727050976711515E-2</v>
      </c>
      <c r="BR46" s="191">
        <f t="shared" si="501"/>
        <v>4.0382133868224174E-2</v>
      </c>
      <c r="BS46" s="191">
        <f t="shared" si="501"/>
        <v>4.2537879000045596E-2</v>
      </c>
      <c r="BT46" s="191">
        <f t="shared" si="501"/>
        <v>4.260308303047191E-2</v>
      </c>
      <c r="BU46" s="191">
        <f t="shared" si="501"/>
        <v>3.3683436323933655E-2</v>
      </c>
      <c r="BV46" s="191">
        <f t="shared" si="501"/>
        <v>3.0263629819204323E-2</v>
      </c>
      <c r="BW46" s="408">
        <f t="shared" si="501"/>
        <v>2.0320745420215326E-2</v>
      </c>
      <c r="BX46" s="191">
        <f t="shared" si="501"/>
        <v>2.5933983956232379E-2</v>
      </c>
      <c r="BY46" s="191">
        <f t="shared" si="501"/>
        <v>2.071904893175484E-2</v>
      </c>
      <c r="BZ46" s="191">
        <f t="shared" si="501"/>
        <v>2.1972504208259431E-2</v>
      </c>
      <c r="CA46" s="191">
        <f t="shared" si="501"/>
        <v>1.7821805899683917E-2</v>
      </c>
      <c r="CB46" s="191">
        <f t="shared" si="501"/>
        <v>1.5577869169779327E-2</v>
      </c>
      <c r="CC46" s="191">
        <f t="shared" si="501"/>
        <v>1.5521139827608995E-2</v>
      </c>
      <c r="CD46" s="191">
        <f t="shared" si="501"/>
        <v>1.6836268943088865E-2</v>
      </c>
      <c r="CE46" s="191">
        <f t="shared" si="501"/>
        <v>2.0521555359508288E-2</v>
      </c>
      <c r="CF46" s="191">
        <f t="shared" si="501"/>
        <v>2.1975275649135873E-2</v>
      </c>
      <c r="CG46" s="191">
        <f t="shared" ref="CG46:DG46" si="509">+CG44/CG45</f>
        <v>1.7699555699842971E-2</v>
      </c>
      <c r="CH46" s="191">
        <f t="shared" si="509"/>
        <v>1.5180424183468724E-2</v>
      </c>
      <c r="CI46" s="408">
        <f t="shared" si="509"/>
        <v>9.891449700945654E-3</v>
      </c>
      <c r="CJ46" s="191">
        <f t="shared" si="509"/>
        <v>1.0949717712412059E-2</v>
      </c>
      <c r="CK46" s="191">
        <f t="shared" si="509"/>
        <v>9.541715993753138E-3</v>
      </c>
      <c r="CL46" s="191">
        <f t="shared" si="509"/>
        <v>1.0019384946834443E-2</v>
      </c>
      <c r="CM46" s="191">
        <f t="shared" si="509"/>
        <v>8.5194839687439163E-3</v>
      </c>
      <c r="CN46" s="191">
        <f t="shared" si="509"/>
        <v>7.2614312819574301E-3</v>
      </c>
      <c r="CO46" s="191">
        <f t="shared" si="509"/>
        <v>7.1072123381011581E-3</v>
      </c>
      <c r="CP46" s="191">
        <f t="shared" si="509"/>
        <v>7.9990760478933585E-3</v>
      </c>
      <c r="CQ46" s="191">
        <f t="shared" si="509"/>
        <v>1.0772058176967454E-2</v>
      </c>
      <c r="CR46" s="191">
        <f t="shared" si="509"/>
        <v>1.2021138502661229E-2</v>
      </c>
      <c r="CS46" s="191">
        <f t="shared" si="509"/>
        <v>9.9663699963810897E-3</v>
      </c>
      <c r="CT46" s="191">
        <f t="shared" si="509"/>
        <v>8.1703679857014905E-3</v>
      </c>
      <c r="CU46" s="408">
        <f t="shared" si="509"/>
        <v>5.1405223680381319E-3</v>
      </c>
      <c r="CV46" s="191">
        <f t="shared" si="509"/>
        <v>5.041275042163478E-3</v>
      </c>
      <c r="CW46" s="191">
        <f t="shared" si="509"/>
        <v>4.6078809763049552E-3</v>
      </c>
      <c r="CX46" s="191">
        <f t="shared" si="509"/>
        <v>4.9061611404113362E-3</v>
      </c>
      <c r="CY46" s="191">
        <f t="shared" si="509"/>
        <v>4.3391042348333202E-3</v>
      </c>
      <c r="CZ46" s="191">
        <f t="shared" si="509"/>
        <v>3.6726641648477513E-3</v>
      </c>
      <c r="DA46" s="191">
        <f t="shared" si="509"/>
        <v>3.5665505456042423E-3</v>
      </c>
      <c r="DB46" s="191">
        <f t="shared" si="509"/>
        <v>4.1547264605025754E-3</v>
      </c>
      <c r="DC46" s="191">
        <f t="shared" si="509"/>
        <v>6.1107216233355719E-3</v>
      </c>
      <c r="DD46" s="191">
        <f t="shared" si="509"/>
        <v>7.0475031550833039E-3</v>
      </c>
      <c r="DE46" s="191">
        <f t="shared" si="509"/>
        <v>6.0323862060286384E-3</v>
      </c>
      <c r="DF46" s="191">
        <f t="shared" si="509"/>
        <v>4.8282894901138977E-3</v>
      </c>
      <c r="DG46" s="192">
        <f t="shared" si="509"/>
        <v>2.865456418106262E-3</v>
      </c>
    </row>
    <row r="47" spans="1:111" x14ac:dyDescent="0.3">
      <c r="A47" s="35"/>
      <c r="B47" s="35"/>
      <c r="C47" s="594" t="s">
        <v>235</v>
      </c>
      <c r="D47" s="26"/>
      <c r="E47" s="26"/>
      <c r="F47" s="26"/>
      <c r="G47" s="26"/>
      <c r="H47" s="26"/>
      <c r="I47" s="26"/>
      <c r="J47" s="26"/>
      <c r="K47" s="193"/>
      <c r="L47" s="193">
        <f t="shared" ref="L47:AQ47" si="510">+L45/(L41*L43)</f>
        <v>0.10305343511450382</v>
      </c>
      <c r="M47" s="193">
        <f t="shared" si="510"/>
        <v>1.3389505878049524</v>
      </c>
      <c r="N47" s="193">
        <f t="shared" si="510"/>
        <v>0.9684503977697696</v>
      </c>
      <c r="O47" s="193">
        <f t="shared" si="510"/>
        <v>0.56102794411177648</v>
      </c>
      <c r="P47" s="193">
        <f t="shared" si="510"/>
        <v>0.85986299070838978</v>
      </c>
      <c r="Q47" s="193">
        <f t="shared" si="510"/>
        <v>0.64525691400708418</v>
      </c>
      <c r="R47" s="193">
        <f t="shared" si="510"/>
        <v>0.7694821997657505</v>
      </c>
      <c r="S47" s="193">
        <f t="shared" si="510"/>
        <v>0.40164354503918909</v>
      </c>
      <c r="T47" s="193">
        <f t="shared" si="510"/>
        <v>0.56885837814383788</v>
      </c>
      <c r="U47" s="193">
        <f t="shared" si="510"/>
        <v>1.4749230633327841</v>
      </c>
      <c r="V47" s="193">
        <f t="shared" si="510"/>
        <v>0.37574879790017512</v>
      </c>
      <c r="W47" s="193">
        <f t="shared" si="510"/>
        <v>0.26286540832424615</v>
      </c>
      <c r="X47" s="193">
        <f t="shared" si="510"/>
        <v>0.49515335556577628</v>
      </c>
      <c r="Y47" s="193">
        <f t="shared" si="510"/>
        <v>1.1165043534971553</v>
      </c>
      <c r="Z47" s="193">
        <f t="shared" si="510"/>
        <v>1.9288255462762931</v>
      </c>
      <c r="AA47" s="193">
        <f t="shared" si="510"/>
        <v>2.2038286699875531</v>
      </c>
      <c r="AB47" s="193">
        <f t="shared" si="510"/>
        <v>0.34196340601577446</v>
      </c>
      <c r="AC47" s="193">
        <f t="shared" si="510"/>
        <v>2.3999832241688668</v>
      </c>
      <c r="AD47" s="193">
        <f t="shared" si="510"/>
        <v>3.6144720812783122</v>
      </c>
      <c r="AE47" s="193">
        <f>+AE45/(AE41*AE43)</f>
        <v>17.033214594127813</v>
      </c>
      <c r="AF47" s="193">
        <f t="shared" si="510"/>
        <v>3.752483194612692</v>
      </c>
      <c r="AG47" s="193">
        <f t="shared" si="510"/>
        <v>10.407938904442911</v>
      </c>
      <c r="AH47" s="193">
        <f t="shared" ref="AH47" si="511">+AH45/(AH41*AH43)</f>
        <v>4.777190206726817</v>
      </c>
      <c r="AI47" s="193">
        <f t="shared" ref="AI47:AJ47" si="512">+AI45/(AI41*AI43)</f>
        <v>4.0482119937199954</v>
      </c>
      <c r="AJ47" s="372">
        <f t="shared" si="512"/>
        <v>5.3070111934064705</v>
      </c>
      <c r="AK47" s="194">
        <f t="shared" ref="AK47" si="513">+AK45/(AK41*AK43)</f>
        <v>21.773333850587189</v>
      </c>
      <c r="AL47" s="194">
        <f t="shared" si="510"/>
        <v>26.909416896120163</v>
      </c>
      <c r="AM47" s="409">
        <f t="shared" si="510"/>
        <v>26.361281405627061</v>
      </c>
      <c r="AN47" s="194">
        <f t="shared" si="510"/>
        <v>19.790844906757552</v>
      </c>
      <c r="AO47" s="194">
        <f t="shared" si="510"/>
        <v>6.3078869024143751</v>
      </c>
      <c r="AP47" s="194">
        <f t="shared" si="510"/>
        <v>9.3834524078828991</v>
      </c>
      <c r="AQ47" s="194">
        <f t="shared" si="510"/>
        <v>8.2978221536440024</v>
      </c>
      <c r="AR47" s="194">
        <f t="shared" ref="AR47:BW47" si="514">+AR45/(AR41*AR43)</f>
        <v>5.5724126736502564</v>
      </c>
      <c r="AS47" s="194">
        <f t="shared" si="514"/>
        <v>10.766117948343648</v>
      </c>
      <c r="AT47" s="194">
        <f t="shared" si="514"/>
        <v>7.8798684822192042</v>
      </c>
      <c r="AU47" s="194">
        <f t="shared" si="514"/>
        <v>12.618199084541983</v>
      </c>
      <c r="AV47" s="194">
        <f t="shared" si="514"/>
        <v>18.181890317401248</v>
      </c>
      <c r="AW47" s="194">
        <f t="shared" si="514"/>
        <v>38.623449531750616</v>
      </c>
      <c r="AX47" s="194">
        <f t="shared" si="514"/>
        <v>30.179845770962171</v>
      </c>
      <c r="AY47" s="409">
        <f t="shared" si="514"/>
        <v>18.251555025624487</v>
      </c>
      <c r="AZ47" s="194">
        <f t="shared" si="514"/>
        <v>18.375067150266169</v>
      </c>
      <c r="BA47" s="194">
        <f t="shared" si="514"/>
        <v>14.350448177821894</v>
      </c>
      <c r="BB47" s="194">
        <f t="shared" si="514"/>
        <v>16.551590166410421</v>
      </c>
      <c r="BC47" s="194">
        <f t="shared" si="514"/>
        <v>30.676463960821703</v>
      </c>
      <c r="BD47" s="194">
        <f t="shared" si="514"/>
        <v>21.129054507601118</v>
      </c>
      <c r="BE47" s="194">
        <f t="shared" si="514"/>
        <v>23.247047860437025</v>
      </c>
      <c r="BF47" s="194">
        <f t="shared" si="514"/>
        <v>30.529914255886034</v>
      </c>
      <c r="BG47" s="194">
        <f t="shared" si="514"/>
        <v>34.753070892514849</v>
      </c>
      <c r="BH47" s="194">
        <f t="shared" si="514"/>
        <v>53.835056256749318</v>
      </c>
      <c r="BI47" s="194">
        <f t="shared" si="514"/>
        <v>103.66345139421026</v>
      </c>
      <c r="BJ47" s="194">
        <f t="shared" si="514"/>
        <v>66.351809739291653</v>
      </c>
      <c r="BK47" s="409">
        <f t="shared" si="514"/>
        <v>57.947796759775116</v>
      </c>
      <c r="BL47" s="194">
        <f t="shared" si="514"/>
        <v>53.223040840031736</v>
      </c>
      <c r="BM47" s="194">
        <f t="shared" si="514"/>
        <v>42.894684729937069</v>
      </c>
      <c r="BN47" s="194">
        <f t="shared" si="514"/>
        <v>47.417454326525693</v>
      </c>
      <c r="BO47" s="194">
        <f t="shared" si="514"/>
        <v>108.40354899722078</v>
      </c>
      <c r="BP47" s="194">
        <f t="shared" si="514"/>
        <v>64.376909119652751</v>
      </c>
      <c r="BQ47" s="194">
        <f t="shared" si="514"/>
        <v>56.90917748148599</v>
      </c>
      <c r="BR47" s="194">
        <f t="shared" si="514"/>
        <v>88.550034917837522</v>
      </c>
      <c r="BS47" s="194">
        <f t="shared" si="514"/>
        <v>76.639433696978031</v>
      </c>
      <c r="BT47" s="194">
        <f t="shared" si="514"/>
        <v>118.65392655180182</v>
      </c>
      <c r="BU47" s="194">
        <f t="shared" si="514"/>
        <v>244.80950903892546</v>
      </c>
      <c r="BV47" s="194">
        <f t="shared" si="514"/>
        <v>149.51943548642021</v>
      </c>
      <c r="BW47" s="409">
        <f t="shared" si="514"/>
        <v>134.07191982610718</v>
      </c>
      <c r="BX47" s="194">
        <f t="shared" ref="BX47:DG47" si="515">+BX45/(BX41*BX43)</f>
        <v>208.27330585299612</v>
      </c>
      <c r="BY47" s="194">
        <f t="shared" si="515"/>
        <v>103.88033627687039</v>
      </c>
      <c r="BZ47" s="194">
        <f t="shared" si="515"/>
        <v>119.89720756948553</v>
      </c>
      <c r="CA47" s="194">
        <f t="shared" si="515"/>
        <v>327.35216250390459</v>
      </c>
      <c r="CB47" s="194">
        <f t="shared" si="515"/>
        <v>139.05982517019291</v>
      </c>
      <c r="CC47" s="194">
        <f t="shared" si="515"/>
        <v>132.17045601895518</v>
      </c>
      <c r="CD47" s="194">
        <f t="shared" si="515"/>
        <v>239.26149574833059</v>
      </c>
      <c r="CE47" s="194">
        <f t="shared" si="515"/>
        <v>145.86419239508928</v>
      </c>
      <c r="CF47" s="194">
        <f t="shared" si="515"/>
        <v>227.46234122770915</v>
      </c>
      <c r="CG47" s="194">
        <f t="shared" si="515"/>
        <v>495.98861677796208</v>
      </c>
      <c r="CH47" s="194">
        <f t="shared" si="515"/>
        <v>303.02661842551174</v>
      </c>
      <c r="CI47" s="409">
        <f t="shared" si="515"/>
        <v>283.47260287031253</v>
      </c>
      <c r="CJ47" s="194">
        <f t="shared" si="515"/>
        <v>794.35636265121479</v>
      </c>
      <c r="CK47" s="194">
        <f t="shared" si="515"/>
        <v>206.19733303955832</v>
      </c>
      <c r="CL47" s="194">
        <f t="shared" si="515"/>
        <v>249.91549579928426</v>
      </c>
      <c r="CM47" s="194">
        <f t="shared" si="515"/>
        <v>926.22039440285153</v>
      </c>
      <c r="CN47" s="194">
        <f t="shared" si="515"/>
        <v>275.23936688642249</v>
      </c>
      <c r="CO47" s="194">
        <f t="shared" si="515"/>
        <v>280.43545876914192</v>
      </c>
      <c r="CP47" s="194">
        <f t="shared" si="515"/>
        <v>541.98083269219671</v>
      </c>
      <c r="CQ47" s="194">
        <f t="shared" si="515"/>
        <v>260.78663887906123</v>
      </c>
      <c r="CR47" s="194">
        <f t="shared" si="515"/>
        <v>415.55078278422252</v>
      </c>
      <c r="CS47" s="194">
        <f t="shared" si="515"/>
        <v>917.61832180263661</v>
      </c>
      <c r="CT47" s="194">
        <f t="shared" si="515"/>
        <v>567.5231637930757</v>
      </c>
      <c r="CU47" s="409">
        <f t="shared" si="515"/>
        <v>551.38887306675736</v>
      </c>
      <c r="CV47" s="194">
        <f t="shared" si="515"/>
        <v>72577.774963063654</v>
      </c>
      <c r="CW47" s="194">
        <f t="shared" si="515"/>
        <v>379.94342108709066</v>
      </c>
      <c r="CX47" s="194">
        <f t="shared" si="515"/>
        <v>480.27102790988721</v>
      </c>
      <c r="CY47" s="194">
        <f t="shared" si="515"/>
        <v>3193.7424223529097</v>
      </c>
      <c r="CZ47" s="194">
        <f t="shared" si="515"/>
        <v>495.79551179143118</v>
      </c>
      <c r="DA47" s="194">
        <f t="shared" si="515"/>
        <v>541.02450364732806</v>
      </c>
      <c r="DB47" s="194">
        <f t="shared" si="515"/>
        <v>1143.4626631803619</v>
      </c>
      <c r="DC47" s="194">
        <f t="shared" si="515"/>
        <v>438.23826086187893</v>
      </c>
      <c r="DD47" s="194">
        <f t="shared" si="515"/>
        <v>669.09137898687368</v>
      </c>
      <c r="DE47" s="194">
        <f t="shared" si="515"/>
        <v>1683.3423235031812</v>
      </c>
      <c r="DF47" s="194">
        <f t="shared" si="515"/>
        <v>1019.5334722246778</v>
      </c>
      <c r="DG47" s="195">
        <f t="shared" si="515"/>
        <v>951.41573966631813</v>
      </c>
    </row>
    <row r="48" spans="1:111" s="3" customFormat="1" ht="15" thickBot="1" x14ac:dyDescent="0.35">
      <c r="A48" s="140"/>
      <c r="B48" s="140"/>
      <c r="C48" s="595" t="s">
        <v>65</v>
      </c>
      <c r="D48" s="141"/>
      <c r="E48" s="142">
        <f t="shared" ref="E48:AG48" si="516">+E24/8</f>
        <v>5.4824561403508769E-4</v>
      </c>
      <c r="F48" s="142">
        <f t="shared" si="516"/>
        <v>6.793478260869565E-4</v>
      </c>
      <c r="G48" s="142">
        <f t="shared" si="516"/>
        <v>8.5034013605442174E-4</v>
      </c>
      <c r="H48" s="142">
        <f t="shared" si="516"/>
        <v>5.9523809523809518E-4</v>
      </c>
      <c r="I48" s="142">
        <f t="shared" si="516"/>
        <v>4.3706293706293706E-4</v>
      </c>
      <c r="J48" s="142">
        <f t="shared" si="516"/>
        <v>5.6818181818181826E-4</v>
      </c>
      <c r="K48" s="142">
        <f t="shared" si="516"/>
        <v>8.152173913043478E-3</v>
      </c>
      <c r="L48" s="142">
        <f t="shared" si="516"/>
        <v>1.3558201058201057E-2</v>
      </c>
      <c r="M48" s="142">
        <f t="shared" si="516"/>
        <v>2.0045518207282915E-2</v>
      </c>
      <c r="N48" s="142">
        <f t="shared" si="516"/>
        <v>1.6774891774891776E-2</v>
      </c>
      <c r="O48" s="142">
        <f t="shared" si="516"/>
        <v>1.2755102040816327E-2</v>
      </c>
      <c r="P48" s="142">
        <f t="shared" si="516"/>
        <v>1.3060515873015871E-2</v>
      </c>
      <c r="Q48" s="142">
        <f t="shared" si="516"/>
        <v>1.3980263157894737E-2</v>
      </c>
      <c r="R48" s="142">
        <f t="shared" si="516"/>
        <v>1.141304347826087E-2</v>
      </c>
      <c r="S48" s="142">
        <f t="shared" si="516"/>
        <v>1.6294642857142858E-2</v>
      </c>
      <c r="T48" s="142">
        <f t="shared" si="516"/>
        <v>2.6672979797979796E-2</v>
      </c>
      <c r="U48" s="142">
        <f t="shared" si="516"/>
        <v>1.8356643356643356E-2</v>
      </c>
      <c r="V48" s="142">
        <f t="shared" si="516"/>
        <v>2.4804687499999999E-2</v>
      </c>
      <c r="W48" s="142">
        <f t="shared" si="516"/>
        <v>2.4098970251716246E-2</v>
      </c>
      <c r="X48" s="142">
        <f t="shared" si="516"/>
        <v>2.8125000000000001E-2</v>
      </c>
      <c r="Y48" s="142">
        <f t="shared" si="516"/>
        <v>2.4192116477272728E-2</v>
      </c>
      <c r="Z48" s="142">
        <f t="shared" si="516"/>
        <v>1.6406250000000001E-2</v>
      </c>
      <c r="AA48" s="142">
        <f t="shared" si="516"/>
        <v>1.1945983379501385E-2</v>
      </c>
      <c r="AB48" s="142">
        <f t="shared" si="516"/>
        <v>1.5980113636363636E-2</v>
      </c>
      <c r="AC48" s="142">
        <f t="shared" si="516"/>
        <v>2.9563492063492063E-2</v>
      </c>
      <c r="AD48" s="142">
        <f t="shared" si="516"/>
        <v>1.7931547619047618E-2</v>
      </c>
      <c r="AE48" s="142">
        <f t="shared" si="516"/>
        <v>2.3312165775401069E-2</v>
      </c>
      <c r="AF48" s="142">
        <f t="shared" si="516"/>
        <v>2.4320652173913042E-2</v>
      </c>
      <c r="AG48" s="142">
        <f t="shared" si="516"/>
        <v>1.5494791666666667E-2</v>
      </c>
      <c r="AH48" s="142">
        <f t="shared" ref="AH48" si="517">+AH24/8</f>
        <v>2.5710227272727273E-2</v>
      </c>
      <c r="AI48" s="142">
        <f t="shared" ref="AI48:AJ48" si="518">+AI24/8</f>
        <v>3.3156399521531099E-2</v>
      </c>
      <c r="AJ48" s="373">
        <f t="shared" si="518"/>
        <v>2.0301870748299318E-2</v>
      </c>
      <c r="AK48" s="142">
        <f t="shared" ref="AK48" si="519">+AK24/8</f>
        <v>2.4192116477272728E-2</v>
      </c>
      <c r="AL48" s="142">
        <f t="shared" ref="AL48:BP48" si="520">+AL24/8</f>
        <v>1.6406250000000001E-2</v>
      </c>
      <c r="AM48" s="373">
        <f t="shared" si="520"/>
        <v>1.8749999999999999E-2</v>
      </c>
      <c r="AN48" s="142">
        <f t="shared" si="520"/>
        <v>1.5980113636363636E-2</v>
      </c>
      <c r="AO48" s="142">
        <f t="shared" si="520"/>
        <v>2.9563492063492063E-2</v>
      </c>
      <c r="AP48" s="142">
        <f t="shared" si="520"/>
        <v>1.7931547619047618E-2</v>
      </c>
      <c r="AQ48" s="142">
        <f t="shared" si="520"/>
        <v>2.3312165775401069E-2</v>
      </c>
      <c r="AR48" s="142">
        <f t="shared" si="520"/>
        <v>2.4320652173913042E-2</v>
      </c>
      <c r="AS48" s="142">
        <f t="shared" si="520"/>
        <v>1.5494791666666667E-2</v>
      </c>
      <c r="AT48" s="142">
        <f t="shared" si="520"/>
        <v>2.5710227272727273E-2</v>
      </c>
      <c r="AU48" s="142">
        <f t="shared" si="520"/>
        <v>3.3156399521531099E-2</v>
      </c>
      <c r="AV48" s="142">
        <f t="shared" si="520"/>
        <v>2.0301870748299318E-2</v>
      </c>
      <c r="AW48" s="142">
        <f t="shared" si="520"/>
        <v>2.4192116477272728E-2</v>
      </c>
      <c r="AX48" s="142">
        <f t="shared" si="520"/>
        <v>1.6406250000000001E-2</v>
      </c>
      <c r="AY48" s="373">
        <f t="shared" si="520"/>
        <v>1.8749999999999999E-2</v>
      </c>
      <c r="AZ48" s="142">
        <f t="shared" si="520"/>
        <v>1.5980113636363636E-2</v>
      </c>
      <c r="BA48" s="142">
        <f t="shared" si="520"/>
        <v>2.9563492063492063E-2</v>
      </c>
      <c r="BB48" s="142">
        <f t="shared" si="520"/>
        <v>1.7931547619047618E-2</v>
      </c>
      <c r="BC48" s="142">
        <f t="shared" si="520"/>
        <v>2.3312165775401069E-2</v>
      </c>
      <c r="BD48" s="142">
        <f t="shared" si="520"/>
        <v>2.4320652173913042E-2</v>
      </c>
      <c r="BE48" s="142">
        <f t="shared" si="520"/>
        <v>1.5494791666666667E-2</v>
      </c>
      <c r="BF48" s="142">
        <f t="shared" si="520"/>
        <v>2.5710227272727273E-2</v>
      </c>
      <c r="BG48" s="142">
        <f t="shared" si="520"/>
        <v>3.3156399521531099E-2</v>
      </c>
      <c r="BH48" s="142">
        <f t="shared" si="520"/>
        <v>2.0301870748299318E-2</v>
      </c>
      <c r="BI48" s="142">
        <f t="shared" si="520"/>
        <v>2.4192116477272728E-2</v>
      </c>
      <c r="BJ48" s="142">
        <f t="shared" si="520"/>
        <v>1.6406250000000001E-2</v>
      </c>
      <c r="BK48" s="373">
        <f t="shared" si="520"/>
        <v>1.8749999999999999E-2</v>
      </c>
      <c r="BL48" s="142">
        <f t="shared" si="520"/>
        <v>1.5980113636363636E-2</v>
      </c>
      <c r="BM48" s="142">
        <f t="shared" si="520"/>
        <v>2.9563492063492063E-2</v>
      </c>
      <c r="BN48" s="142">
        <f t="shared" si="520"/>
        <v>1.7931547619047618E-2</v>
      </c>
      <c r="BO48" s="142">
        <f t="shared" si="520"/>
        <v>2.3312165775401069E-2</v>
      </c>
      <c r="BP48" s="142">
        <f t="shared" si="520"/>
        <v>2.4320652173913042E-2</v>
      </c>
      <c r="BQ48" s="142">
        <f t="shared" ref="BQ48:CV48" si="521">+BQ24/8</f>
        <v>1.5494791666666667E-2</v>
      </c>
      <c r="BR48" s="142">
        <f t="shared" si="521"/>
        <v>2.5710227272727273E-2</v>
      </c>
      <c r="BS48" s="142">
        <f t="shared" si="521"/>
        <v>3.3156399521531099E-2</v>
      </c>
      <c r="BT48" s="142">
        <f t="shared" si="521"/>
        <v>2.0301870748299318E-2</v>
      </c>
      <c r="BU48" s="142">
        <f t="shared" si="521"/>
        <v>2.4192116477272728E-2</v>
      </c>
      <c r="BV48" s="142">
        <f t="shared" si="521"/>
        <v>1.6406250000000001E-2</v>
      </c>
      <c r="BW48" s="373">
        <f t="shared" si="521"/>
        <v>1.8749999999999999E-2</v>
      </c>
      <c r="BX48" s="142">
        <f t="shared" si="521"/>
        <v>1.5980113636363636E-2</v>
      </c>
      <c r="BY48" s="142">
        <f t="shared" si="521"/>
        <v>2.9563492063492063E-2</v>
      </c>
      <c r="BZ48" s="142">
        <f t="shared" si="521"/>
        <v>1.7931547619047618E-2</v>
      </c>
      <c r="CA48" s="142">
        <f t="shared" si="521"/>
        <v>2.3312165775401069E-2</v>
      </c>
      <c r="CB48" s="142">
        <f t="shared" si="521"/>
        <v>2.4320652173913042E-2</v>
      </c>
      <c r="CC48" s="142">
        <f t="shared" si="521"/>
        <v>1.5494791666666667E-2</v>
      </c>
      <c r="CD48" s="142">
        <f t="shared" si="521"/>
        <v>2.5710227272727273E-2</v>
      </c>
      <c r="CE48" s="142">
        <f t="shared" si="521"/>
        <v>3.3156399521531099E-2</v>
      </c>
      <c r="CF48" s="142">
        <f t="shared" si="521"/>
        <v>2.0301870748299318E-2</v>
      </c>
      <c r="CG48" s="142">
        <f t="shared" si="521"/>
        <v>2.4192116477272728E-2</v>
      </c>
      <c r="CH48" s="142">
        <f t="shared" si="521"/>
        <v>1.6406250000000001E-2</v>
      </c>
      <c r="CI48" s="373">
        <f t="shared" si="521"/>
        <v>1.8749999999999999E-2</v>
      </c>
      <c r="CJ48" s="142">
        <f t="shared" si="521"/>
        <v>1.5980113636363636E-2</v>
      </c>
      <c r="CK48" s="142">
        <f t="shared" si="521"/>
        <v>2.9563492063492063E-2</v>
      </c>
      <c r="CL48" s="142">
        <f t="shared" si="521"/>
        <v>1.7931547619047618E-2</v>
      </c>
      <c r="CM48" s="142">
        <f t="shared" si="521"/>
        <v>2.3312165775401069E-2</v>
      </c>
      <c r="CN48" s="142">
        <f t="shared" si="521"/>
        <v>2.4320652173913042E-2</v>
      </c>
      <c r="CO48" s="142">
        <f t="shared" si="521"/>
        <v>1.5494791666666667E-2</v>
      </c>
      <c r="CP48" s="142">
        <f t="shared" si="521"/>
        <v>2.5710227272727273E-2</v>
      </c>
      <c r="CQ48" s="142">
        <f t="shared" si="521"/>
        <v>3.3156399521531099E-2</v>
      </c>
      <c r="CR48" s="142">
        <f t="shared" si="521"/>
        <v>2.0301870748299318E-2</v>
      </c>
      <c r="CS48" s="142">
        <f t="shared" si="521"/>
        <v>2.4192116477272728E-2</v>
      </c>
      <c r="CT48" s="142">
        <f t="shared" si="521"/>
        <v>1.6406250000000001E-2</v>
      </c>
      <c r="CU48" s="373">
        <f t="shared" si="521"/>
        <v>1.8749999999999999E-2</v>
      </c>
      <c r="CV48" s="142">
        <f t="shared" si="521"/>
        <v>1.5980113636363636E-2</v>
      </c>
      <c r="CW48" s="142">
        <f t="shared" ref="CW48:DG48" si="522">+CW24/8</f>
        <v>2.9563492063492063E-2</v>
      </c>
      <c r="CX48" s="142">
        <f t="shared" si="522"/>
        <v>1.7931547619047618E-2</v>
      </c>
      <c r="CY48" s="142">
        <f t="shared" si="522"/>
        <v>2.3312165775401069E-2</v>
      </c>
      <c r="CZ48" s="142">
        <f t="shared" si="522"/>
        <v>2.4320652173913042E-2</v>
      </c>
      <c r="DA48" s="142">
        <f t="shared" si="522"/>
        <v>1.5494791666666667E-2</v>
      </c>
      <c r="DB48" s="142">
        <f t="shared" si="522"/>
        <v>2.5710227272727273E-2</v>
      </c>
      <c r="DC48" s="142">
        <f t="shared" si="522"/>
        <v>3.3156399521531099E-2</v>
      </c>
      <c r="DD48" s="142">
        <f t="shared" si="522"/>
        <v>2.0301870748299318E-2</v>
      </c>
      <c r="DE48" s="142">
        <f t="shared" si="522"/>
        <v>2.4192116477272728E-2</v>
      </c>
      <c r="DF48" s="142">
        <f t="shared" si="522"/>
        <v>1.6406250000000001E-2</v>
      </c>
      <c r="DG48" s="143">
        <f t="shared" si="522"/>
        <v>1.8749999999999999E-2</v>
      </c>
    </row>
    <row r="49" spans="1:111" x14ac:dyDescent="0.3">
      <c r="B49" s="1"/>
      <c r="C49" s="1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361"/>
      <c r="AK49" s="57"/>
      <c r="AL49" s="57"/>
      <c r="AM49" s="361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361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361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361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361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361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</row>
    <row r="50" spans="1:111" hidden="1" x14ac:dyDescent="0.3">
      <c r="B50" s="1"/>
      <c r="C50" s="1"/>
      <c r="D50" s="57"/>
      <c r="F50">
        <v>2022</v>
      </c>
      <c r="G50">
        <v>2023</v>
      </c>
      <c r="H50">
        <v>2024</v>
      </c>
      <c r="I50">
        <v>2025</v>
      </c>
      <c r="J50">
        <v>2026</v>
      </c>
      <c r="K50">
        <v>2027</v>
      </c>
      <c r="L50">
        <v>2028</v>
      </c>
      <c r="M50">
        <v>2029</v>
      </c>
      <c r="N50">
        <v>2030</v>
      </c>
      <c r="O50" s="57"/>
      <c r="Q50">
        <v>2022</v>
      </c>
      <c r="R50">
        <v>2023</v>
      </c>
      <c r="S50">
        <v>2024</v>
      </c>
      <c r="T50">
        <v>2025</v>
      </c>
      <c r="U50">
        <v>2026</v>
      </c>
      <c r="V50">
        <v>2027</v>
      </c>
      <c r="W50">
        <v>2028</v>
      </c>
      <c r="X50">
        <v>2028</v>
      </c>
      <c r="Y50">
        <v>2028</v>
      </c>
      <c r="Z50">
        <v>2029</v>
      </c>
      <c r="AA50">
        <v>2029</v>
      </c>
      <c r="AB50" s="57"/>
      <c r="AC50" s="57"/>
      <c r="AD50" s="57"/>
      <c r="AE50" s="57"/>
      <c r="AF50" s="57"/>
      <c r="AG50" s="57"/>
      <c r="AH50" s="57"/>
      <c r="AI50" s="57"/>
      <c r="AJ50" s="361"/>
      <c r="AK50" s="57"/>
      <c r="AL50" s="57"/>
      <c r="AM50" s="361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361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361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361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361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361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</row>
    <row r="51" spans="1:111" hidden="1" x14ac:dyDescent="0.3">
      <c r="B51" s="1"/>
      <c r="C51" s="1"/>
      <c r="D51" s="57"/>
      <c r="E51" t="s">
        <v>208</v>
      </c>
      <c r="F51">
        <f>ROUNDUP(AVERAGE(F52:F54), 0)</f>
        <v>3</v>
      </c>
      <c r="G51">
        <f t="shared" ref="G51:N51" si="523">ROUNDUP(AVERAGE(G52:G54), 0)</f>
        <v>4</v>
      </c>
      <c r="H51">
        <f t="shared" si="523"/>
        <v>7</v>
      </c>
      <c r="I51">
        <f t="shared" si="523"/>
        <v>10</v>
      </c>
      <c r="J51">
        <f t="shared" si="523"/>
        <v>14</v>
      </c>
      <c r="K51">
        <f t="shared" si="523"/>
        <v>20</v>
      </c>
      <c r="L51">
        <f t="shared" si="523"/>
        <v>27</v>
      </c>
      <c r="M51">
        <f t="shared" si="523"/>
        <v>38</v>
      </c>
      <c r="N51">
        <f t="shared" si="523"/>
        <v>53</v>
      </c>
      <c r="O51" s="57"/>
      <c r="P51" t="s">
        <v>208</v>
      </c>
      <c r="Q51">
        <f>ROUNDUP(AVERAGE(Q52:Q54), 0)</f>
        <v>1</v>
      </c>
      <c r="R51">
        <f t="shared" ref="R51:W51" si="524">ROUNDUP(AVERAGE(R52:R54), 0)</f>
        <v>1</v>
      </c>
      <c r="S51">
        <f t="shared" si="524"/>
        <v>1</v>
      </c>
      <c r="T51">
        <f t="shared" si="524"/>
        <v>1</v>
      </c>
      <c r="U51">
        <f t="shared" si="524"/>
        <v>1</v>
      </c>
      <c r="V51">
        <f t="shared" si="524"/>
        <v>1</v>
      </c>
      <c r="W51">
        <f t="shared" si="524"/>
        <v>1</v>
      </c>
      <c r="X51">
        <f t="shared" ref="X51:Y51" si="525">ROUNDUP(AVERAGE(X52:X54), 0)</f>
        <v>1</v>
      </c>
      <c r="Y51">
        <f t="shared" si="525"/>
        <v>1</v>
      </c>
      <c r="Z51">
        <f t="shared" ref="Z51:AA51" si="526">ROUNDUP(AVERAGE(Z52:Z54), 0)</f>
        <v>1</v>
      </c>
      <c r="AA51">
        <f t="shared" si="526"/>
        <v>1</v>
      </c>
      <c r="AB51" s="57"/>
      <c r="AC51" s="57"/>
      <c r="AD51" s="57"/>
      <c r="AE51" s="57"/>
      <c r="AF51" s="57"/>
      <c r="AG51" s="57"/>
      <c r="AH51" s="57"/>
      <c r="AI51" s="57"/>
      <c r="AJ51" s="361"/>
      <c r="AK51" s="57"/>
      <c r="AL51" s="57"/>
      <c r="AM51" s="361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361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361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361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361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361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</row>
    <row r="52" spans="1:111" hidden="1" x14ac:dyDescent="0.3">
      <c r="B52" s="1"/>
      <c r="C52" s="1"/>
      <c r="D52" s="57"/>
      <c r="E52" t="s">
        <v>205</v>
      </c>
      <c r="F52" s="211">
        <v>3</v>
      </c>
      <c r="G52" s="211">
        <v>3</v>
      </c>
      <c r="H52" s="211">
        <v>10</v>
      </c>
      <c r="I52" s="399">
        <f>+H52*1.4</f>
        <v>14</v>
      </c>
      <c r="J52" s="399">
        <f t="shared" ref="J52:N52" si="527">+I52*1.4</f>
        <v>19.599999999999998</v>
      </c>
      <c r="K52" s="399">
        <f t="shared" si="527"/>
        <v>27.439999999999994</v>
      </c>
      <c r="L52" s="399">
        <f t="shared" si="527"/>
        <v>38.41599999999999</v>
      </c>
      <c r="M52" s="399">
        <f t="shared" si="527"/>
        <v>53.782399999999981</v>
      </c>
      <c r="N52" s="399">
        <f t="shared" si="527"/>
        <v>75.295359999999974</v>
      </c>
      <c r="O52" s="57"/>
      <c r="P52" t="s">
        <v>205</v>
      </c>
      <c r="Q52" s="183">
        <f t="shared" ref="Q52:AA52" si="528">AVERAGEIFS($E$24:$DG$24, $H$2:$DJ$2,$E$52, $H$1:$DJ$1, Q50)</f>
        <v>4.3859649122807015E-3</v>
      </c>
      <c r="R52" s="183">
        <f t="shared" si="528"/>
        <v>0.14732707351128405</v>
      </c>
      <c r="S52" s="183">
        <f t="shared" si="528"/>
        <v>0.17974343860293351</v>
      </c>
      <c r="T52" s="183">
        <f t="shared" si="528"/>
        <v>0.17974343860293351</v>
      </c>
      <c r="U52" s="183">
        <f t="shared" si="528"/>
        <v>0.17974343860293351</v>
      </c>
      <c r="V52" s="183">
        <f t="shared" si="528"/>
        <v>0.17974343860293351</v>
      </c>
      <c r="W52" s="183">
        <f t="shared" si="528"/>
        <v>0.17974343860293351</v>
      </c>
      <c r="X52" s="183">
        <f t="shared" si="528"/>
        <v>0.17974343860293351</v>
      </c>
      <c r="Y52" s="183">
        <f t="shared" si="528"/>
        <v>0.17974343860293351</v>
      </c>
      <c r="Z52" s="183">
        <f t="shared" si="528"/>
        <v>0.17974343860293351</v>
      </c>
      <c r="AA52" s="183">
        <f t="shared" si="528"/>
        <v>0.17974343860293351</v>
      </c>
      <c r="AB52" s="57"/>
      <c r="AC52" s="57"/>
      <c r="AD52" s="57"/>
      <c r="AE52" s="57"/>
      <c r="AF52" s="57"/>
      <c r="AG52" s="57"/>
      <c r="AH52" s="57"/>
      <c r="AI52" s="57"/>
      <c r="AJ52" s="361"/>
      <c r="AK52" s="57"/>
      <c r="AL52" s="57"/>
      <c r="AM52" s="361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361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361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361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361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361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</row>
    <row r="53" spans="1:111" hidden="1" x14ac:dyDescent="0.3">
      <c r="B53" s="1"/>
      <c r="C53" s="1"/>
      <c r="D53" s="57"/>
      <c r="E53" t="s">
        <v>207</v>
      </c>
      <c r="F53" s="211">
        <v>5</v>
      </c>
      <c r="G53" s="211">
        <f>+F53+1</f>
        <v>6</v>
      </c>
      <c r="H53" s="211">
        <v>7</v>
      </c>
      <c r="I53" s="399">
        <f t="shared" ref="I53:N53" si="529">+H53*1.4</f>
        <v>9.7999999999999989</v>
      </c>
      <c r="J53" s="399">
        <f t="shared" si="529"/>
        <v>13.719999999999997</v>
      </c>
      <c r="K53" s="399">
        <f t="shared" si="529"/>
        <v>19.207999999999995</v>
      </c>
      <c r="L53" s="399">
        <f t="shared" si="529"/>
        <v>26.891199999999991</v>
      </c>
      <c r="M53" s="399">
        <f t="shared" si="529"/>
        <v>37.647679999999987</v>
      </c>
      <c r="N53" s="399">
        <f t="shared" si="529"/>
        <v>52.70675199999998</v>
      </c>
      <c r="O53" s="57"/>
      <c r="P53" t="s">
        <v>207</v>
      </c>
      <c r="Q53" s="183">
        <f t="shared" ref="Q53:AA53" si="530">+AVERAGEIFS($E$24:$DG$24, $H$2:$DJ$2,$E$53, $H$1:$DJ$1, Q50)</f>
        <v>2.5749014040939506E-2</v>
      </c>
      <c r="R53" s="183">
        <f t="shared" si="530"/>
        <v>0.12406669778418612</v>
      </c>
      <c r="S53" s="183">
        <f t="shared" si="530"/>
        <v>0.15890546384758891</v>
      </c>
      <c r="T53" s="183">
        <f t="shared" si="530"/>
        <v>0.16979189044038664</v>
      </c>
      <c r="U53" s="183">
        <f t="shared" si="530"/>
        <v>0.16979189044038664</v>
      </c>
      <c r="V53" s="183">
        <f t="shared" si="530"/>
        <v>0.16979189044038664</v>
      </c>
      <c r="W53" s="183">
        <f t="shared" si="530"/>
        <v>0.16979189044038664</v>
      </c>
      <c r="X53" s="183">
        <f t="shared" si="530"/>
        <v>0.16979189044038664</v>
      </c>
      <c r="Y53" s="183">
        <f t="shared" si="530"/>
        <v>0.16979189044038664</v>
      </c>
      <c r="Z53" s="183">
        <f t="shared" si="530"/>
        <v>0.16979189044038664</v>
      </c>
      <c r="AA53" s="183">
        <f t="shared" si="530"/>
        <v>0.16979189044038664</v>
      </c>
      <c r="AB53" s="57"/>
      <c r="AC53" s="57"/>
      <c r="AD53" s="57"/>
      <c r="AE53" s="57"/>
      <c r="AF53" s="57"/>
      <c r="AG53" s="57"/>
      <c r="AH53" s="57"/>
      <c r="AI53" s="57"/>
      <c r="AJ53" s="361"/>
      <c r="AK53" s="57"/>
      <c r="AL53" s="57"/>
      <c r="AM53" s="361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361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361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361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361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361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</row>
    <row r="54" spans="1:111" hidden="1" x14ac:dyDescent="0.3">
      <c r="B54" s="1"/>
      <c r="C54" s="1"/>
      <c r="D54" s="57"/>
      <c r="E54" t="s">
        <v>206</v>
      </c>
      <c r="F54" s="211">
        <v>1</v>
      </c>
      <c r="G54" s="211">
        <v>1</v>
      </c>
      <c r="H54" s="211">
        <v>4</v>
      </c>
      <c r="I54" s="399">
        <f t="shared" ref="I54:N54" si="531">+H54*1.4</f>
        <v>5.6</v>
      </c>
      <c r="J54" s="399">
        <f t="shared" si="531"/>
        <v>7.839999999999999</v>
      </c>
      <c r="K54" s="399">
        <f t="shared" si="531"/>
        <v>10.975999999999997</v>
      </c>
      <c r="L54" s="399">
        <f t="shared" si="531"/>
        <v>15.366399999999995</v>
      </c>
      <c r="M54" s="399">
        <f t="shared" si="531"/>
        <v>21.512959999999993</v>
      </c>
      <c r="N54" s="399">
        <f t="shared" si="531"/>
        <v>30.118143999999987</v>
      </c>
      <c r="O54" s="57"/>
      <c r="P54" t="s">
        <v>206</v>
      </c>
      <c r="Q54" s="183">
        <f t="shared" ref="Q54:AA54" si="532">AVERAGEIFS($E$24:$DG$24, $H$2:$DJ$2,$E$54, $H$1:$DJ$1, Q50)</f>
        <v>3.4989648033126292E-2</v>
      </c>
      <c r="R54" s="183">
        <f t="shared" si="532"/>
        <v>0.19271863589066443</v>
      </c>
      <c r="S54" s="183">
        <f t="shared" si="532"/>
        <v>0.19353693181818182</v>
      </c>
      <c r="T54" s="183">
        <f t="shared" si="532"/>
        <v>0.19353693181818182</v>
      </c>
      <c r="U54" s="183">
        <f t="shared" si="532"/>
        <v>0.19353693181818182</v>
      </c>
      <c r="V54" s="183">
        <f t="shared" si="532"/>
        <v>0.19353693181818182</v>
      </c>
      <c r="W54" s="183">
        <f t="shared" si="532"/>
        <v>0.19353693181818182</v>
      </c>
      <c r="X54" s="183">
        <f t="shared" si="532"/>
        <v>0.19353693181818182</v>
      </c>
      <c r="Y54" s="183">
        <f t="shared" si="532"/>
        <v>0.19353693181818182</v>
      </c>
      <c r="Z54" s="183">
        <f t="shared" si="532"/>
        <v>0.19353693181818182</v>
      </c>
      <c r="AA54" s="183">
        <f t="shared" si="532"/>
        <v>0.19353693181818182</v>
      </c>
      <c r="AB54" s="57"/>
      <c r="AC54" s="57"/>
      <c r="AD54" s="57"/>
      <c r="AE54" s="57"/>
      <c r="AF54" s="57"/>
      <c r="AG54" s="57"/>
      <c r="AH54" s="57"/>
      <c r="AI54" s="57"/>
      <c r="AJ54" s="361"/>
      <c r="AK54" s="57"/>
      <c r="AL54" s="57"/>
      <c r="AM54" s="361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361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361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361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361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361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</row>
    <row r="55" spans="1:111" hidden="1" x14ac:dyDescent="0.3">
      <c r="B55" s="1"/>
      <c r="C55" s="1"/>
      <c r="D55" s="57"/>
      <c r="E55" t="s">
        <v>206</v>
      </c>
      <c r="F55" s="130">
        <f>F54/F51-1</f>
        <v>-0.66666666666666674</v>
      </c>
      <c r="G55" s="130">
        <f t="shared" ref="G55:N55" si="533">G54/G51-1</f>
        <v>-0.75</v>
      </c>
      <c r="H55" s="130">
        <f t="shared" si="533"/>
        <v>-0.4285714285714286</v>
      </c>
      <c r="I55" s="130">
        <f t="shared" si="533"/>
        <v>-0.44000000000000006</v>
      </c>
      <c r="J55" s="130">
        <f t="shared" si="533"/>
        <v>-0.44000000000000006</v>
      </c>
      <c r="K55" s="130">
        <f t="shared" si="533"/>
        <v>-0.45120000000000016</v>
      </c>
      <c r="L55" s="130">
        <f t="shared" si="533"/>
        <v>-0.4308740740740743</v>
      </c>
      <c r="M55" s="130">
        <f t="shared" si="533"/>
        <v>-0.43386947368421069</v>
      </c>
      <c r="N55" s="130">
        <f t="shared" si="533"/>
        <v>-0.43173313207547193</v>
      </c>
      <c r="O55" s="57"/>
      <c r="P55" t="s">
        <v>206</v>
      </c>
      <c r="Q55" s="182">
        <f>Q54/Q51-1</f>
        <v>-0.96501035196687368</v>
      </c>
      <c r="R55" s="182">
        <f t="shared" ref="R55:W55" si="534">R54/R51-1</f>
        <v>-0.8072813641093356</v>
      </c>
      <c r="S55" s="182">
        <f t="shared" si="534"/>
        <v>-0.80646306818181812</v>
      </c>
      <c r="T55" s="182">
        <f t="shared" si="534"/>
        <v>-0.80646306818181812</v>
      </c>
      <c r="U55" s="182">
        <f t="shared" si="534"/>
        <v>-0.80646306818181812</v>
      </c>
      <c r="V55" s="182">
        <f t="shared" si="534"/>
        <v>-0.80646306818181812</v>
      </c>
      <c r="W55" s="212">
        <f t="shared" si="534"/>
        <v>-0.80646306818181812</v>
      </c>
      <c r="X55" s="212">
        <f t="shared" ref="X55:Y55" si="535">X54/X51-1</f>
        <v>-0.80646306818181812</v>
      </c>
      <c r="Y55" s="212">
        <f t="shared" si="535"/>
        <v>-0.80646306818181812</v>
      </c>
      <c r="Z55" s="212">
        <f t="shared" ref="Z55:AA55" si="536">Z54/Z51-1</f>
        <v>-0.80646306818181812</v>
      </c>
      <c r="AA55" s="212">
        <f t="shared" si="536"/>
        <v>-0.80646306818181812</v>
      </c>
      <c r="AB55" s="57"/>
      <c r="AC55" s="57"/>
      <c r="AD55" s="57"/>
      <c r="AE55" s="57"/>
      <c r="AF55" s="57"/>
      <c r="AG55" s="57"/>
      <c r="AH55" s="57"/>
      <c r="AI55" s="57"/>
      <c r="AJ55" s="361"/>
      <c r="AK55" s="57"/>
      <c r="AL55" s="57"/>
      <c r="AM55" s="361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361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361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361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361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361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</row>
    <row r="56" spans="1:111" hidden="1" x14ac:dyDescent="0.3">
      <c r="B56" s="1"/>
      <c r="C56" s="1"/>
      <c r="D56" s="57"/>
      <c r="E56" t="s">
        <v>207</v>
      </c>
      <c r="F56" s="130">
        <f>F53/F51-1</f>
        <v>0.66666666666666674</v>
      </c>
      <c r="G56" s="130">
        <f t="shared" ref="G56:N56" si="537">G53/G51-1</f>
        <v>0.5</v>
      </c>
      <c r="H56" s="130">
        <f t="shared" si="537"/>
        <v>0</v>
      </c>
      <c r="I56" s="130">
        <f t="shared" si="537"/>
        <v>-2.0000000000000129E-2</v>
      </c>
      <c r="J56" s="130">
        <f t="shared" si="537"/>
        <v>-2.000000000000024E-2</v>
      </c>
      <c r="K56" s="130">
        <f t="shared" si="537"/>
        <v>-3.9600000000000302E-2</v>
      </c>
      <c r="L56" s="130">
        <f t="shared" si="537"/>
        <v>-4.0296296296299383E-3</v>
      </c>
      <c r="M56" s="130">
        <f t="shared" si="537"/>
        <v>-9.2715789473687416E-3</v>
      </c>
      <c r="N56" s="130">
        <f t="shared" si="537"/>
        <v>-5.5329811320758981E-3</v>
      </c>
      <c r="O56" s="57"/>
      <c r="P56" t="s">
        <v>207</v>
      </c>
      <c r="Q56" s="182">
        <f>Q53/Q51-1</f>
        <v>-0.97425098595906046</v>
      </c>
      <c r="R56" s="182">
        <f t="shared" ref="R56:W56" si="538">R53/R51-1</f>
        <v>-0.87593330221581389</v>
      </c>
      <c r="S56" s="182">
        <f t="shared" si="538"/>
        <v>-0.84109453615241114</v>
      </c>
      <c r="T56" s="182">
        <f t="shared" si="538"/>
        <v>-0.83020810955961333</v>
      </c>
      <c r="U56" s="182">
        <f t="shared" si="538"/>
        <v>-0.83020810955961333</v>
      </c>
      <c r="V56" s="182">
        <f t="shared" si="538"/>
        <v>-0.83020810955961333</v>
      </c>
      <c r="W56" s="212">
        <f t="shared" si="538"/>
        <v>-0.83020810955961333</v>
      </c>
      <c r="X56" s="212">
        <f t="shared" ref="X56:Y56" si="539">X53/X51-1</f>
        <v>-0.83020810955961333</v>
      </c>
      <c r="Y56" s="212">
        <f t="shared" si="539"/>
        <v>-0.83020810955961333</v>
      </c>
      <c r="Z56" s="212">
        <f t="shared" ref="Z56:AA56" si="540">Z53/Z51-1</f>
        <v>-0.83020810955961333</v>
      </c>
      <c r="AA56" s="212">
        <f t="shared" si="540"/>
        <v>-0.83020810955961333</v>
      </c>
      <c r="AB56" s="57"/>
      <c r="AC56" s="57"/>
      <c r="AD56" s="57"/>
      <c r="AE56" s="57"/>
      <c r="AF56" s="57"/>
      <c r="AG56" s="57"/>
      <c r="AH56" s="57"/>
      <c r="AI56" s="57"/>
      <c r="AJ56" s="361"/>
      <c r="AK56" s="57"/>
      <c r="AL56" s="57"/>
      <c r="AM56" s="361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361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361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361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361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361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</row>
    <row r="57" spans="1:111" hidden="1" x14ac:dyDescent="0.3">
      <c r="B57" s="1"/>
      <c r="C57" s="1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361"/>
      <c r="AK57" s="57"/>
      <c r="AL57" s="57"/>
      <c r="AM57" s="361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361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361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361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361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361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</row>
    <row r="58" spans="1:111" ht="1.95" customHeight="1" x14ac:dyDescent="0.3">
      <c r="B58" s="1"/>
      <c r="C58" s="1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361"/>
      <c r="AK58" s="57"/>
      <c r="AL58" s="57"/>
      <c r="AM58" s="361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361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361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361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361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361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</row>
    <row r="59" spans="1:111" x14ac:dyDescent="0.3">
      <c r="B59" s="1" t="s">
        <v>326</v>
      </c>
      <c r="C59" s="1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361"/>
      <c r="AK59" s="57"/>
      <c r="AL59" s="57"/>
      <c r="AM59" s="361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361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361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361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361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361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</row>
    <row r="60" spans="1:111" s="57" customFormat="1" x14ac:dyDescent="0.3">
      <c r="A60"/>
      <c r="B60" s="1" t="s">
        <v>325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/>
      <c r="AC60" s="114"/>
      <c r="AD60" s="114"/>
      <c r="AE60" s="114"/>
      <c r="AF60" s="114"/>
      <c r="AG60" s="114"/>
      <c r="AH60" s="114">
        <v>150</v>
      </c>
      <c r="AI60" s="114">
        <v>740</v>
      </c>
      <c r="AJ60" s="197">
        <v>335</v>
      </c>
      <c r="AK60" s="518">
        <f>+'People Plan'!L7</f>
        <v>519.59999999999991</v>
      </c>
      <c r="AL60" s="519">
        <f>+'People Plan'!M7</f>
        <v>519.59999999999991</v>
      </c>
      <c r="AM60" s="520">
        <f>+'People Plan'!N7</f>
        <v>519.59999999999991</v>
      </c>
      <c r="AN60" s="518">
        <f>+'People Plan'!O7</f>
        <v>0</v>
      </c>
      <c r="AO60" s="519">
        <f>+'People Plan'!P7</f>
        <v>0</v>
      </c>
      <c r="AP60" s="519">
        <f>+'People Plan'!Q7</f>
        <v>0</v>
      </c>
      <c r="AQ60" s="519">
        <f>+'People Plan'!R7</f>
        <v>0</v>
      </c>
      <c r="AR60" s="519">
        <f>+'People Plan'!S7</f>
        <v>0</v>
      </c>
      <c r="AS60" s="519">
        <f>+'People Plan'!T7</f>
        <v>0</v>
      </c>
      <c r="AT60" s="519">
        <f>+'People Plan'!U7</f>
        <v>0</v>
      </c>
      <c r="AU60" s="519">
        <f>+'People Plan'!V7</f>
        <v>0</v>
      </c>
      <c r="AV60" s="519">
        <f>+'People Plan'!W7</f>
        <v>0</v>
      </c>
      <c r="AW60" s="519">
        <f>+'People Plan'!X7</f>
        <v>0</v>
      </c>
      <c r="AX60" s="519">
        <f>+'People Plan'!Y7</f>
        <v>0</v>
      </c>
      <c r="AY60" s="520">
        <f>+'People Plan'!Z7</f>
        <v>0</v>
      </c>
      <c r="AZ60" s="521">
        <f>+'People Plan'!AA7</f>
        <v>0</v>
      </c>
      <c r="BA60" s="519">
        <f>+'People Plan'!AB7</f>
        <v>0</v>
      </c>
      <c r="BB60" s="519">
        <f>+'People Plan'!AC7</f>
        <v>0</v>
      </c>
      <c r="BC60" s="519">
        <f>+'People Plan'!AD7</f>
        <v>0</v>
      </c>
      <c r="BD60" s="519">
        <f>+'People Plan'!AE7</f>
        <v>0</v>
      </c>
      <c r="BE60" s="519">
        <f>+'People Plan'!AF7</f>
        <v>0</v>
      </c>
      <c r="BF60" s="519">
        <f>+'People Plan'!AG7</f>
        <v>0</v>
      </c>
      <c r="BG60" s="519">
        <f>+'People Plan'!AH7</f>
        <v>0</v>
      </c>
      <c r="BH60" s="519">
        <f>+'People Plan'!AI7</f>
        <v>0</v>
      </c>
      <c r="BI60" s="519">
        <f>+'People Plan'!AJ7</f>
        <v>0</v>
      </c>
      <c r="BJ60" s="519">
        <f>+'People Plan'!AK7</f>
        <v>0</v>
      </c>
      <c r="BK60" s="520">
        <f>+'People Plan'!AL7</f>
        <v>0</v>
      </c>
      <c r="BL60" s="521">
        <f>+'People Plan'!AM7</f>
        <v>0</v>
      </c>
      <c r="BM60" s="519">
        <f>+'People Plan'!AN7</f>
        <v>0</v>
      </c>
      <c r="BN60" s="519">
        <f>+'People Plan'!AO7</f>
        <v>0</v>
      </c>
      <c r="BO60" s="519">
        <f>+'People Plan'!AP7</f>
        <v>0</v>
      </c>
      <c r="BP60" s="519">
        <f>+'People Plan'!AQ7</f>
        <v>0</v>
      </c>
      <c r="BQ60" s="519">
        <f>+'People Plan'!AR7</f>
        <v>0</v>
      </c>
      <c r="BR60" s="519">
        <f>+'People Plan'!AS7</f>
        <v>0</v>
      </c>
      <c r="BS60" s="519">
        <f>+'People Plan'!AT7</f>
        <v>0</v>
      </c>
      <c r="BT60" s="519">
        <f>+'People Plan'!AU7</f>
        <v>0</v>
      </c>
      <c r="BU60" s="519">
        <f>+'People Plan'!AV7</f>
        <v>0</v>
      </c>
      <c r="BV60" s="519">
        <f>+'People Plan'!AW7</f>
        <v>0</v>
      </c>
      <c r="BW60" s="520">
        <f>+'People Plan'!AX7</f>
        <v>0</v>
      </c>
      <c r="BX60" s="519">
        <f>+'People Plan'!AY7</f>
        <v>0</v>
      </c>
      <c r="BY60" s="519">
        <f>+'People Plan'!AZ7</f>
        <v>0</v>
      </c>
      <c r="BZ60" s="519">
        <f>+'People Plan'!BA7</f>
        <v>0</v>
      </c>
      <c r="CA60" s="519">
        <f>+'People Plan'!BB7</f>
        <v>0</v>
      </c>
      <c r="CB60" s="519">
        <f>+'People Plan'!BC7</f>
        <v>0</v>
      </c>
      <c r="CC60" s="519">
        <f>+'People Plan'!BD7</f>
        <v>0</v>
      </c>
      <c r="CD60" s="519">
        <f>+'People Plan'!BE7</f>
        <v>0</v>
      </c>
      <c r="CE60" s="519">
        <f>+'People Plan'!BF7</f>
        <v>0</v>
      </c>
      <c r="CF60" s="519">
        <f>+'People Plan'!BG7</f>
        <v>0</v>
      </c>
      <c r="CG60" s="519">
        <f>+'People Plan'!BH7</f>
        <v>0</v>
      </c>
      <c r="CH60" s="519">
        <f>+'People Plan'!BI7</f>
        <v>0</v>
      </c>
      <c r="CI60" s="520">
        <f>+'People Plan'!BJ7</f>
        <v>0</v>
      </c>
      <c r="CJ60" s="519">
        <f>+'People Plan'!BK7</f>
        <v>0</v>
      </c>
      <c r="CK60" s="519">
        <f>+'People Plan'!BL7</f>
        <v>0</v>
      </c>
      <c r="CL60" s="519">
        <f>+'People Plan'!BM7</f>
        <v>0</v>
      </c>
      <c r="CM60" s="519">
        <f>+'People Plan'!BN7</f>
        <v>0</v>
      </c>
      <c r="CN60" s="519">
        <f>+'People Plan'!BO7</f>
        <v>0</v>
      </c>
      <c r="CO60" s="519">
        <f>+'People Plan'!BP7</f>
        <v>0</v>
      </c>
      <c r="CP60" s="519">
        <f>+'People Plan'!BQ7</f>
        <v>0</v>
      </c>
      <c r="CQ60" s="519">
        <f>+'People Plan'!BR7</f>
        <v>0</v>
      </c>
      <c r="CR60" s="519">
        <f>+'People Plan'!BS7</f>
        <v>0</v>
      </c>
      <c r="CS60" s="519">
        <f>+'People Plan'!BT7</f>
        <v>0</v>
      </c>
      <c r="CT60" s="519">
        <f>+'People Plan'!BU7</f>
        <v>0</v>
      </c>
      <c r="CU60" s="520">
        <f>+'People Plan'!BV7</f>
        <v>0</v>
      </c>
      <c r="CV60" s="521">
        <f>+'People Plan'!BW7</f>
        <v>0</v>
      </c>
      <c r="CW60" s="519">
        <f>+'People Plan'!BX7</f>
        <v>0</v>
      </c>
      <c r="CX60" s="519">
        <f>+'People Plan'!BY7</f>
        <v>0</v>
      </c>
      <c r="CY60" s="519">
        <f>+'People Plan'!BZ7</f>
        <v>0</v>
      </c>
      <c r="CZ60" s="519">
        <f>+'People Plan'!CA7</f>
        <v>0</v>
      </c>
      <c r="DA60" s="519">
        <f>+'People Plan'!CB7</f>
        <v>0</v>
      </c>
      <c r="DB60" s="519">
        <f>+'People Plan'!CC7</f>
        <v>0</v>
      </c>
      <c r="DC60" s="519">
        <f>+'People Plan'!CD7</f>
        <v>0</v>
      </c>
      <c r="DD60" s="519">
        <f>+'People Plan'!CE7</f>
        <v>0</v>
      </c>
      <c r="DE60" s="519">
        <f>+'People Plan'!CF7</f>
        <v>0</v>
      </c>
      <c r="DF60" s="519">
        <f>+'People Plan'!CG7</f>
        <v>0</v>
      </c>
      <c r="DG60" s="519">
        <f>+'People Plan'!CH7</f>
        <v>0</v>
      </c>
    </row>
    <row r="61" spans="1:111" s="57" customFormat="1" x14ac:dyDescent="0.3">
      <c r="A61"/>
      <c r="B61" s="1" t="s">
        <v>324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/>
      <c r="AC61" s="114"/>
      <c r="AD61" s="114"/>
      <c r="AE61" s="114"/>
      <c r="AF61" s="114"/>
      <c r="AG61" s="114"/>
      <c r="AH61" s="114">
        <v>450</v>
      </c>
      <c r="AI61" s="114">
        <v>150</v>
      </c>
      <c r="AJ61" s="197"/>
      <c r="AK61" s="518">
        <f>+'People Plan'!L13</f>
        <v>3542.96875</v>
      </c>
      <c r="AL61" s="519">
        <f>+'People Plan'!M13</f>
        <v>0</v>
      </c>
      <c r="AM61" s="520">
        <f>+'People Plan'!N13</f>
        <v>0</v>
      </c>
      <c r="AN61" s="518">
        <f>+'People Plan'!O13</f>
        <v>0</v>
      </c>
      <c r="AO61" s="519">
        <f>+'People Plan'!P13</f>
        <v>750.63492063491992</v>
      </c>
      <c r="AP61" s="519">
        <f>+'People Plan'!Q13</f>
        <v>0</v>
      </c>
      <c r="AQ61" s="519">
        <f>+'People Plan'!R13</f>
        <v>0</v>
      </c>
      <c r="AR61" s="519">
        <f>+'People Plan'!S13</f>
        <v>427.47826086956309</v>
      </c>
      <c r="AS61" s="519">
        <f>+'People Plan'!T13</f>
        <v>0</v>
      </c>
      <c r="AT61" s="519">
        <f>+'People Plan'!U13</f>
        <v>537.49999999999864</v>
      </c>
      <c r="AU61" s="519">
        <f>+'People Plan'!V13</f>
        <v>3776.495215311003</v>
      </c>
      <c r="AV61" s="519">
        <f>+'People Plan'!W13</f>
        <v>1432.2278911564608</v>
      </c>
      <c r="AW61" s="519">
        <f>+'People Plan'!X13</f>
        <v>4655.8061079545441</v>
      </c>
      <c r="AX61" s="519">
        <f>+'People Plan'!Y13</f>
        <v>0</v>
      </c>
      <c r="AY61" s="520">
        <f>+'People Plan'!Z13</f>
        <v>0</v>
      </c>
      <c r="AZ61" s="521">
        <f>+'People Plan'!AA13</f>
        <v>0</v>
      </c>
      <c r="BA61" s="519">
        <f>+'People Plan'!AB13</f>
        <v>3219.7777777777715</v>
      </c>
      <c r="BB61" s="519">
        <f>+'People Plan'!AC13</f>
        <v>181.83095238094751</v>
      </c>
      <c r="BC61" s="519">
        <f>+'People Plan'!AD13</f>
        <v>2054.3529411764653</v>
      </c>
      <c r="BD61" s="519">
        <f>+'People Plan'!AE13</f>
        <v>2755.2565217391234</v>
      </c>
      <c r="BE61" s="519">
        <f>+'People Plan'!AF13</f>
        <v>0</v>
      </c>
      <c r="BF61" s="519">
        <f>+'People Plan'!AG13</f>
        <v>3779.0454545454468</v>
      </c>
      <c r="BG61" s="519">
        <f>+'People Plan'!AH13</f>
        <v>7954.2015550239112</v>
      </c>
      <c r="BH61" s="519">
        <f>+'People Plan'!AI13</f>
        <v>4576.5816326530512</v>
      </c>
      <c r="BI61" s="519">
        <f>+'People Plan'!AJ13</f>
        <v>8482.0312499999891</v>
      </c>
      <c r="BJ61" s="519">
        <f>+'People Plan'!AK13</f>
        <v>2283.3499999999931</v>
      </c>
      <c r="BK61" s="520">
        <f>+'People Plan'!AL13</f>
        <v>3520.3999999999896</v>
      </c>
      <c r="BL61" s="521">
        <f>+'People Plan'!AM13</f>
        <v>0</v>
      </c>
      <c r="BM61" s="519">
        <f>+'People Plan'!AN13</f>
        <v>7007.6888888888734</v>
      </c>
      <c r="BN61" s="519">
        <f>+'People Plan'!AO13</f>
        <v>3196.8557142857035</v>
      </c>
      <c r="BO61" s="519">
        <f>+'People Plan'!AP13</f>
        <v>5540.2117647058703</v>
      </c>
      <c r="BP61" s="519">
        <f>+'People Plan'!AQ13</f>
        <v>6398.2178260869432</v>
      </c>
      <c r="BQ61" s="519">
        <f>+'People Plan'!AR13</f>
        <v>1402.1958333333246</v>
      </c>
      <c r="BR61" s="519">
        <f>+'People Plan'!AS13</f>
        <v>7451.6999999999853</v>
      </c>
      <c r="BS61" s="519">
        <f>+'People Plan'!AT13</f>
        <v>14757.894736842085</v>
      </c>
      <c r="BT61" s="519">
        <f>+'People Plan'!AU13</f>
        <v>9014.4081632652924</v>
      </c>
      <c r="BU61" s="519">
        <f>+'People Plan'!AV13</f>
        <v>13640.5646306818</v>
      </c>
      <c r="BV61" s="519">
        <f>+'People Plan'!AW13</f>
        <v>6323.3299999999899</v>
      </c>
      <c r="BW61" s="520">
        <f>+'People Plan'!AX13</f>
        <v>7428.5599999999849</v>
      </c>
      <c r="BX61" s="519">
        <f>+'People Plan'!AY13</f>
        <v>2429.8249999999898</v>
      </c>
      <c r="BY61" s="519">
        <f>+'People Plan'!AZ13</f>
        <v>13387.802666666641</v>
      </c>
      <c r="BZ61" s="519">
        <f>+'People Plan'!BA13</f>
        <v>6942.603952380935</v>
      </c>
      <c r="CA61" s="519">
        <f>+'People Plan'!BB13</f>
        <v>8643.8256684491789</v>
      </c>
      <c r="CB61" s="519">
        <f>+'People Plan'!BC13</f>
        <v>13278.183999999976</v>
      </c>
      <c r="CC61" s="519">
        <f>+'People Plan'!BD13</f>
        <v>4408.5324999999857</v>
      </c>
      <c r="CD61" s="519">
        <f>+'People Plan'!BE13</f>
        <v>12017.260454545431</v>
      </c>
      <c r="CE61" s="519">
        <f>+'People Plan'!BF13</f>
        <v>24558.926435406658</v>
      </c>
      <c r="CF61" s="519">
        <f>+'People Plan'!BG13</f>
        <v>14114.692857142836</v>
      </c>
      <c r="CG61" s="519">
        <f>+'People Plan'!BH13</f>
        <v>22880.249999999971</v>
      </c>
      <c r="CH61" s="519">
        <f>+'People Plan'!BI13</f>
        <v>11468.161999999984</v>
      </c>
      <c r="CI61" s="520">
        <f>+'People Plan'!BJ13</f>
        <v>11329.267999999978</v>
      </c>
      <c r="CJ61" s="519">
        <f>+'People Plan'!BK13</f>
        <v>7147.2752272727093</v>
      </c>
      <c r="CK61" s="519">
        <f>+'People Plan'!BL13</f>
        <v>19981.038476190439</v>
      </c>
      <c r="CL61" s="519">
        <f>+'People Plan'!BM13</f>
        <v>11511.29603809521</v>
      </c>
      <c r="CM61" s="519">
        <f>+'People Plan'!BN13</f>
        <v>15918.074802139001</v>
      </c>
      <c r="CN61" s="519">
        <f>+'People Plan'!BO13</f>
        <v>21268.457599999954</v>
      </c>
      <c r="CO61" s="519">
        <f>+'People Plan'!BP13</f>
        <v>8149.8627499999739</v>
      </c>
      <c r="CP61" s="519">
        <f>+'People Plan'!BQ13</f>
        <v>20768.231999999956</v>
      </c>
      <c r="CQ61" s="519">
        <f>+'People Plan'!BR13</f>
        <v>37126.528110047766</v>
      </c>
      <c r="CR61" s="519">
        <f>+'People Plan'!BS13</f>
        <v>21195.270748299277</v>
      </c>
      <c r="CS61" s="519">
        <f>+'People Plan'!BT13</f>
        <v>36653.174147727223</v>
      </c>
      <c r="CT61" s="519">
        <f>+'People Plan'!BU13</f>
        <v>18642.051799999961</v>
      </c>
      <c r="CU61" s="520">
        <f>+'People Plan'!BV13</f>
        <v>18486.975199999953</v>
      </c>
      <c r="CV61" s="521">
        <f>+'People Plan'!BW13</f>
        <v>12594.395545454501</v>
      </c>
      <c r="CW61" s="519">
        <f>+'People Plan'!BX13</f>
        <v>30520.755453968166</v>
      </c>
      <c r="CX61" s="519">
        <f>+'People Plan'!BY13</f>
        <v>17575.925159999944</v>
      </c>
      <c r="CY61" s="519">
        <f>+'People Plan'!BZ13</f>
        <v>26345.235199999923</v>
      </c>
      <c r="CZ61" s="519">
        <f>+'People Plan'!CA13</f>
        <v>32275.840639999911</v>
      </c>
      <c r="DA61" s="519">
        <f>+'People Plan'!CB13</f>
        <v>12949.81699999995</v>
      </c>
      <c r="DB61" s="519">
        <f>+'People Plan'!CC13</f>
        <v>33294.86683636353</v>
      </c>
      <c r="DC61" s="519">
        <f>+'People Plan'!CD13</f>
        <v>51953.539473684068</v>
      </c>
      <c r="DD61" s="519">
        <f>+'People Plan'!CE13</f>
        <v>34128.655142857046</v>
      </c>
      <c r="DE61" s="519">
        <f>+'People Plan'!CF13</f>
        <v>54081.524772727149</v>
      </c>
      <c r="DF61" s="519">
        <f>+'People Plan'!CG13</f>
        <v>27069.957859999919</v>
      </c>
      <c r="DG61" s="519">
        <f>+'People Plan'!CH13</f>
        <v>30129.8969599999</v>
      </c>
    </row>
    <row r="62" spans="1:111" s="55" customFormat="1" x14ac:dyDescent="0.3">
      <c r="A62" s="3"/>
      <c r="B62" s="4" t="s">
        <v>323</v>
      </c>
      <c r="C62" s="4"/>
      <c r="AB62" s="55">
        <f>SUM(AB60:AB61)</f>
        <v>0</v>
      </c>
      <c r="AC62" s="55">
        <f t="shared" ref="AC62:CN62" si="541">SUM(AC60:AC61)</f>
        <v>0</v>
      </c>
      <c r="AD62" s="55">
        <f t="shared" si="541"/>
        <v>0</v>
      </c>
      <c r="AE62" s="55">
        <f t="shared" si="541"/>
        <v>0</v>
      </c>
      <c r="AF62" s="55">
        <f t="shared" si="541"/>
        <v>0</v>
      </c>
      <c r="AG62" s="55">
        <f t="shared" si="541"/>
        <v>0</v>
      </c>
      <c r="AH62" s="55">
        <f t="shared" si="541"/>
        <v>600</v>
      </c>
      <c r="AI62" s="55">
        <f t="shared" ref="AI62:AJ62" si="542">SUM(AI60:AI61)</f>
        <v>890</v>
      </c>
      <c r="AJ62" s="360">
        <f t="shared" si="542"/>
        <v>335</v>
      </c>
      <c r="AK62" s="55">
        <f t="shared" ref="AK62" si="543">SUM(AK60:AK61)</f>
        <v>4062.5687499999999</v>
      </c>
      <c r="AL62" s="55">
        <f t="shared" si="541"/>
        <v>519.59999999999991</v>
      </c>
      <c r="AM62" s="360">
        <f t="shared" si="541"/>
        <v>519.59999999999991</v>
      </c>
      <c r="AN62" s="55">
        <f t="shared" si="541"/>
        <v>0</v>
      </c>
      <c r="AO62" s="55">
        <f t="shared" si="541"/>
        <v>750.63492063491992</v>
      </c>
      <c r="AP62" s="55">
        <f t="shared" si="541"/>
        <v>0</v>
      </c>
      <c r="AQ62" s="55">
        <f t="shared" si="541"/>
        <v>0</v>
      </c>
      <c r="AR62" s="55">
        <f t="shared" si="541"/>
        <v>427.47826086956309</v>
      </c>
      <c r="AS62" s="55">
        <f t="shared" si="541"/>
        <v>0</v>
      </c>
      <c r="AT62" s="55">
        <f t="shared" si="541"/>
        <v>537.49999999999864</v>
      </c>
      <c r="AU62" s="55">
        <f t="shared" si="541"/>
        <v>3776.495215311003</v>
      </c>
      <c r="AV62" s="55">
        <f t="shared" si="541"/>
        <v>1432.2278911564608</v>
      </c>
      <c r="AW62" s="55">
        <f t="shared" si="541"/>
        <v>4655.8061079545441</v>
      </c>
      <c r="AX62" s="55">
        <f t="shared" si="541"/>
        <v>0</v>
      </c>
      <c r="AY62" s="360">
        <f t="shared" si="541"/>
        <v>0</v>
      </c>
      <c r="AZ62" s="55">
        <f t="shared" si="541"/>
        <v>0</v>
      </c>
      <c r="BA62" s="55">
        <f t="shared" si="541"/>
        <v>3219.7777777777715</v>
      </c>
      <c r="BB62" s="55">
        <f t="shared" si="541"/>
        <v>181.83095238094751</v>
      </c>
      <c r="BC62" s="55">
        <f t="shared" si="541"/>
        <v>2054.3529411764653</v>
      </c>
      <c r="BD62" s="55">
        <f t="shared" si="541"/>
        <v>2755.2565217391234</v>
      </c>
      <c r="BE62" s="55">
        <f t="shared" si="541"/>
        <v>0</v>
      </c>
      <c r="BF62" s="55">
        <f t="shared" si="541"/>
        <v>3779.0454545454468</v>
      </c>
      <c r="BG62" s="55">
        <f t="shared" si="541"/>
        <v>7954.2015550239112</v>
      </c>
      <c r="BH62" s="55">
        <f t="shared" si="541"/>
        <v>4576.5816326530512</v>
      </c>
      <c r="BI62" s="55">
        <f t="shared" si="541"/>
        <v>8482.0312499999891</v>
      </c>
      <c r="BJ62" s="55">
        <f t="shared" si="541"/>
        <v>2283.3499999999931</v>
      </c>
      <c r="BK62" s="360">
        <f t="shared" si="541"/>
        <v>3520.3999999999896</v>
      </c>
      <c r="BL62" s="55">
        <f t="shared" si="541"/>
        <v>0</v>
      </c>
      <c r="BM62" s="55">
        <f t="shared" si="541"/>
        <v>7007.6888888888734</v>
      </c>
      <c r="BN62" s="55">
        <f t="shared" si="541"/>
        <v>3196.8557142857035</v>
      </c>
      <c r="BO62" s="55">
        <f t="shared" si="541"/>
        <v>5540.2117647058703</v>
      </c>
      <c r="BP62" s="55">
        <f t="shared" si="541"/>
        <v>6398.2178260869432</v>
      </c>
      <c r="BQ62" s="55">
        <f t="shared" si="541"/>
        <v>1402.1958333333246</v>
      </c>
      <c r="BR62" s="55">
        <f t="shared" si="541"/>
        <v>7451.6999999999853</v>
      </c>
      <c r="BS62" s="55">
        <f t="shared" si="541"/>
        <v>14757.894736842085</v>
      </c>
      <c r="BT62" s="55">
        <f t="shared" si="541"/>
        <v>9014.4081632652924</v>
      </c>
      <c r="BU62" s="55">
        <f t="shared" si="541"/>
        <v>13640.5646306818</v>
      </c>
      <c r="BV62" s="55">
        <f t="shared" si="541"/>
        <v>6323.3299999999899</v>
      </c>
      <c r="BW62" s="360">
        <f t="shared" si="541"/>
        <v>7428.5599999999849</v>
      </c>
      <c r="BX62" s="55">
        <f t="shared" si="541"/>
        <v>2429.8249999999898</v>
      </c>
      <c r="BY62" s="55">
        <f t="shared" si="541"/>
        <v>13387.802666666641</v>
      </c>
      <c r="BZ62" s="55">
        <f t="shared" si="541"/>
        <v>6942.603952380935</v>
      </c>
      <c r="CA62" s="55">
        <f t="shared" si="541"/>
        <v>8643.8256684491789</v>
      </c>
      <c r="CB62" s="55">
        <f t="shared" si="541"/>
        <v>13278.183999999976</v>
      </c>
      <c r="CC62" s="55">
        <f t="shared" si="541"/>
        <v>4408.5324999999857</v>
      </c>
      <c r="CD62" s="55">
        <f t="shared" si="541"/>
        <v>12017.260454545431</v>
      </c>
      <c r="CE62" s="55">
        <f t="shared" si="541"/>
        <v>24558.926435406658</v>
      </c>
      <c r="CF62" s="55">
        <f t="shared" si="541"/>
        <v>14114.692857142836</v>
      </c>
      <c r="CG62" s="55">
        <f t="shared" si="541"/>
        <v>22880.249999999971</v>
      </c>
      <c r="CH62" s="55">
        <f t="shared" si="541"/>
        <v>11468.161999999984</v>
      </c>
      <c r="CI62" s="360">
        <f t="shared" si="541"/>
        <v>11329.267999999978</v>
      </c>
      <c r="CJ62" s="55">
        <f t="shared" si="541"/>
        <v>7147.2752272727093</v>
      </c>
      <c r="CK62" s="55">
        <f t="shared" si="541"/>
        <v>19981.038476190439</v>
      </c>
      <c r="CL62" s="55">
        <f t="shared" si="541"/>
        <v>11511.29603809521</v>
      </c>
      <c r="CM62" s="55">
        <f t="shared" si="541"/>
        <v>15918.074802139001</v>
      </c>
      <c r="CN62" s="55">
        <f t="shared" si="541"/>
        <v>21268.457599999954</v>
      </c>
      <c r="CO62" s="55">
        <f t="shared" ref="CO62:DG62" si="544">SUM(CO60:CO61)</f>
        <v>8149.8627499999739</v>
      </c>
      <c r="CP62" s="55">
        <f t="shared" si="544"/>
        <v>20768.231999999956</v>
      </c>
      <c r="CQ62" s="55">
        <f t="shared" si="544"/>
        <v>37126.528110047766</v>
      </c>
      <c r="CR62" s="55">
        <f t="shared" si="544"/>
        <v>21195.270748299277</v>
      </c>
      <c r="CS62" s="55">
        <f t="shared" si="544"/>
        <v>36653.174147727223</v>
      </c>
      <c r="CT62" s="55">
        <f t="shared" si="544"/>
        <v>18642.051799999961</v>
      </c>
      <c r="CU62" s="360">
        <f t="shared" si="544"/>
        <v>18486.975199999953</v>
      </c>
      <c r="CV62" s="55">
        <f t="shared" si="544"/>
        <v>12594.395545454501</v>
      </c>
      <c r="CW62" s="55">
        <f t="shared" si="544"/>
        <v>30520.755453968166</v>
      </c>
      <c r="CX62" s="55">
        <f t="shared" si="544"/>
        <v>17575.925159999944</v>
      </c>
      <c r="CY62" s="55">
        <f t="shared" si="544"/>
        <v>26345.235199999923</v>
      </c>
      <c r="CZ62" s="55">
        <f t="shared" si="544"/>
        <v>32275.840639999911</v>
      </c>
      <c r="DA62" s="55">
        <f t="shared" si="544"/>
        <v>12949.81699999995</v>
      </c>
      <c r="DB62" s="55">
        <f t="shared" si="544"/>
        <v>33294.86683636353</v>
      </c>
      <c r="DC62" s="55">
        <f t="shared" si="544"/>
        <v>51953.539473684068</v>
      </c>
      <c r="DD62" s="55">
        <f t="shared" si="544"/>
        <v>34128.655142857046</v>
      </c>
      <c r="DE62" s="55">
        <f t="shared" si="544"/>
        <v>54081.524772727149</v>
      </c>
      <c r="DF62" s="55">
        <f t="shared" si="544"/>
        <v>27069.957859999919</v>
      </c>
      <c r="DG62" s="55">
        <f t="shared" si="544"/>
        <v>30129.8969599999</v>
      </c>
    </row>
    <row r="63" spans="1:111" s="55" customFormat="1" x14ac:dyDescent="0.3">
      <c r="A63" s="3"/>
      <c r="B63" s="4" t="s">
        <v>8</v>
      </c>
      <c r="C63" s="4"/>
      <c r="D63" s="55">
        <f t="shared" ref="D63:J63" si="545">(D14)-(0)</f>
        <v>0</v>
      </c>
      <c r="E63" s="55">
        <f t="shared" si="545"/>
        <v>0</v>
      </c>
      <c r="F63" s="55">
        <f t="shared" si="545"/>
        <v>0</v>
      </c>
      <c r="G63" s="55">
        <f t="shared" si="545"/>
        <v>0</v>
      </c>
      <c r="H63" s="55">
        <f t="shared" si="545"/>
        <v>0</v>
      </c>
      <c r="I63" s="55">
        <f t="shared" si="545"/>
        <v>0</v>
      </c>
      <c r="J63" s="55">
        <f t="shared" si="545"/>
        <v>0</v>
      </c>
      <c r="K63" s="55">
        <f t="shared" ref="K63:AA63" si="546">K14</f>
        <v>375</v>
      </c>
      <c r="L63" s="55">
        <f t="shared" si="546"/>
        <v>1075</v>
      </c>
      <c r="M63" s="55">
        <f t="shared" si="546"/>
        <v>3765</v>
      </c>
      <c r="N63" s="55">
        <f t="shared" si="546"/>
        <v>2090</v>
      </c>
      <c r="O63" s="55">
        <f t="shared" si="546"/>
        <v>2032.5</v>
      </c>
      <c r="P63" s="55">
        <f t="shared" si="546"/>
        <v>1545.99</v>
      </c>
      <c r="Q63" s="55">
        <f t="shared" si="546"/>
        <v>1255.75</v>
      </c>
      <c r="R63" s="55">
        <f t="shared" si="546"/>
        <v>1206.75</v>
      </c>
      <c r="S63" s="55">
        <f t="shared" si="546"/>
        <v>1957.41</v>
      </c>
      <c r="T63" s="55">
        <f t="shared" si="546"/>
        <v>2486.9299999999998</v>
      </c>
      <c r="U63" s="55">
        <f t="shared" si="546"/>
        <v>2043.43</v>
      </c>
      <c r="V63" s="55">
        <f t="shared" si="546"/>
        <v>2835.5</v>
      </c>
      <c r="W63" s="55">
        <f t="shared" si="546"/>
        <v>7078.66</v>
      </c>
      <c r="X63" s="55">
        <f t="shared" si="546"/>
        <v>8756.09</v>
      </c>
      <c r="Y63" s="55">
        <f t="shared" si="546"/>
        <v>8196.3700000000008</v>
      </c>
      <c r="Z63" s="55">
        <f t="shared" si="546"/>
        <v>4938.12</v>
      </c>
      <c r="AA63" s="55">
        <f t="shared" si="546"/>
        <v>2144.5</v>
      </c>
      <c r="AB63" s="55">
        <f>AB14-AB62</f>
        <v>3002</v>
      </c>
      <c r="AC63" s="55">
        <f t="shared" ref="AC63:CN63" si="547">AC14-AC62</f>
        <v>4357.5</v>
      </c>
      <c r="AD63" s="55">
        <f t="shared" si="547"/>
        <v>3479.5</v>
      </c>
      <c r="AE63" s="55">
        <f t="shared" si="547"/>
        <v>4018</v>
      </c>
      <c r="AF63" s="55">
        <f t="shared" si="547"/>
        <v>5420.08</v>
      </c>
      <c r="AG63" s="55">
        <f t="shared" si="547"/>
        <v>4308.26</v>
      </c>
      <c r="AH63" s="55">
        <f t="shared" si="547"/>
        <v>8460.8900000000012</v>
      </c>
      <c r="AI63" s="55">
        <f t="shared" ref="AI63:AJ63" si="548">AI14-AI62</f>
        <v>13221.26</v>
      </c>
      <c r="AJ63" s="360">
        <f t="shared" si="548"/>
        <v>9562.5</v>
      </c>
      <c r="AK63" s="55">
        <f t="shared" ref="AK63" si="549">AK14-AK62</f>
        <v>8301.6674810485019</v>
      </c>
      <c r="AL63" s="55">
        <f t="shared" si="547"/>
        <v>5147.8082264242948</v>
      </c>
      <c r="AM63" s="360">
        <f t="shared" si="547"/>
        <v>4936.4995153157179</v>
      </c>
      <c r="AN63" s="55">
        <f t="shared" si="547"/>
        <v>4543.4824885819553</v>
      </c>
      <c r="AO63" s="55">
        <f t="shared" si="547"/>
        <v>7654.1970450949184</v>
      </c>
      <c r="AP63" s="55">
        <f t="shared" si="547"/>
        <v>5347.1934813694088</v>
      </c>
      <c r="AQ63" s="55">
        <f t="shared" si="547"/>
        <v>7172.0897270070318</v>
      </c>
      <c r="AR63" s="55">
        <f t="shared" si="547"/>
        <v>7593.2528502170144</v>
      </c>
      <c r="AS63" s="55">
        <f t="shared" si="547"/>
        <v>4573.1015152840446</v>
      </c>
      <c r="AT63" s="55">
        <f t="shared" si="547"/>
        <v>8046.5154122415297</v>
      </c>
      <c r="AU63" s="55">
        <f t="shared" si="547"/>
        <v>8854.3346283260089</v>
      </c>
      <c r="AV63" s="55">
        <f t="shared" si="547"/>
        <v>8787.7539354016062</v>
      </c>
      <c r="AW63" s="55">
        <f t="shared" si="547"/>
        <v>9113.4569675312887</v>
      </c>
      <c r="AX63" s="55">
        <f t="shared" si="547"/>
        <v>6355.8814306015847</v>
      </c>
      <c r="AY63" s="360">
        <f t="shared" si="547"/>
        <v>7462.6519028561643</v>
      </c>
      <c r="AZ63" s="55">
        <f t="shared" si="547"/>
        <v>5507.1205544347276</v>
      </c>
      <c r="BA63" s="55">
        <f t="shared" si="547"/>
        <v>8149.4611380270417</v>
      </c>
      <c r="BB63" s="55">
        <f t="shared" si="547"/>
        <v>7584.5042251596633</v>
      </c>
      <c r="BC63" s="55">
        <f t="shared" si="547"/>
        <v>7888.3248721538257</v>
      </c>
      <c r="BD63" s="55">
        <f t="shared" si="547"/>
        <v>8061.5126724779784</v>
      </c>
      <c r="BE63" s="55">
        <f t="shared" si="547"/>
        <v>6809.8770183379365</v>
      </c>
      <c r="BF63" s="55">
        <f t="shared" si="547"/>
        <v>8904.4876212392974</v>
      </c>
      <c r="BG63" s="55">
        <f t="shared" si="547"/>
        <v>9939.474056795174</v>
      </c>
      <c r="BH63" s="55">
        <f t="shared" si="547"/>
        <v>9826.4625229148187</v>
      </c>
      <c r="BI63" s="55">
        <f t="shared" si="547"/>
        <v>10118.080645403399</v>
      </c>
      <c r="BJ63" s="55">
        <f t="shared" si="547"/>
        <v>8199.5010170469959</v>
      </c>
      <c r="BK63" s="360">
        <f t="shared" si="547"/>
        <v>8170.011119394886</v>
      </c>
      <c r="BL63" s="55">
        <f t="shared" si="547"/>
        <v>7391.9250020078762</v>
      </c>
      <c r="BM63" s="55">
        <f t="shared" si="547"/>
        <v>8909.2455932378598</v>
      </c>
      <c r="BN63" s="55">
        <f t="shared" si="547"/>
        <v>8210.0746596925346</v>
      </c>
      <c r="BO63" s="55">
        <f t="shared" si="547"/>
        <v>8576.0327829156267</v>
      </c>
      <c r="BP63" s="55">
        <f t="shared" si="547"/>
        <v>8794.3369459722453</v>
      </c>
      <c r="BQ63" s="55">
        <f t="shared" si="547"/>
        <v>8200.072967398457</v>
      </c>
      <c r="BR63" s="55">
        <f t="shared" si="547"/>
        <v>9876.5657788448952</v>
      </c>
      <c r="BS63" s="55">
        <f t="shared" si="547"/>
        <v>11706.701126016393</v>
      </c>
      <c r="BT63" s="55">
        <f t="shared" si="547"/>
        <v>11292.458052109607</v>
      </c>
      <c r="BU63" s="55">
        <f t="shared" si="547"/>
        <v>11472.518658048992</v>
      </c>
      <c r="BV63" s="55">
        <f t="shared" si="547"/>
        <v>9122.4615330049164</v>
      </c>
      <c r="BW63" s="360">
        <f t="shared" si="547"/>
        <v>8938.0155671528373</v>
      </c>
      <c r="BX63" s="55">
        <f t="shared" si="547"/>
        <v>8048.5074107732926</v>
      </c>
      <c r="BY63" s="55">
        <f t="shared" si="547"/>
        <v>10188.977648357279</v>
      </c>
      <c r="BZ63" s="55">
        <f t="shared" si="547"/>
        <v>8987.2587752470645</v>
      </c>
      <c r="CA63" s="55">
        <f t="shared" si="547"/>
        <v>9188.3294769606146</v>
      </c>
      <c r="CB63" s="55">
        <f t="shared" si="547"/>
        <v>10178.322608143742</v>
      </c>
      <c r="CC63" s="55">
        <f t="shared" si="547"/>
        <v>8966.2028459658322</v>
      </c>
      <c r="CD63" s="55">
        <f t="shared" si="547"/>
        <v>11084.978260923912</v>
      </c>
      <c r="CE63" s="55">
        <f t="shared" si="547"/>
        <v>14252.472674075809</v>
      </c>
      <c r="CF63" s="55">
        <f t="shared" si="547"/>
        <v>12977.290595082744</v>
      </c>
      <c r="CG63" s="55">
        <f t="shared" si="547"/>
        <v>13898.514607974546</v>
      </c>
      <c r="CH63" s="55">
        <f t="shared" si="547"/>
        <v>10297.832895545531</v>
      </c>
      <c r="CI63" s="360">
        <f t="shared" si="547"/>
        <v>9704.5555996502371</v>
      </c>
      <c r="CJ63" s="55">
        <f t="shared" si="547"/>
        <v>9025.9890067391279</v>
      </c>
      <c r="CK63" s="55">
        <f t="shared" si="547"/>
        <v>11511.458015681968</v>
      </c>
      <c r="CL63" s="55">
        <f t="shared" si="547"/>
        <v>9935.1908550823136</v>
      </c>
      <c r="CM63" s="55">
        <f t="shared" si="547"/>
        <v>10623.430244760961</v>
      </c>
      <c r="CN63" s="55">
        <f t="shared" si="547"/>
        <v>11785.659594938512</v>
      </c>
      <c r="CO63" s="55">
        <f t="shared" ref="CO63:DG63" si="550">CO14-CO62</f>
        <v>9919.6372772769028</v>
      </c>
      <c r="CP63" s="55">
        <f t="shared" si="550"/>
        <v>13401.185296429783</v>
      </c>
      <c r="CQ63" s="55">
        <f t="shared" si="550"/>
        <v>17516.847665877023</v>
      </c>
      <c r="CR63" s="55">
        <f t="shared" si="550"/>
        <v>15316.294938976913</v>
      </c>
      <c r="CS63" s="55">
        <f t="shared" si="550"/>
        <v>17514.769584791327</v>
      </c>
      <c r="CT63" s="55">
        <f t="shared" si="550"/>
        <v>11936.756115767723</v>
      </c>
      <c r="CU63" s="360">
        <f t="shared" si="550"/>
        <v>11111.13848401247</v>
      </c>
      <c r="CV63" s="55">
        <f t="shared" si="550"/>
        <v>10154.662252988184</v>
      </c>
      <c r="CW63" s="55">
        <f t="shared" si="550"/>
        <v>13625.529039827015</v>
      </c>
      <c r="CX63" s="55">
        <f t="shared" si="550"/>
        <v>11193.506449370783</v>
      </c>
      <c r="CY63" s="55">
        <f t="shared" si="550"/>
        <v>12680.553339932885</v>
      </c>
      <c r="CZ63" s="55">
        <f t="shared" si="550"/>
        <v>13999.923432913918</v>
      </c>
      <c r="DA63" s="55">
        <f t="shared" si="550"/>
        <v>11142.849703035865</v>
      </c>
      <c r="DB63" s="55">
        <f t="shared" si="550"/>
        <v>16716.734842956314</v>
      </c>
      <c r="DC63" s="55">
        <f t="shared" si="550"/>
        <v>21368.093619690961</v>
      </c>
      <c r="DD63" s="55">
        <f t="shared" si="550"/>
        <v>19588.720543941614</v>
      </c>
      <c r="DE63" s="55">
        <f t="shared" si="550"/>
        <v>22090.802895463727</v>
      </c>
      <c r="DF63" s="55">
        <f t="shared" si="550"/>
        <v>13862.167757801213</v>
      </c>
      <c r="DG63" s="55">
        <f t="shared" si="550"/>
        <v>13399.124568660442</v>
      </c>
    </row>
    <row r="64" spans="1:111" s="3" customFormat="1" x14ac:dyDescent="0.3">
      <c r="A64" s="452"/>
      <c r="B64" s="458"/>
      <c r="C64" s="459" t="s">
        <v>329</v>
      </c>
      <c r="D64" s="460"/>
      <c r="E64" s="461">
        <f t="shared" ref="E64:O64" si="551">+E50/8</f>
        <v>0</v>
      </c>
      <c r="F64" s="461">
        <f t="shared" si="551"/>
        <v>252.75</v>
      </c>
      <c r="G64" s="461">
        <f t="shared" si="551"/>
        <v>252.875</v>
      </c>
      <c r="H64" s="461">
        <f t="shared" si="551"/>
        <v>253</v>
      </c>
      <c r="I64" s="461">
        <f t="shared" si="551"/>
        <v>253.125</v>
      </c>
      <c r="J64" s="461">
        <f t="shared" si="551"/>
        <v>253.25</v>
      </c>
      <c r="K64" s="461">
        <f t="shared" si="551"/>
        <v>253.375</v>
      </c>
      <c r="L64" s="461">
        <f t="shared" si="551"/>
        <v>253.5</v>
      </c>
      <c r="M64" s="461">
        <f t="shared" si="551"/>
        <v>253.625</v>
      </c>
      <c r="N64" s="461">
        <f t="shared" si="551"/>
        <v>253.75</v>
      </c>
      <c r="O64" s="461">
        <f t="shared" si="551"/>
        <v>0</v>
      </c>
      <c r="P64" s="461" t="e">
        <f>+P63/#REF!</f>
        <v>#REF!</v>
      </c>
      <c r="Q64" s="461" t="e">
        <f>+Q63/#REF!</f>
        <v>#REF!</v>
      </c>
      <c r="R64" s="461" t="e">
        <f>+R63/#REF!</f>
        <v>#REF!</v>
      </c>
      <c r="S64" s="461" t="e">
        <f>+S63/#REF!</f>
        <v>#REF!</v>
      </c>
      <c r="T64" s="461" t="e">
        <f>+T63/#REF!</f>
        <v>#REF!</v>
      </c>
      <c r="U64" s="461" t="e">
        <f>+U63/#REF!</f>
        <v>#REF!</v>
      </c>
      <c r="V64" s="461" t="e">
        <f>+V63/#REF!</f>
        <v>#REF!</v>
      </c>
      <c r="W64" s="461" t="e">
        <f>+W63/#REF!</f>
        <v>#REF!</v>
      </c>
      <c r="X64" s="461" t="e">
        <f>+X63/#REF!</f>
        <v>#REF!</v>
      </c>
      <c r="Y64" s="461" t="e">
        <f>+Y63/#REF!</f>
        <v>#REF!</v>
      </c>
      <c r="Z64" s="461" t="e">
        <f>+Z63/#REF!</f>
        <v>#REF!</v>
      </c>
      <c r="AA64" s="461" t="e">
        <f>+AA63/#REF!</f>
        <v>#REF!</v>
      </c>
      <c r="AB64" s="461">
        <f>+AB63/AB14</f>
        <v>1</v>
      </c>
      <c r="AC64" s="461">
        <f t="shared" ref="AC64:CN64" si="552">+AC63/AC14</f>
        <v>1</v>
      </c>
      <c r="AD64" s="461">
        <f t="shared" si="552"/>
        <v>1</v>
      </c>
      <c r="AE64" s="461">
        <f t="shared" si="552"/>
        <v>1</v>
      </c>
      <c r="AF64" s="461">
        <f t="shared" si="552"/>
        <v>1</v>
      </c>
      <c r="AG64" s="461">
        <f t="shared" si="552"/>
        <v>1</v>
      </c>
      <c r="AH64" s="461">
        <f t="shared" si="552"/>
        <v>0.93378133936070296</v>
      </c>
      <c r="AI64" s="461">
        <f t="shared" ref="AI64:AJ64" si="553">+AI63/AI14</f>
        <v>0.93692979932337717</v>
      </c>
      <c r="AJ64" s="464">
        <f t="shared" si="553"/>
        <v>0.9661530689568073</v>
      </c>
      <c r="AK64" s="461">
        <f t="shared" ref="AK64" si="554">+AK63/AK14</f>
        <v>0.67142582250262539</v>
      </c>
      <c r="AL64" s="461">
        <f t="shared" si="552"/>
        <v>0.90831788019480142</v>
      </c>
      <c r="AM64" s="464">
        <f t="shared" si="552"/>
        <v>0.90476713290484534</v>
      </c>
      <c r="AN64" s="461">
        <f t="shared" si="552"/>
        <v>1</v>
      </c>
      <c r="AO64" s="461">
        <f t="shared" si="552"/>
        <v>0.91069007403174917</v>
      </c>
      <c r="AP64" s="461">
        <f t="shared" si="552"/>
        <v>1</v>
      </c>
      <c r="AQ64" s="461">
        <f t="shared" si="552"/>
        <v>1</v>
      </c>
      <c r="AR64" s="461">
        <f t="shared" si="552"/>
        <v>0.94670332979013772</v>
      </c>
      <c r="AS64" s="461">
        <f t="shared" si="552"/>
        <v>1</v>
      </c>
      <c r="AT64" s="461">
        <f t="shared" si="552"/>
        <v>0.93738361661915492</v>
      </c>
      <c r="AU64" s="461">
        <f t="shared" si="552"/>
        <v>0.70100973078871187</v>
      </c>
      <c r="AV64" s="461">
        <f t="shared" si="552"/>
        <v>0.85986003542250788</v>
      </c>
      <c r="AW64" s="461">
        <f t="shared" si="552"/>
        <v>0.66186962349179534</v>
      </c>
      <c r="AX64" s="461">
        <f t="shared" si="552"/>
        <v>1</v>
      </c>
      <c r="AY64" s="464">
        <f t="shared" si="552"/>
        <v>1</v>
      </c>
      <c r="AZ64" s="461">
        <f t="shared" si="552"/>
        <v>1</v>
      </c>
      <c r="BA64" s="461">
        <f t="shared" si="552"/>
        <v>0.71679918052369929</v>
      </c>
      <c r="BB64" s="461">
        <f t="shared" si="552"/>
        <v>0.97658729011506185</v>
      </c>
      <c r="BC64" s="461">
        <f t="shared" si="552"/>
        <v>0.79338031667664377</v>
      </c>
      <c r="BD64" s="461">
        <f t="shared" si="552"/>
        <v>0.7452791612478753</v>
      </c>
      <c r="BE64" s="461">
        <f t="shared" si="552"/>
        <v>1</v>
      </c>
      <c r="BF64" s="461">
        <f t="shared" si="552"/>
        <v>0.70205104272086793</v>
      </c>
      <c r="BG64" s="461">
        <f t="shared" si="552"/>
        <v>0.55547413915506427</v>
      </c>
      <c r="BH64" s="461">
        <f t="shared" si="552"/>
        <v>0.68224900352861484</v>
      </c>
      <c r="BI64" s="461">
        <f t="shared" si="552"/>
        <v>0.54397955788125463</v>
      </c>
      <c r="BJ64" s="461">
        <f t="shared" si="552"/>
        <v>0.78218234750385573</v>
      </c>
      <c r="BK64" s="464">
        <f t="shared" si="552"/>
        <v>0.69886431161009377</v>
      </c>
      <c r="BL64" s="461">
        <f t="shared" si="552"/>
        <v>1</v>
      </c>
      <c r="BM64" s="461">
        <f t="shared" si="552"/>
        <v>0.55973376049528445</v>
      </c>
      <c r="BN64" s="461">
        <f t="shared" si="552"/>
        <v>0.71974443522698739</v>
      </c>
      <c r="BO64" s="461">
        <f t="shared" si="552"/>
        <v>0.60752934351513743</v>
      </c>
      <c r="BP64" s="461">
        <f t="shared" si="552"/>
        <v>0.57885833409309262</v>
      </c>
      <c r="BQ64" s="461">
        <f t="shared" si="552"/>
        <v>0.85397244521769022</v>
      </c>
      <c r="BR64" s="461">
        <f t="shared" si="552"/>
        <v>0.5699685072295374</v>
      </c>
      <c r="BS64" s="461">
        <f t="shared" si="552"/>
        <v>0.44235329293072889</v>
      </c>
      <c r="BT64" s="461">
        <f t="shared" si="552"/>
        <v>0.55609063123485636</v>
      </c>
      <c r="BU64" s="461">
        <f t="shared" si="552"/>
        <v>0.45683433316995981</v>
      </c>
      <c r="BV64" s="461">
        <f t="shared" si="552"/>
        <v>0.59061146290313704</v>
      </c>
      <c r="BW64" s="464">
        <f t="shared" si="552"/>
        <v>0.54611397054195865</v>
      </c>
      <c r="BX64" s="461">
        <f t="shared" si="552"/>
        <v>0.76810957080329223</v>
      </c>
      <c r="BY64" s="461">
        <f t="shared" si="552"/>
        <v>0.43216153826841736</v>
      </c>
      <c r="BZ64" s="461">
        <f t="shared" si="552"/>
        <v>0.56417678726508969</v>
      </c>
      <c r="CA64" s="461">
        <f t="shared" si="552"/>
        <v>0.51526747059094524</v>
      </c>
      <c r="CB64" s="461">
        <f t="shared" si="552"/>
        <v>0.43392320852287503</v>
      </c>
      <c r="CC64" s="461">
        <f t="shared" si="552"/>
        <v>0.67038357126597514</v>
      </c>
      <c r="CD64" s="461">
        <f t="shared" si="552"/>
        <v>0.47982268720569365</v>
      </c>
      <c r="CE64" s="461">
        <f t="shared" si="552"/>
        <v>0.36722388270186374</v>
      </c>
      <c r="CF64" s="461">
        <f t="shared" si="552"/>
        <v>0.47900850884421575</v>
      </c>
      <c r="CG64" s="461">
        <f t="shared" si="552"/>
        <v>0.37789509126037951</v>
      </c>
      <c r="CH64" s="461">
        <f t="shared" si="552"/>
        <v>0.47311565333744598</v>
      </c>
      <c r="CI64" s="464">
        <f t="shared" si="552"/>
        <v>0.4613785769227246</v>
      </c>
      <c r="CJ64" s="461">
        <f t="shared" si="552"/>
        <v>0.55808084726383023</v>
      </c>
      <c r="CK64" s="461">
        <f t="shared" si="552"/>
        <v>0.36553018331375692</v>
      </c>
      <c r="CL64" s="461">
        <f t="shared" si="552"/>
        <v>0.4632549332936603</v>
      </c>
      <c r="CM64" s="461">
        <f t="shared" si="552"/>
        <v>0.40025726596848638</v>
      </c>
      <c r="CN64" s="461">
        <f t="shared" si="552"/>
        <v>0.35655647753143549</v>
      </c>
      <c r="CO64" s="461">
        <f t="shared" ref="CO64:DG64" si="555">+CO63/CO14</f>
        <v>0.54897131975443036</v>
      </c>
      <c r="CP64" s="461">
        <f t="shared" si="555"/>
        <v>0.39219823914966301</v>
      </c>
      <c r="CQ64" s="461">
        <f t="shared" si="555"/>
        <v>0.32056671860296621</v>
      </c>
      <c r="CR64" s="461">
        <f t="shared" si="555"/>
        <v>0.41949159535260477</v>
      </c>
      <c r="CS64" s="461">
        <f t="shared" si="555"/>
        <v>0.32334196903023132</v>
      </c>
      <c r="CT64" s="461">
        <f t="shared" si="555"/>
        <v>0.39036041393924459</v>
      </c>
      <c r="CU64" s="464">
        <f t="shared" si="555"/>
        <v>0.37540022322484051</v>
      </c>
      <c r="CV64" s="461">
        <f t="shared" si="555"/>
        <v>0.44637726726789245</v>
      </c>
      <c r="CW64" s="461">
        <f t="shared" si="555"/>
        <v>0.30864497875788621</v>
      </c>
      <c r="CX64" s="461">
        <f t="shared" si="555"/>
        <v>0.38907638501015274</v>
      </c>
      <c r="CY64" s="461">
        <f t="shared" si="555"/>
        <v>0.32492753674810737</v>
      </c>
      <c r="CZ64" s="461">
        <f t="shared" si="555"/>
        <v>0.30253251812017873</v>
      </c>
      <c r="DA64" s="461">
        <f t="shared" si="555"/>
        <v>0.46249964108920338</v>
      </c>
      <c r="DB64" s="461">
        <f t="shared" si="555"/>
        <v>0.33425713797662282</v>
      </c>
      <c r="DC64" s="461">
        <f t="shared" si="555"/>
        <v>0.29142959203430063</v>
      </c>
      <c r="DD64" s="461">
        <f t="shared" si="555"/>
        <v>0.36466264953363403</v>
      </c>
      <c r="DE64" s="461">
        <f t="shared" si="555"/>
        <v>0.29001086840475687</v>
      </c>
      <c r="DF64" s="461">
        <f t="shared" si="555"/>
        <v>0.33866229883191407</v>
      </c>
      <c r="DG64" s="487">
        <f t="shared" si="555"/>
        <v>0.30782048615170921</v>
      </c>
    </row>
    <row r="65" spans="1:111" s="55" customFormat="1" x14ac:dyDescent="0.3">
      <c r="A65"/>
      <c r="B65" s="1"/>
      <c r="C65" s="1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361"/>
      <c r="AK65" s="57"/>
      <c r="AL65" s="57"/>
      <c r="AM65" s="361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361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361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361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361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361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</row>
    <row r="66" spans="1:111" s="55" customFormat="1" x14ac:dyDescent="0.3">
      <c r="A66"/>
      <c r="B66" s="1" t="s">
        <v>9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/>
      <c r="AC66"/>
      <c r="AD66"/>
      <c r="AE66"/>
      <c r="AF66"/>
      <c r="AG66"/>
      <c r="AH66"/>
      <c r="AI66"/>
      <c r="AJ66" s="196"/>
      <c r="AK66"/>
      <c r="AL66"/>
      <c r="AM66" s="196"/>
      <c r="AN66"/>
      <c r="AO66"/>
      <c r="AP66"/>
      <c r="AQ66"/>
      <c r="AR66"/>
      <c r="AS66"/>
      <c r="AT66"/>
      <c r="AU66"/>
      <c r="AV66"/>
      <c r="AW66"/>
      <c r="AX66"/>
      <c r="AY66" s="196"/>
      <c r="AZ66"/>
      <c r="BA66"/>
      <c r="BB66"/>
      <c r="BC66"/>
      <c r="BD66"/>
      <c r="BE66"/>
      <c r="BF66"/>
      <c r="BG66"/>
      <c r="BH66"/>
      <c r="BI66"/>
      <c r="BJ66"/>
      <c r="BK66" s="196"/>
      <c r="BL66"/>
      <c r="BM66"/>
      <c r="BN66"/>
      <c r="BO66"/>
      <c r="BP66"/>
      <c r="BQ66"/>
      <c r="BR66"/>
      <c r="BS66"/>
      <c r="BT66"/>
      <c r="BU66"/>
      <c r="BV66"/>
      <c r="BW66" s="196"/>
      <c r="BX66"/>
      <c r="BY66"/>
      <c r="BZ66"/>
      <c r="CA66"/>
      <c r="CB66"/>
      <c r="CC66"/>
      <c r="CD66"/>
      <c r="CE66"/>
      <c r="CF66"/>
      <c r="CG66"/>
      <c r="CH66"/>
      <c r="CI66" s="196"/>
      <c r="CJ66"/>
      <c r="CK66"/>
      <c r="CL66"/>
      <c r="CM66"/>
      <c r="CN66"/>
      <c r="CO66"/>
      <c r="CP66"/>
      <c r="CQ66"/>
      <c r="CR66"/>
      <c r="CS66"/>
      <c r="CT66"/>
      <c r="CU66" s="196"/>
      <c r="CV66"/>
      <c r="CW66"/>
      <c r="CX66"/>
      <c r="CY66"/>
      <c r="CZ66"/>
      <c r="DA66"/>
      <c r="DB66"/>
      <c r="DC66"/>
      <c r="DD66"/>
      <c r="DE66"/>
      <c r="DF66"/>
      <c r="DG66"/>
    </row>
    <row r="67" spans="1:111" s="57" customFormat="1" x14ac:dyDescent="0.3">
      <c r="A67"/>
      <c r="B67" s="1" t="s">
        <v>276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/>
      <c r="AC67"/>
      <c r="AD67"/>
      <c r="AE67"/>
      <c r="AF67"/>
      <c r="AG67"/>
      <c r="AH67"/>
      <c r="AI67"/>
      <c r="AJ67" s="196"/>
      <c r="AK67"/>
      <c r="AL67"/>
      <c r="AM67" s="196"/>
      <c r="AN67"/>
      <c r="AO67"/>
      <c r="AP67"/>
      <c r="AQ67"/>
      <c r="AR67"/>
      <c r="AS67"/>
      <c r="AT67"/>
      <c r="AU67"/>
      <c r="AV67"/>
      <c r="AW67"/>
      <c r="AX67"/>
      <c r="AY67" s="196"/>
      <c r="AZ67"/>
      <c r="BA67"/>
      <c r="BB67"/>
      <c r="BC67"/>
      <c r="BD67"/>
      <c r="BE67"/>
      <c r="BF67"/>
      <c r="BG67"/>
      <c r="BH67"/>
      <c r="BI67"/>
      <c r="BJ67"/>
      <c r="BK67" s="196"/>
      <c r="BL67"/>
      <c r="BM67"/>
      <c r="BN67"/>
      <c r="BO67"/>
      <c r="BP67"/>
      <c r="BQ67"/>
      <c r="BR67"/>
      <c r="BS67"/>
      <c r="BT67"/>
      <c r="BU67"/>
      <c r="BV67"/>
      <c r="BW67" s="196"/>
      <c r="BX67"/>
      <c r="BY67"/>
      <c r="BZ67"/>
      <c r="CA67"/>
      <c r="CB67"/>
      <c r="CC67"/>
      <c r="CD67"/>
      <c r="CE67"/>
      <c r="CF67"/>
      <c r="CG67"/>
      <c r="CH67"/>
      <c r="CI67" s="196"/>
      <c r="CJ67"/>
      <c r="CK67"/>
      <c r="CL67"/>
      <c r="CM67"/>
      <c r="CN67"/>
      <c r="CO67"/>
      <c r="CP67"/>
      <c r="CQ67"/>
      <c r="CR67"/>
      <c r="CS67"/>
      <c r="CT67"/>
      <c r="CU67" s="196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 s="57" customFormat="1" x14ac:dyDescent="0.3">
      <c r="A68"/>
      <c r="B68" s="1" t="s">
        <v>275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/>
      <c r="AC68" s="114">
        <v>1179.44</v>
      </c>
      <c r="AD68" s="114"/>
      <c r="AE68" s="114">
        <v>2400</v>
      </c>
      <c r="AF68" s="114"/>
      <c r="AG68" s="114">
        <v>665.56</v>
      </c>
      <c r="AH68" s="114">
        <v>0</v>
      </c>
      <c r="AI68" s="114">
        <v>0</v>
      </c>
      <c r="AJ68" s="197">
        <v>0</v>
      </c>
      <c r="AK68" s="322">
        <v>1400</v>
      </c>
      <c r="AL68" s="322">
        <v>0</v>
      </c>
      <c r="AM68" s="197">
        <v>0</v>
      </c>
      <c r="AN68" s="322">
        <v>1000</v>
      </c>
      <c r="AO68" s="112">
        <f>+IF(AO3&lt;&gt;AN3, SUM(AL68:AN68), 0)*1.1</f>
        <v>0</v>
      </c>
      <c r="AP68" s="112">
        <f t="shared" ref="AP68:DA68" si="556">+IF(AP3&lt;&gt;AO3, SUM(AM68:AO68), 0)*1.1</f>
        <v>0</v>
      </c>
      <c r="AQ68" s="112">
        <f t="shared" si="556"/>
        <v>1100</v>
      </c>
      <c r="AR68" s="112">
        <f t="shared" si="556"/>
        <v>0</v>
      </c>
      <c r="AS68" s="112">
        <f t="shared" si="556"/>
        <v>0</v>
      </c>
      <c r="AT68" s="112">
        <f t="shared" si="556"/>
        <v>1210</v>
      </c>
      <c r="AU68" s="112">
        <f t="shared" si="556"/>
        <v>0</v>
      </c>
      <c r="AV68" s="112">
        <f t="shared" si="556"/>
        <v>0</v>
      </c>
      <c r="AW68" s="112">
        <f t="shared" si="556"/>
        <v>1331</v>
      </c>
      <c r="AX68" s="112">
        <f t="shared" si="556"/>
        <v>0</v>
      </c>
      <c r="AY68" s="197">
        <f t="shared" si="556"/>
        <v>0</v>
      </c>
      <c r="AZ68" s="432">
        <f t="shared" si="556"/>
        <v>1464.1000000000001</v>
      </c>
      <c r="BA68" s="112">
        <f t="shared" si="556"/>
        <v>0</v>
      </c>
      <c r="BB68" s="112">
        <f t="shared" si="556"/>
        <v>0</v>
      </c>
      <c r="BC68" s="112">
        <f t="shared" si="556"/>
        <v>1610.5100000000002</v>
      </c>
      <c r="BD68" s="112">
        <f t="shared" si="556"/>
        <v>0</v>
      </c>
      <c r="BE68" s="112">
        <f t="shared" si="556"/>
        <v>0</v>
      </c>
      <c r="BF68" s="112">
        <f t="shared" si="556"/>
        <v>1771.5610000000004</v>
      </c>
      <c r="BG68" s="112">
        <f t="shared" si="556"/>
        <v>0</v>
      </c>
      <c r="BH68" s="112">
        <f t="shared" si="556"/>
        <v>0</v>
      </c>
      <c r="BI68" s="112">
        <f t="shared" si="556"/>
        <v>1948.7171000000005</v>
      </c>
      <c r="BJ68" s="112">
        <f t="shared" si="556"/>
        <v>0</v>
      </c>
      <c r="BK68" s="197">
        <f t="shared" si="556"/>
        <v>0</v>
      </c>
      <c r="BL68" s="432">
        <f t="shared" si="556"/>
        <v>2143.5888100000006</v>
      </c>
      <c r="BM68" s="112">
        <f t="shared" si="556"/>
        <v>0</v>
      </c>
      <c r="BN68" s="112">
        <f t="shared" si="556"/>
        <v>0</v>
      </c>
      <c r="BO68" s="112">
        <f t="shared" si="556"/>
        <v>2357.9476910000008</v>
      </c>
      <c r="BP68" s="112">
        <f t="shared" si="556"/>
        <v>0</v>
      </c>
      <c r="BQ68" s="112">
        <f t="shared" si="556"/>
        <v>0</v>
      </c>
      <c r="BR68" s="112">
        <f t="shared" si="556"/>
        <v>2593.7424601000012</v>
      </c>
      <c r="BS68" s="112">
        <f t="shared" si="556"/>
        <v>0</v>
      </c>
      <c r="BT68" s="112">
        <f t="shared" si="556"/>
        <v>0</v>
      </c>
      <c r="BU68" s="112">
        <f t="shared" si="556"/>
        <v>2853.1167061100014</v>
      </c>
      <c r="BV68" s="112">
        <f t="shared" si="556"/>
        <v>0</v>
      </c>
      <c r="BW68" s="197">
        <f t="shared" si="556"/>
        <v>0</v>
      </c>
      <c r="BX68" s="112">
        <f t="shared" si="556"/>
        <v>3138.4283767210018</v>
      </c>
      <c r="BY68" s="112">
        <f t="shared" si="556"/>
        <v>0</v>
      </c>
      <c r="BZ68" s="112">
        <f t="shared" si="556"/>
        <v>0</v>
      </c>
      <c r="CA68" s="112">
        <f t="shared" si="556"/>
        <v>3452.2712143931021</v>
      </c>
      <c r="CB68" s="112">
        <f t="shared" si="556"/>
        <v>0</v>
      </c>
      <c r="CC68" s="112">
        <f t="shared" si="556"/>
        <v>0</v>
      </c>
      <c r="CD68" s="112">
        <f t="shared" si="556"/>
        <v>3797.4983358324125</v>
      </c>
      <c r="CE68" s="112">
        <f t="shared" si="556"/>
        <v>0</v>
      </c>
      <c r="CF68" s="112">
        <f t="shared" si="556"/>
        <v>0</v>
      </c>
      <c r="CG68" s="112">
        <f t="shared" si="556"/>
        <v>4177.248169415654</v>
      </c>
      <c r="CH68" s="112">
        <f t="shared" si="556"/>
        <v>0</v>
      </c>
      <c r="CI68" s="197">
        <f t="shared" si="556"/>
        <v>0</v>
      </c>
      <c r="CJ68" s="112">
        <f t="shared" si="556"/>
        <v>4594.9729863572202</v>
      </c>
      <c r="CK68" s="112">
        <f t="shared" si="556"/>
        <v>0</v>
      </c>
      <c r="CL68" s="112">
        <f t="shared" si="556"/>
        <v>0</v>
      </c>
      <c r="CM68" s="112">
        <f t="shared" si="556"/>
        <v>5054.4702849929427</v>
      </c>
      <c r="CN68" s="112">
        <f t="shared" si="556"/>
        <v>0</v>
      </c>
      <c r="CO68" s="112">
        <f t="shared" si="556"/>
        <v>0</v>
      </c>
      <c r="CP68" s="112">
        <f t="shared" si="556"/>
        <v>5559.9173134922376</v>
      </c>
      <c r="CQ68" s="112">
        <f t="shared" si="556"/>
        <v>0</v>
      </c>
      <c r="CR68" s="112">
        <f t="shared" si="556"/>
        <v>0</v>
      </c>
      <c r="CS68" s="112">
        <f t="shared" si="556"/>
        <v>6115.9090448414618</v>
      </c>
      <c r="CT68" s="112">
        <f t="shared" si="556"/>
        <v>0</v>
      </c>
      <c r="CU68" s="197">
        <f t="shared" si="556"/>
        <v>0</v>
      </c>
      <c r="CV68" s="432">
        <f t="shared" si="556"/>
        <v>6727.4999493256082</v>
      </c>
      <c r="CW68" s="112">
        <f t="shared" si="556"/>
        <v>0</v>
      </c>
      <c r="CX68" s="112">
        <f t="shared" si="556"/>
        <v>0</v>
      </c>
      <c r="CY68" s="112">
        <f t="shared" si="556"/>
        <v>7400.2499442581693</v>
      </c>
      <c r="CZ68" s="112">
        <f t="shared" si="556"/>
        <v>0</v>
      </c>
      <c r="DA68" s="112">
        <f t="shared" si="556"/>
        <v>0</v>
      </c>
      <c r="DB68" s="112">
        <f t="shared" ref="DB68:DG68" si="557">+IF(DB3&lt;&gt;DA3, SUM(CY68:DA68), 0)*1.1</f>
        <v>8140.2749386839869</v>
      </c>
      <c r="DC68" s="112">
        <f t="shared" si="557"/>
        <v>0</v>
      </c>
      <c r="DD68" s="112">
        <f t="shared" si="557"/>
        <v>0</v>
      </c>
      <c r="DE68" s="112">
        <f t="shared" si="557"/>
        <v>8954.3024325523857</v>
      </c>
      <c r="DF68" s="112">
        <f t="shared" si="557"/>
        <v>0</v>
      </c>
      <c r="DG68" s="112">
        <f t="shared" si="557"/>
        <v>0</v>
      </c>
    </row>
    <row r="69" spans="1:111" x14ac:dyDescent="0.3">
      <c r="B69" s="1" t="s">
        <v>277</v>
      </c>
      <c r="C69" s="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>
        <f>SUM(P68)</f>
        <v>0</v>
      </c>
      <c r="Q69" s="55">
        <f t="shared" ref="Q69:CB69" si="558">SUM(Q68)</f>
        <v>0</v>
      </c>
      <c r="R69" s="55">
        <f t="shared" si="558"/>
        <v>0</v>
      </c>
      <c r="S69" s="55">
        <f t="shared" si="558"/>
        <v>0</v>
      </c>
      <c r="T69" s="55">
        <f t="shared" si="558"/>
        <v>0</v>
      </c>
      <c r="U69" s="55">
        <f t="shared" si="558"/>
        <v>0</v>
      </c>
      <c r="V69" s="55">
        <f t="shared" si="558"/>
        <v>0</v>
      </c>
      <c r="W69" s="55">
        <f t="shared" si="558"/>
        <v>0</v>
      </c>
      <c r="X69" s="55">
        <f t="shared" si="558"/>
        <v>0</v>
      </c>
      <c r="Y69" s="55">
        <f t="shared" si="558"/>
        <v>0</v>
      </c>
      <c r="Z69" s="55">
        <f t="shared" si="558"/>
        <v>0</v>
      </c>
      <c r="AA69" s="55">
        <f t="shared" si="558"/>
        <v>0</v>
      </c>
      <c r="AB69" s="55">
        <f t="shared" si="558"/>
        <v>0</v>
      </c>
      <c r="AC69" s="55">
        <f t="shared" si="558"/>
        <v>1179.44</v>
      </c>
      <c r="AD69" s="55">
        <f t="shared" ref="AD69" si="559">SUM(AD68)</f>
        <v>0</v>
      </c>
      <c r="AE69" s="55">
        <f t="shared" ref="AE69" si="560">SUM(AE68)</f>
        <v>2400</v>
      </c>
      <c r="AF69" s="55">
        <f t="shared" ref="AF69:AG69" si="561">SUM(AF68)</f>
        <v>0</v>
      </c>
      <c r="AG69" s="55">
        <f t="shared" si="561"/>
        <v>665.56</v>
      </c>
      <c r="AH69" s="55">
        <f t="shared" ref="AH69" si="562">SUM(AH68)</f>
        <v>0</v>
      </c>
      <c r="AI69" s="55">
        <f t="shared" ref="AI69" si="563">SUM(AI68)</f>
        <v>0</v>
      </c>
      <c r="AJ69" s="360">
        <f t="shared" ref="AJ69" si="564">SUM(AJ68)</f>
        <v>0</v>
      </c>
      <c r="AK69" s="55">
        <f t="shared" si="558"/>
        <v>1400</v>
      </c>
      <c r="AL69" s="55">
        <f t="shared" si="558"/>
        <v>0</v>
      </c>
      <c r="AM69" s="360">
        <f t="shared" si="558"/>
        <v>0</v>
      </c>
      <c r="AN69" s="55">
        <f t="shared" si="558"/>
        <v>1000</v>
      </c>
      <c r="AO69" s="55">
        <f t="shared" si="558"/>
        <v>0</v>
      </c>
      <c r="AP69" s="55">
        <f t="shared" si="558"/>
        <v>0</v>
      </c>
      <c r="AQ69" s="55">
        <f t="shared" si="558"/>
        <v>1100</v>
      </c>
      <c r="AR69" s="55">
        <f t="shared" si="558"/>
        <v>0</v>
      </c>
      <c r="AS69" s="55">
        <f t="shared" si="558"/>
        <v>0</v>
      </c>
      <c r="AT69" s="55">
        <f t="shared" si="558"/>
        <v>1210</v>
      </c>
      <c r="AU69" s="55">
        <f t="shared" si="558"/>
        <v>0</v>
      </c>
      <c r="AV69" s="55">
        <f t="shared" si="558"/>
        <v>0</v>
      </c>
      <c r="AW69" s="55">
        <f t="shared" si="558"/>
        <v>1331</v>
      </c>
      <c r="AX69" s="55">
        <f t="shared" si="558"/>
        <v>0</v>
      </c>
      <c r="AY69" s="360">
        <f t="shared" si="558"/>
        <v>0</v>
      </c>
      <c r="AZ69" s="55">
        <f t="shared" si="558"/>
        <v>1464.1000000000001</v>
      </c>
      <c r="BA69" s="55">
        <f t="shared" si="558"/>
        <v>0</v>
      </c>
      <c r="BB69" s="55">
        <f t="shared" si="558"/>
        <v>0</v>
      </c>
      <c r="BC69" s="55">
        <f t="shared" si="558"/>
        <v>1610.5100000000002</v>
      </c>
      <c r="BD69" s="55">
        <f t="shared" si="558"/>
        <v>0</v>
      </c>
      <c r="BE69" s="55">
        <f t="shared" si="558"/>
        <v>0</v>
      </c>
      <c r="BF69" s="55">
        <f t="shared" si="558"/>
        <v>1771.5610000000004</v>
      </c>
      <c r="BG69" s="55">
        <f t="shared" si="558"/>
        <v>0</v>
      </c>
      <c r="BH69" s="55">
        <f t="shared" si="558"/>
        <v>0</v>
      </c>
      <c r="BI69" s="55">
        <f t="shared" si="558"/>
        <v>1948.7171000000005</v>
      </c>
      <c r="BJ69" s="55">
        <f t="shared" si="558"/>
        <v>0</v>
      </c>
      <c r="BK69" s="360">
        <f t="shared" si="558"/>
        <v>0</v>
      </c>
      <c r="BL69" s="55">
        <f t="shared" si="558"/>
        <v>2143.5888100000006</v>
      </c>
      <c r="BM69" s="55">
        <f t="shared" si="558"/>
        <v>0</v>
      </c>
      <c r="BN69" s="55">
        <f t="shared" si="558"/>
        <v>0</v>
      </c>
      <c r="BO69" s="55">
        <f t="shared" si="558"/>
        <v>2357.9476910000008</v>
      </c>
      <c r="BP69" s="55">
        <f t="shared" si="558"/>
        <v>0</v>
      </c>
      <c r="BQ69" s="55">
        <f t="shared" si="558"/>
        <v>0</v>
      </c>
      <c r="BR69" s="55">
        <f t="shared" si="558"/>
        <v>2593.7424601000012</v>
      </c>
      <c r="BS69" s="55">
        <f t="shared" si="558"/>
        <v>0</v>
      </c>
      <c r="BT69" s="55">
        <f t="shared" si="558"/>
        <v>0</v>
      </c>
      <c r="BU69" s="55">
        <f t="shared" si="558"/>
        <v>2853.1167061100014</v>
      </c>
      <c r="BV69" s="55">
        <f t="shared" si="558"/>
        <v>0</v>
      </c>
      <c r="BW69" s="360">
        <f t="shared" si="558"/>
        <v>0</v>
      </c>
      <c r="BX69" s="55">
        <f t="shared" si="558"/>
        <v>3138.4283767210018</v>
      </c>
      <c r="BY69" s="55">
        <f t="shared" si="558"/>
        <v>0</v>
      </c>
      <c r="BZ69" s="55">
        <f t="shared" si="558"/>
        <v>0</v>
      </c>
      <c r="CA69" s="55">
        <f t="shared" si="558"/>
        <v>3452.2712143931021</v>
      </c>
      <c r="CB69" s="55">
        <f t="shared" si="558"/>
        <v>0</v>
      </c>
      <c r="CC69" s="55">
        <f t="shared" ref="CC69:DG69" si="565">SUM(CC68)</f>
        <v>0</v>
      </c>
      <c r="CD69" s="55">
        <f t="shared" si="565"/>
        <v>3797.4983358324125</v>
      </c>
      <c r="CE69" s="55">
        <f t="shared" si="565"/>
        <v>0</v>
      </c>
      <c r="CF69" s="55">
        <f t="shared" si="565"/>
        <v>0</v>
      </c>
      <c r="CG69" s="55">
        <f t="shared" si="565"/>
        <v>4177.248169415654</v>
      </c>
      <c r="CH69" s="55">
        <f t="shared" si="565"/>
        <v>0</v>
      </c>
      <c r="CI69" s="360">
        <f t="shared" si="565"/>
        <v>0</v>
      </c>
      <c r="CJ69" s="55">
        <f t="shared" si="565"/>
        <v>4594.9729863572202</v>
      </c>
      <c r="CK69" s="55">
        <f t="shared" si="565"/>
        <v>0</v>
      </c>
      <c r="CL69" s="55">
        <f t="shared" si="565"/>
        <v>0</v>
      </c>
      <c r="CM69" s="55">
        <f t="shared" si="565"/>
        <v>5054.4702849929427</v>
      </c>
      <c r="CN69" s="55">
        <f t="shared" si="565"/>
        <v>0</v>
      </c>
      <c r="CO69" s="55">
        <f t="shared" si="565"/>
        <v>0</v>
      </c>
      <c r="CP69" s="55">
        <f t="shared" si="565"/>
        <v>5559.9173134922376</v>
      </c>
      <c r="CQ69" s="55">
        <f t="shared" si="565"/>
        <v>0</v>
      </c>
      <c r="CR69" s="55">
        <f t="shared" si="565"/>
        <v>0</v>
      </c>
      <c r="CS69" s="55">
        <f t="shared" si="565"/>
        <v>6115.9090448414618</v>
      </c>
      <c r="CT69" s="55">
        <f t="shared" si="565"/>
        <v>0</v>
      </c>
      <c r="CU69" s="360">
        <f t="shared" si="565"/>
        <v>0</v>
      </c>
      <c r="CV69" s="55">
        <f t="shared" si="565"/>
        <v>6727.4999493256082</v>
      </c>
      <c r="CW69" s="55">
        <f t="shared" si="565"/>
        <v>0</v>
      </c>
      <c r="CX69" s="55">
        <f t="shared" si="565"/>
        <v>0</v>
      </c>
      <c r="CY69" s="55">
        <f t="shared" si="565"/>
        <v>7400.2499442581693</v>
      </c>
      <c r="CZ69" s="55">
        <f t="shared" si="565"/>
        <v>0</v>
      </c>
      <c r="DA69" s="55">
        <f t="shared" si="565"/>
        <v>0</v>
      </c>
      <c r="DB69" s="55">
        <f t="shared" si="565"/>
        <v>8140.2749386839869</v>
      </c>
      <c r="DC69" s="55">
        <f t="shared" si="565"/>
        <v>0</v>
      </c>
      <c r="DD69" s="55">
        <f t="shared" si="565"/>
        <v>0</v>
      </c>
      <c r="DE69" s="55">
        <f t="shared" si="565"/>
        <v>8954.3024325523857</v>
      </c>
      <c r="DF69" s="55">
        <f t="shared" si="565"/>
        <v>0</v>
      </c>
      <c r="DG69" s="55">
        <f t="shared" si="565"/>
        <v>0</v>
      </c>
    </row>
    <row r="70" spans="1:111" s="57" customFormat="1" x14ac:dyDescent="0.3">
      <c r="A70"/>
      <c r="B70" s="1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/>
      <c r="AC70"/>
      <c r="AD70"/>
      <c r="AE70"/>
      <c r="AF70"/>
      <c r="AG70"/>
      <c r="AH70"/>
      <c r="AI70"/>
      <c r="AJ70" s="196"/>
      <c r="AK70"/>
      <c r="AL70"/>
      <c r="AM70" s="196"/>
      <c r="AN70"/>
      <c r="AO70"/>
      <c r="AP70"/>
      <c r="AQ70"/>
      <c r="AR70"/>
      <c r="AS70"/>
      <c r="AT70"/>
      <c r="AU70"/>
      <c r="AV70"/>
      <c r="AW70"/>
      <c r="AX70"/>
      <c r="AY70" s="196"/>
      <c r="AZ70"/>
      <c r="BA70"/>
      <c r="BB70"/>
      <c r="BC70"/>
      <c r="BD70"/>
      <c r="BE70"/>
      <c r="BF70"/>
      <c r="BG70"/>
      <c r="BH70"/>
      <c r="BI70"/>
      <c r="BJ70"/>
      <c r="BK70" s="196"/>
      <c r="BL70"/>
      <c r="BM70"/>
      <c r="BN70"/>
      <c r="BO70"/>
      <c r="BP70"/>
      <c r="BQ70"/>
      <c r="BR70"/>
      <c r="BS70"/>
      <c r="BT70"/>
      <c r="BU70"/>
      <c r="BV70"/>
      <c r="BW70" s="196"/>
      <c r="BX70"/>
      <c r="BY70"/>
      <c r="BZ70"/>
      <c r="CA70"/>
      <c r="CB70"/>
      <c r="CC70"/>
      <c r="CD70"/>
      <c r="CE70"/>
      <c r="CF70"/>
      <c r="CG70"/>
      <c r="CH70"/>
      <c r="CI70" s="196"/>
      <c r="CJ70"/>
      <c r="CK70"/>
      <c r="CL70"/>
      <c r="CM70"/>
      <c r="CN70"/>
      <c r="CO70"/>
      <c r="CP70"/>
      <c r="CQ70"/>
      <c r="CR70"/>
      <c r="CS70"/>
      <c r="CT70"/>
      <c r="CU70" s="196"/>
      <c r="CV70"/>
      <c r="CW70"/>
      <c r="CX70"/>
      <c r="CY70"/>
      <c r="CZ70"/>
      <c r="DA70"/>
      <c r="DB70"/>
      <c r="DC70"/>
      <c r="DD70"/>
      <c r="DE70"/>
      <c r="DF70"/>
      <c r="DG70"/>
    </row>
    <row r="71" spans="1:111" s="57" customFormat="1" x14ac:dyDescent="0.3">
      <c r="A71"/>
      <c r="B71" s="1" t="s">
        <v>274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/>
      <c r="AC71"/>
      <c r="AD71"/>
      <c r="AE71"/>
      <c r="AF71"/>
      <c r="AG71"/>
      <c r="AH71"/>
      <c r="AI71"/>
      <c r="AJ71" s="196"/>
      <c r="AK71"/>
      <c r="AL71"/>
      <c r="AM71" s="196"/>
      <c r="AN71"/>
      <c r="AO71"/>
      <c r="AP71"/>
      <c r="AQ71"/>
      <c r="AR71"/>
      <c r="AS71"/>
      <c r="AT71"/>
      <c r="AU71"/>
      <c r="AV71"/>
      <c r="AW71"/>
      <c r="AX71"/>
      <c r="AY71" s="196"/>
      <c r="AZ71"/>
      <c r="BA71"/>
      <c r="BB71"/>
      <c r="BC71"/>
      <c r="BD71"/>
      <c r="BE71"/>
      <c r="BF71"/>
      <c r="BG71"/>
      <c r="BH71"/>
      <c r="BI71"/>
      <c r="BJ71"/>
      <c r="BK71" s="196"/>
      <c r="BL71"/>
      <c r="BM71"/>
      <c r="BN71"/>
      <c r="BO71"/>
      <c r="BP71"/>
      <c r="BQ71"/>
      <c r="BR71"/>
      <c r="BS71"/>
      <c r="BT71"/>
      <c r="BU71"/>
      <c r="BV71"/>
      <c r="BW71" s="196"/>
      <c r="BX71"/>
      <c r="BY71"/>
      <c r="BZ71"/>
      <c r="CA71"/>
      <c r="CB71"/>
      <c r="CC71"/>
      <c r="CD71"/>
      <c r="CE71"/>
      <c r="CF71"/>
      <c r="CG71"/>
      <c r="CH71"/>
      <c r="CI71" s="196"/>
      <c r="CJ71"/>
      <c r="CK71"/>
      <c r="CL71"/>
      <c r="CM71"/>
      <c r="CN71"/>
      <c r="CO71"/>
      <c r="CP71"/>
      <c r="CQ71"/>
      <c r="CR71"/>
      <c r="CS71"/>
      <c r="CT71"/>
      <c r="CU71" s="196"/>
      <c r="CV71"/>
      <c r="CW71"/>
      <c r="CX71"/>
      <c r="CY71"/>
      <c r="CZ71"/>
      <c r="DA71"/>
      <c r="DB71"/>
      <c r="DC71"/>
      <c r="DD71"/>
      <c r="DE71"/>
      <c r="DF71"/>
      <c r="DG71"/>
    </row>
    <row r="72" spans="1:111" s="57" customFormat="1" x14ac:dyDescent="0.3">
      <c r="A72"/>
      <c r="B72" s="1" t="s">
        <v>336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/>
      <c r="AC72"/>
      <c r="AD72"/>
      <c r="AE72"/>
      <c r="AF72"/>
      <c r="AG72"/>
      <c r="AH72">
        <v>13.59</v>
      </c>
      <c r="AI72">
        <v>15.71</v>
      </c>
      <c r="AJ72" s="196"/>
      <c r="AK72" s="322">
        <v>75</v>
      </c>
      <c r="AL72" s="114">
        <f t="shared" ref="AL72" si="566">AK72</f>
        <v>75</v>
      </c>
      <c r="AM72" s="197">
        <f t="shared" ref="AM72" si="567">AL72</f>
        <v>75</v>
      </c>
      <c r="AN72" s="114">
        <f t="shared" ref="AN72" si="568">AM72</f>
        <v>75</v>
      </c>
      <c r="AO72" s="114">
        <f t="shared" ref="AO72" si="569">AN72</f>
        <v>75</v>
      </c>
      <c r="AP72" s="114">
        <f t="shared" ref="AP72" si="570">AO72</f>
        <v>75</v>
      </c>
      <c r="AQ72" s="114">
        <f t="shared" ref="AQ72" si="571">AP72</f>
        <v>75</v>
      </c>
      <c r="AR72" s="114">
        <f t="shared" ref="AR72" si="572">AQ72</f>
        <v>75</v>
      </c>
      <c r="AS72" s="114">
        <f t="shared" ref="AS72" si="573">AR72</f>
        <v>75</v>
      </c>
      <c r="AT72" s="114">
        <f t="shared" ref="AT72" si="574">AS72</f>
        <v>75</v>
      </c>
      <c r="AU72" s="114">
        <f t="shared" ref="AU72" si="575">AT72</f>
        <v>75</v>
      </c>
      <c r="AV72" s="114">
        <f t="shared" ref="AV72" si="576">AU72</f>
        <v>75</v>
      </c>
      <c r="AW72" s="114">
        <f t="shared" ref="AW72" si="577">AV72</f>
        <v>75</v>
      </c>
      <c r="AX72" s="114">
        <f t="shared" ref="AX72" si="578">AW72</f>
        <v>75</v>
      </c>
      <c r="AY72" s="197">
        <f t="shared" ref="AY72" si="579">AX72</f>
        <v>75</v>
      </c>
      <c r="AZ72" s="114">
        <f t="shared" ref="AZ72" si="580">AY72</f>
        <v>75</v>
      </c>
      <c r="BA72" s="114">
        <f t="shared" ref="BA72" si="581">AZ72</f>
        <v>75</v>
      </c>
      <c r="BB72" s="114">
        <f t="shared" ref="BB72" si="582">BA72</f>
        <v>75</v>
      </c>
      <c r="BC72" s="114">
        <f t="shared" ref="BC72" si="583">BB72</f>
        <v>75</v>
      </c>
      <c r="BD72" s="114">
        <f t="shared" ref="BD72" si="584">BC72</f>
        <v>75</v>
      </c>
      <c r="BE72" s="114">
        <f t="shared" ref="BE72" si="585">BD72</f>
        <v>75</v>
      </c>
      <c r="BF72" s="114">
        <f t="shared" ref="BF72" si="586">BE72</f>
        <v>75</v>
      </c>
      <c r="BG72" s="114">
        <f t="shared" ref="BG72" si="587">BF72</f>
        <v>75</v>
      </c>
      <c r="BH72" s="114">
        <f t="shared" ref="BH72" si="588">BG72</f>
        <v>75</v>
      </c>
      <c r="BI72" s="114">
        <f t="shared" ref="BI72" si="589">BH72</f>
        <v>75</v>
      </c>
      <c r="BJ72" s="114">
        <f t="shared" ref="BJ72" si="590">BI72</f>
        <v>75</v>
      </c>
      <c r="BK72" s="197">
        <f t="shared" ref="BK72" si="591">BJ72</f>
        <v>75</v>
      </c>
      <c r="BL72" s="114">
        <f t="shared" ref="BL72" si="592">BK72</f>
        <v>75</v>
      </c>
      <c r="BM72" s="114">
        <f t="shared" ref="BM72" si="593">BL72</f>
        <v>75</v>
      </c>
      <c r="BN72" s="114">
        <f t="shared" ref="BN72" si="594">BM72</f>
        <v>75</v>
      </c>
      <c r="BO72" s="114">
        <f t="shared" ref="BO72" si="595">BN72</f>
        <v>75</v>
      </c>
      <c r="BP72" s="114">
        <f t="shared" ref="BP72" si="596">BO72</f>
        <v>75</v>
      </c>
      <c r="BQ72" s="114">
        <f t="shared" ref="BQ72" si="597">BP72</f>
        <v>75</v>
      </c>
      <c r="BR72" s="114">
        <f t="shared" ref="BR72" si="598">BQ72</f>
        <v>75</v>
      </c>
      <c r="BS72" s="114">
        <f t="shared" ref="BS72" si="599">BR72</f>
        <v>75</v>
      </c>
      <c r="BT72" s="114">
        <f t="shared" ref="BT72" si="600">BS72</f>
        <v>75</v>
      </c>
      <c r="BU72" s="114">
        <f t="shared" ref="BU72" si="601">BT72</f>
        <v>75</v>
      </c>
      <c r="BV72" s="114">
        <f t="shared" ref="BV72" si="602">BU72</f>
        <v>75</v>
      </c>
      <c r="BW72" s="197">
        <f t="shared" ref="BW72" si="603">BV72</f>
        <v>75</v>
      </c>
      <c r="BX72" s="114">
        <f t="shared" ref="BX72" si="604">BW72</f>
        <v>75</v>
      </c>
      <c r="BY72" s="114">
        <f t="shared" ref="BY72" si="605">BX72</f>
        <v>75</v>
      </c>
      <c r="BZ72" s="114">
        <f t="shared" ref="BZ72" si="606">BY72</f>
        <v>75</v>
      </c>
      <c r="CA72" s="114">
        <f t="shared" ref="CA72" si="607">BZ72</f>
        <v>75</v>
      </c>
      <c r="CB72" s="114">
        <f t="shared" ref="CB72" si="608">CA72</f>
        <v>75</v>
      </c>
      <c r="CC72" s="114">
        <f t="shared" ref="CC72" si="609">CB72</f>
        <v>75</v>
      </c>
      <c r="CD72" s="114">
        <f t="shared" ref="CD72" si="610">CC72</f>
        <v>75</v>
      </c>
      <c r="CE72" s="114">
        <f t="shared" ref="CE72" si="611">CD72</f>
        <v>75</v>
      </c>
      <c r="CF72" s="114">
        <f t="shared" ref="CF72" si="612">CE72</f>
        <v>75</v>
      </c>
      <c r="CG72" s="114">
        <f t="shared" ref="CG72" si="613">CF72</f>
        <v>75</v>
      </c>
      <c r="CH72" s="114">
        <f t="shared" ref="CH72" si="614">CG72</f>
        <v>75</v>
      </c>
      <c r="CI72" s="197">
        <f t="shared" ref="CI72" si="615">CH72</f>
        <v>75</v>
      </c>
      <c r="CJ72" s="114">
        <f t="shared" ref="CJ72" si="616">CI72</f>
        <v>75</v>
      </c>
      <c r="CK72" s="114">
        <f t="shared" ref="CK72" si="617">CJ72</f>
        <v>75</v>
      </c>
      <c r="CL72" s="114">
        <f t="shared" ref="CL72" si="618">CK72</f>
        <v>75</v>
      </c>
      <c r="CM72" s="114">
        <f t="shared" ref="CM72" si="619">CL72</f>
        <v>75</v>
      </c>
      <c r="CN72" s="114">
        <f t="shared" ref="CN72" si="620">CM72</f>
        <v>75</v>
      </c>
      <c r="CO72" s="114">
        <f t="shared" ref="CO72" si="621">CN72</f>
        <v>75</v>
      </c>
      <c r="CP72" s="114">
        <f t="shared" ref="CP72" si="622">CO72</f>
        <v>75</v>
      </c>
      <c r="CQ72" s="114">
        <f t="shared" ref="CQ72" si="623">CP72</f>
        <v>75</v>
      </c>
      <c r="CR72" s="114">
        <f t="shared" ref="CR72" si="624">CQ72</f>
        <v>75</v>
      </c>
      <c r="CS72" s="114">
        <f t="shared" ref="CS72" si="625">CR72</f>
        <v>75</v>
      </c>
      <c r="CT72" s="114">
        <f t="shared" ref="CT72" si="626">CS72</f>
        <v>75</v>
      </c>
      <c r="CU72" s="197">
        <f t="shared" ref="CU72" si="627">CT72</f>
        <v>75</v>
      </c>
      <c r="CV72" s="114">
        <f t="shared" ref="CV72" si="628">CU72</f>
        <v>75</v>
      </c>
      <c r="CW72" s="114">
        <f t="shared" ref="CW72" si="629">CV72</f>
        <v>75</v>
      </c>
      <c r="CX72" s="114">
        <f t="shared" ref="CX72" si="630">CW72</f>
        <v>75</v>
      </c>
      <c r="CY72" s="114">
        <f t="shared" ref="CY72" si="631">CX72</f>
        <v>75</v>
      </c>
      <c r="CZ72" s="114">
        <f t="shared" ref="CZ72" si="632">CY72</f>
        <v>75</v>
      </c>
      <c r="DA72" s="114">
        <f t="shared" ref="DA72" si="633">CZ72</f>
        <v>75</v>
      </c>
      <c r="DB72" s="114">
        <f t="shared" ref="DB72" si="634">DA72</f>
        <v>75</v>
      </c>
      <c r="DC72" s="114">
        <f t="shared" ref="DC72" si="635">DB72</f>
        <v>75</v>
      </c>
      <c r="DD72" s="114">
        <f t="shared" ref="DD72" si="636">DC72</f>
        <v>75</v>
      </c>
      <c r="DE72" s="114">
        <f t="shared" ref="DE72" si="637">DD72</f>
        <v>75</v>
      </c>
      <c r="DF72" s="114">
        <f t="shared" ref="DF72" si="638">DE72</f>
        <v>75</v>
      </c>
      <c r="DG72" s="114">
        <f t="shared" ref="DG72" si="639">DF72</f>
        <v>75</v>
      </c>
    </row>
    <row r="73" spans="1:111" x14ac:dyDescent="0.3">
      <c r="B73" s="1" t="s">
        <v>337</v>
      </c>
      <c r="C73" s="1"/>
      <c r="D73" s="114">
        <f>0</f>
        <v>0</v>
      </c>
      <c r="E73" s="114">
        <f>0</f>
        <v>0</v>
      </c>
      <c r="F73" s="114">
        <f>0</f>
        <v>0</v>
      </c>
      <c r="G73" s="114">
        <f>0</f>
        <v>0</v>
      </c>
      <c r="H73" s="114">
        <f>0</f>
        <v>0</v>
      </c>
      <c r="I73" s="114">
        <f>0</f>
        <v>0</v>
      </c>
      <c r="J73" s="114">
        <v>0</v>
      </c>
      <c r="K73" s="114">
        <v>0</v>
      </c>
      <c r="L73" s="114">
        <v>12</v>
      </c>
      <c r="M73" s="114">
        <v>271.2</v>
      </c>
      <c r="N73" s="114">
        <v>12</v>
      </c>
      <c r="O73" s="114">
        <v>12</v>
      </c>
      <c r="P73" s="114">
        <v>12</v>
      </c>
      <c r="Q73" s="114">
        <v>12</v>
      </c>
      <c r="R73" s="114">
        <v>12</v>
      </c>
      <c r="S73" s="114">
        <v>12</v>
      </c>
      <c r="T73" s="114">
        <v>53</v>
      </c>
      <c r="U73" s="114">
        <v>156</v>
      </c>
      <c r="V73" s="114">
        <v>12</v>
      </c>
      <c r="W73" s="114">
        <v>12</v>
      </c>
      <c r="X73" s="114">
        <v>240.91</v>
      </c>
      <c r="Y73" s="114">
        <v>352.91</v>
      </c>
      <c r="Z73" s="114">
        <v>28.91</v>
      </c>
      <c r="AA73" s="114">
        <v>28.91</v>
      </c>
      <c r="AB73" s="114">
        <v>78.91</v>
      </c>
      <c r="AC73" s="114">
        <v>28.91</v>
      </c>
      <c r="AD73" s="114">
        <v>86.19</v>
      </c>
      <c r="AE73" s="114">
        <v>12</v>
      </c>
      <c r="AF73" s="114">
        <v>154.47</v>
      </c>
      <c r="AG73" s="114">
        <v>310.12</v>
      </c>
      <c r="AH73" s="114">
        <v>1251.1300000000001</v>
      </c>
      <c r="AI73" s="114">
        <v>14.81</v>
      </c>
      <c r="AJ73" s="197">
        <v>76.75</v>
      </c>
      <c r="AK73" s="322">
        <f>AVERAGE(AD73:AI73)</f>
        <v>304.78666666666669</v>
      </c>
      <c r="AL73" s="114">
        <f t="shared" ref="AL73:CA73" si="640">AK73</f>
        <v>304.78666666666669</v>
      </c>
      <c r="AM73" s="197">
        <f t="shared" si="640"/>
        <v>304.78666666666669</v>
      </c>
      <c r="AN73" s="322">
        <f>AVERAGE(AH73:AM73)*1.2</f>
        <v>451.41</v>
      </c>
      <c r="AO73" s="114">
        <f t="shared" si="640"/>
        <v>451.41</v>
      </c>
      <c r="AP73" s="114">
        <f t="shared" si="640"/>
        <v>451.41</v>
      </c>
      <c r="AQ73" s="114">
        <f t="shared" si="640"/>
        <v>451.41</v>
      </c>
      <c r="AR73" s="114">
        <f t="shared" si="640"/>
        <v>451.41</v>
      </c>
      <c r="AS73" s="114">
        <f t="shared" si="640"/>
        <v>451.41</v>
      </c>
      <c r="AT73" s="114">
        <f t="shared" si="640"/>
        <v>451.41</v>
      </c>
      <c r="AU73" s="114">
        <f t="shared" si="640"/>
        <v>451.41</v>
      </c>
      <c r="AV73" s="114">
        <f t="shared" si="640"/>
        <v>451.41</v>
      </c>
      <c r="AW73" s="114">
        <f t="shared" si="640"/>
        <v>451.41</v>
      </c>
      <c r="AX73" s="114">
        <f t="shared" si="640"/>
        <v>451.41</v>
      </c>
      <c r="AY73" s="197">
        <f t="shared" si="640"/>
        <v>451.41</v>
      </c>
      <c r="AZ73" s="322">
        <f>AVERAGE(AT73:AY73)*1.2</f>
        <v>541.69200000000001</v>
      </c>
      <c r="BA73" s="114">
        <f t="shared" si="640"/>
        <v>541.69200000000001</v>
      </c>
      <c r="BB73" s="114">
        <f t="shared" si="640"/>
        <v>541.69200000000001</v>
      </c>
      <c r="BC73" s="114">
        <f t="shared" si="640"/>
        <v>541.69200000000001</v>
      </c>
      <c r="BD73" s="114">
        <f t="shared" si="640"/>
        <v>541.69200000000001</v>
      </c>
      <c r="BE73" s="114">
        <f t="shared" si="640"/>
        <v>541.69200000000001</v>
      </c>
      <c r="BF73" s="114">
        <f t="shared" si="640"/>
        <v>541.69200000000001</v>
      </c>
      <c r="BG73" s="114">
        <f t="shared" si="640"/>
        <v>541.69200000000001</v>
      </c>
      <c r="BH73" s="114">
        <f t="shared" si="640"/>
        <v>541.69200000000001</v>
      </c>
      <c r="BI73" s="114">
        <f t="shared" si="640"/>
        <v>541.69200000000001</v>
      </c>
      <c r="BJ73" s="114">
        <f t="shared" si="640"/>
        <v>541.69200000000001</v>
      </c>
      <c r="BK73" s="197">
        <f t="shared" si="640"/>
        <v>541.69200000000001</v>
      </c>
      <c r="BL73" s="322">
        <f>AVERAGE(BF73:BK73)*1.2</f>
        <v>650.03039999999999</v>
      </c>
      <c r="BM73" s="114">
        <f t="shared" si="640"/>
        <v>650.03039999999999</v>
      </c>
      <c r="BN73" s="114">
        <f t="shared" si="640"/>
        <v>650.03039999999999</v>
      </c>
      <c r="BO73" s="114">
        <f t="shared" si="640"/>
        <v>650.03039999999999</v>
      </c>
      <c r="BP73" s="114">
        <f t="shared" si="640"/>
        <v>650.03039999999999</v>
      </c>
      <c r="BQ73" s="114">
        <f t="shared" si="640"/>
        <v>650.03039999999999</v>
      </c>
      <c r="BR73" s="114">
        <f t="shared" si="640"/>
        <v>650.03039999999999</v>
      </c>
      <c r="BS73" s="114">
        <f t="shared" si="640"/>
        <v>650.03039999999999</v>
      </c>
      <c r="BT73" s="114">
        <f t="shared" si="640"/>
        <v>650.03039999999999</v>
      </c>
      <c r="BU73" s="114">
        <f t="shared" si="640"/>
        <v>650.03039999999999</v>
      </c>
      <c r="BV73" s="114">
        <f t="shared" si="640"/>
        <v>650.03039999999999</v>
      </c>
      <c r="BW73" s="197">
        <f t="shared" si="640"/>
        <v>650.03039999999999</v>
      </c>
      <c r="BX73" s="322">
        <f>AVERAGE(BR73:BW73)*1.2</f>
        <v>780.03647999999998</v>
      </c>
      <c r="BY73" s="114">
        <f t="shared" si="640"/>
        <v>780.03647999999998</v>
      </c>
      <c r="BZ73" s="114">
        <f t="shared" si="640"/>
        <v>780.03647999999998</v>
      </c>
      <c r="CA73" s="114">
        <f t="shared" si="640"/>
        <v>780.03647999999998</v>
      </c>
      <c r="CB73" s="114">
        <f t="shared" ref="CB73:DG73" si="641">CA73</f>
        <v>780.03647999999998</v>
      </c>
      <c r="CC73" s="114">
        <f t="shared" si="641"/>
        <v>780.03647999999998</v>
      </c>
      <c r="CD73" s="114">
        <f t="shared" si="641"/>
        <v>780.03647999999998</v>
      </c>
      <c r="CE73" s="114">
        <f t="shared" si="641"/>
        <v>780.03647999999998</v>
      </c>
      <c r="CF73" s="114">
        <f t="shared" si="641"/>
        <v>780.03647999999998</v>
      </c>
      <c r="CG73" s="114">
        <f t="shared" si="641"/>
        <v>780.03647999999998</v>
      </c>
      <c r="CH73" s="114">
        <f t="shared" si="641"/>
        <v>780.03647999999998</v>
      </c>
      <c r="CI73" s="197">
        <f t="shared" si="641"/>
        <v>780.03647999999998</v>
      </c>
      <c r="CJ73" s="322">
        <f>AVERAGE(CD73:CI73)*1.2</f>
        <v>936.04377599999975</v>
      </c>
      <c r="CK73" s="114">
        <f t="shared" si="641"/>
        <v>936.04377599999975</v>
      </c>
      <c r="CL73" s="114">
        <f t="shared" si="641"/>
        <v>936.04377599999975</v>
      </c>
      <c r="CM73" s="114">
        <f t="shared" si="641"/>
        <v>936.04377599999975</v>
      </c>
      <c r="CN73" s="114">
        <f t="shared" si="641"/>
        <v>936.04377599999975</v>
      </c>
      <c r="CO73" s="114">
        <f t="shared" si="641"/>
        <v>936.04377599999975</v>
      </c>
      <c r="CP73" s="114">
        <f t="shared" si="641"/>
        <v>936.04377599999975</v>
      </c>
      <c r="CQ73" s="114">
        <f t="shared" si="641"/>
        <v>936.04377599999975</v>
      </c>
      <c r="CR73" s="114">
        <f t="shared" si="641"/>
        <v>936.04377599999975</v>
      </c>
      <c r="CS73" s="114">
        <f t="shared" si="641"/>
        <v>936.04377599999975</v>
      </c>
      <c r="CT73" s="114">
        <f t="shared" si="641"/>
        <v>936.04377599999975</v>
      </c>
      <c r="CU73" s="197">
        <f t="shared" si="641"/>
        <v>936.04377599999975</v>
      </c>
      <c r="CV73" s="322">
        <f>AVERAGE(CP73:CU73)*1.2</f>
        <v>1123.2525311999996</v>
      </c>
      <c r="CW73" s="114">
        <f t="shared" si="641"/>
        <v>1123.2525311999996</v>
      </c>
      <c r="CX73" s="114">
        <f t="shared" si="641"/>
        <v>1123.2525311999996</v>
      </c>
      <c r="CY73" s="114">
        <f t="shared" si="641"/>
        <v>1123.2525311999996</v>
      </c>
      <c r="CZ73" s="114">
        <f t="shared" si="641"/>
        <v>1123.2525311999996</v>
      </c>
      <c r="DA73" s="114">
        <f t="shared" si="641"/>
        <v>1123.2525311999996</v>
      </c>
      <c r="DB73" s="114">
        <f t="shared" si="641"/>
        <v>1123.2525311999996</v>
      </c>
      <c r="DC73" s="114">
        <f t="shared" si="641"/>
        <v>1123.2525311999996</v>
      </c>
      <c r="DD73" s="114">
        <f t="shared" si="641"/>
        <v>1123.2525311999996</v>
      </c>
      <c r="DE73" s="114">
        <f t="shared" si="641"/>
        <v>1123.2525311999996</v>
      </c>
      <c r="DF73" s="114">
        <f t="shared" si="641"/>
        <v>1123.2525311999996</v>
      </c>
      <c r="DG73" s="114">
        <f t="shared" si="641"/>
        <v>1123.2525311999996</v>
      </c>
    </row>
    <row r="74" spans="1:111" x14ac:dyDescent="0.3">
      <c r="B74" s="1" t="s">
        <v>338</v>
      </c>
      <c r="C74" s="1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>
        <v>300</v>
      </c>
      <c r="Z74" s="114"/>
      <c r="AA74" s="114">
        <v>300</v>
      </c>
      <c r="AB74" s="114"/>
      <c r="AC74" s="114"/>
      <c r="AD74" s="114"/>
      <c r="AE74" s="114"/>
      <c r="AF74" s="114"/>
      <c r="AG74" s="114"/>
      <c r="AH74" s="114"/>
      <c r="AI74" s="114">
        <v>0</v>
      </c>
      <c r="AJ74" s="197">
        <v>0</v>
      </c>
      <c r="AK74" s="322">
        <v>0</v>
      </c>
      <c r="AL74" s="114">
        <v>0</v>
      </c>
      <c r="AM74" s="197">
        <v>0</v>
      </c>
      <c r="AN74" s="322">
        <v>0</v>
      </c>
      <c r="AO74" s="114">
        <v>0</v>
      </c>
      <c r="AP74" s="114">
        <f t="shared" ref="AP74" si="642">AO74</f>
        <v>0</v>
      </c>
      <c r="AQ74" s="114">
        <f t="shared" ref="AQ74" si="643">AP74</f>
        <v>0</v>
      </c>
      <c r="AR74" s="114">
        <f t="shared" ref="AR74" si="644">AQ74</f>
        <v>0</v>
      </c>
      <c r="AS74" s="114">
        <f t="shared" ref="AS74" si="645">AR74</f>
        <v>0</v>
      </c>
      <c r="AT74" s="114">
        <f t="shared" ref="AT74" si="646">AS74</f>
        <v>0</v>
      </c>
      <c r="AU74" s="114">
        <f t="shared" ref="AU74" si="647">AT74</f>
        <v>0</v>
      </c>
      <c r="AV74" s="114">
        <f t="shared" ref="AV74" si="648">AU74</f>
        <v>0</v>
      </c>
      <c r="AW74" s="114">
        <f t="shared" ref="AW74" si="649">AV74</f>
        <v>0</v>
      </c>
      <c r="AX74" s="114">
        <f t="shared" ref="AX74" si="650">AW74</f>
        <v>0</v>
      </c>
      <c r="AY74" s="197">
        <f t="shared" ref="AY74" si="651">AX74</f>
        <v>0</v>
      </c>
      <c r="AZ74" s="322">
        <f>AVERAGE(AT74:AY74)*1.2</f>
        <v>0</v>
      </c>
      <c r="BA74" s="114">
        <f t="shared" ref="BA74" si="652">AZ74</f>
        <v>0</v>
      </c>
      <c r="BB74" s="114">
        <f t="shared" ref="BB74" si="653">BA74</f>
        <v>0</v>
      </c>
      <c r="BC74" s="114">
        <f t="shared" ref="BC74" si="654">BB74</f>
        <v>0</v>
      </c>
      <c r="BD74" s="114">
        <f t="shared" ref="BD74" si="655">BC74</f>
        <v>0</v>
      </c>
      <c r="BE74" s="114">
        <f t="shared" ref="BE74" si="656">BD74</f>
        <v>0</v>
      </c>
      <c r="BF74" s="114">
        <f t="shared" ref="BF74" si="657">BE74</f>
        <v>0</v>
      </c>
      <c r="BG74" s="114">
        <f t="shared" ref="BG74" si="658">BF74</f>
        <v>0</v>
      </c>
      <c r="BH74" s="114">
        <f t="shared" ref="BH74" si="659">BG74</f>
        <v>0</v>
      </c>
      <c r="BI74" s="114">
        <f t="shared" ref="BI74" si="660">BH74</f>
        <v>0</v>
      </c>
      <c r="BJ74" s="114">
        <f t="shared" ref="BJ74" si="661">BI74</f>
        <v>0</v>
      </c>
      <c r="BK74" s="197">
        <f t="shared" ref="BK74" si="662">BJ74</f>
        <v>0</v>
      </c>
      <c r="BL74" s="322">
        <f>AVERAGE(BF74:BK74)*1.2</f>
        <v>0</v>
      </c>
      <c r="BM74" s="114">
        <f t="shared" ref="BM74" si="663">BL74</f>
        <v>0</v>
      </c>
      <c r="BN74" s="114">
        <f t="shared" ref="BN74" si="664">BM74</f>
        <v>0</v>
      </c>
      <c r="BO74" s="114">
        <f t="shared" ref="BO74" si="665">BN74</f>
        <v>0</v>
      </c>
      <c r="BP74" s="114">
        <f t="shared" ref="BP74" si="666">BO74</f>
        <v>0</v>
      </c>
      <c r="BQ74" s="114">
        <f t="shared" ref="BQ74" si="667">BP74</f>
        <v>0</v>
      </c>
      <c r="BR74" s="114">
        <f t="shared" ref="BR74" si="668">BQ74</f>
        <v>0</v>
      </c>
      <c r="BS74" s="114">
        <f t="shared" ref="BS74" si="669">BR74</f>
        <v>0</v>
      </c>
      <c r="BT74" s="114">
        <f t="shared" ref="BT74" si="670">BS74</f>
        <v>0</v>
      </c>
      <c r="BU74" s="114">
        <f t="shared" ref="BU74" si="671">BT74</f>
        <v>0</v>
      </c>
      <c r="BV74" s="114">
        <f t="shared" ref="BV74" si="672">BU74</f>
        <v>0</v>
      </c>
      <c r="BW74" s="197">
        <f t="shared" ref="BW74" si="673">BV74</f>
        <v>0</v>
      </c>
      <c r="BX74" s="322">
        <f>AVERAGE(BR74:BW74)*1.2</f>
        <v>0</v>
      </c>
      <c r="BY74" s="114">
        <f t="shared" ref="BY74" si="674">BX74</f>
        <v>0</v>
      </c>
      <c r="BZ74" s="114">
        <f t="shared" ref="BZ74" si="675">BY74</f>
        <v>0</v>
      </c>
      <c r="CA74" s="114">
        <f t="shared" ref="CA74" si="676">BZ74</f>
        <v>0</v>
      </c>
      <c r="CB74" s="114">
        <f t="shared" ref="CB74" si="677">CA74</f>
        <v>0</v>
      </c>
      <c r="CC74" s="114">
        <f t="shared" ref="CC74" si="678">CB74</f>
        <v>0</v>
      </c>
      <c r="CD74" s="114">
        <f t="shared" ref="CD74" si="679">CC74</f>
        <v>0</v>
      </c>
      <c r="CE74" s="114">
        <f t="shared" ref="CE74" si="680">CD74</f>
        <v>0</v>
      </c>
      <c r="CF74" s="114">
        <f t="shared" ref="CF74" si="681">CE74</f>
        <v>0</v>
      </c>
      <c r="CG74" s="114">
        <f t="shared" ref="CG74" si="682">CF74</f>
        <v>0</v>
      </c>
      <c r="CH74" s="114">
        <f t="shared" ref="CH74" si="683">CG74</f>
        <v>0</v>
      </c>
      <c r="CI74" s="197">
        <f t="shared" ref="CI74" si="684">CH74</f>
        <v>0</v>
      </c>
      <c r="CJ74" s="322">
        <f>AVERAGE(CD74:CI74)*1.2</f>
        <v>0</v>
      </c>
      <c r="CK74" s="114">
        <f t="shared" ref="CK74" si="685">CJ74</f>
        <v>0</v>
      </c>
      <c r="CL74" s="114">
        <f t="shared" ref="CL74" si="686">CK74</f>
        <v>0</v>
      </c>
      <c r="CM74" s="114">
        <f t="shared" ref="CM74" si="687">CL74</f>
        <v>0</v>
      </c>
      <c r="CN74" s="114">
        <f t="shared" ref="CN74" si="688">CM74</f>
        <v>0</v>
      </c>
      <c r="CO74" s="114">
        <f t="shared" ref="CO74" si="689">CN74</f>
        <v>0</v>
      </c>
      <c r="CP74" s="114">
        <f t="shared" ref="CP74" si="690">CO74</f>
        <v>0</v>
      </c>
      <c r="CQ74" s="114">
        <f t="shared" ref="CQ74" si="691">CP74</f>
        <v>0</v>
      </c>
      <c r="CR74" s="114">
        <f t="shared" ref="CR74" si="692">CQ74</f>
        <v>0</v>
      </c>
      <c r="CS74" s="114">
        <f t="shared" ref="CS74" si="693">CR74</f>
        <v>0</v>
      </c>
      <c r="CT74" s="114">
        <f t="shared" ref="CT74" si="694">CS74</f>
        <v>0</v>
      </c>
      <c r="CU74" s="197">
        <f t="shared" ref="CU74" si="695">CT74</f>
        <v>0</v>
      </c>
      <c r="CV74" s="322">
        <f>AVERAGE(CP74:CU74)*1.2</f>
        <v>0</v>
      </c>
      <c r="CW74" s="114">
        <f t="shared" ref="CW74" si="696">CV74</f>
        <v>0</v>
      </c>
      <c r="CX74" s="114">
        <f t="shared" ref="CX74" si="697">CW74</f>
        <v>0</v>
      </c>
      <c r="CY74" s="114">
        <f t="shared" ref="CY74" si="698">CX74</f>
        <v>0</v>
      </c>
      <c r="CZ74" s="114">
        <f t="shared" ref="CZ74" si="699">CY74</f>
        <v>0</v>
      </c>
      <c r="DA74" s="114">
        <f t="shared" ref="DA74" si="700">CZ74</f>
        <v>0</v>
      </c>
      <c r="DB74" s="114">
        <f t="shared" ref="DB74" si="701">DA74</f>
        <v>0</v>
      </c>
      <c r="DC74" s="114">
        <f t="shared" ref="DC74" si="702">DB74</f>
        <v>0</v>
      </c>
      <c r="DD74" s="114">
        <f t="shared" ref="DD74" si="703">DC74</f>
        <v>0</v>
      </c>
      <c r="DE74" s="114">
        <f t="shared" ref="DE74" si="704">DD74</f>
        <v>0</v>
      </c>
      <c r="DF74" s="114">
        <f t="shared" ref="DF74" si="705">DE74</f>
        <v>0</v>
      </c>
      <c r="DG74" s="114">
        <f t="shared" ref="DG74" si="706">DF74</f>
        <v>0</v>
      </c>
    </row>
    <row r="75" spans="1:111" x14ac:dyDescent="0.3">
      <c r="B75" s="1" t="s">
        <v>339</v>
      </c>
      <c r="C75" s="1"/>
      <c r="D75" s="114">
        <f>0</f>
        <v>0</v>
      </c>
      <c r="E75" s="114">
        <f>0</f>
        <v>0</v>
      </c>
      <c r="F75" s="114">
        <f>0</f>
        <v>0</v>
      </c>
      <c r="G75" s="114">
        <f>0</f>
        <v>0</v>
      </c>
      <c r="H75" s="114">
        <f>0</f>
        <v>0</v>
      </c>
      <c r="I75" s="114">
        <f>0</f>
        <v>0</v>
      </c>
      <c r="J75" s="114">
        <v>0</v>
      </c>
      <c r="K75" s="114">
        <v>0</v>
      </c>
      <c r="L75" s="114">
        <v>0</v>
      </c>
      <c r="M75" s="114">
        <v>50</v>
      </c>
      <c r="N75" s="114">
        <v>250</v>
      </c>
      <c r="O75" s="114">
        <v>0</v>
      </c>
      <c r="P75" s="114"/>
      <c r="Q75" s="114"/>
      <c r="R75" s="114"/>
      <c r="S75" s="114"/>
      <c r="T75" s="114"/>
      <c r="U75" s="114"/>
      <c r="V75" s="114"/>
      <c r="W75" s="114"/>
      <c r="X75" s="114">
        <v>150</v>
      </c>
      <c r="Y75" s="114"/>
      <c r="Z75" s="114">
        <v>430</v>
      </c>
      <c r="AA75" s="114"/>
      <c r="AB75" s="114"/>
      <c r="AC75" s="114"/>
      <c r="AD75" s="114">
        <v>50</v>
      </c>
      <c r="AE75" s="114"/>
      <c r="AF75" s="114">
        <v>141.19</v>
      </c>
      <c r="AG75" s="114"/>
      <c r="AH75" s="114"/>
      <c r="AI75" s="114"/>
      <c r="AJ75" s="197">
        <v>80</v>
      </c>
      <c r="AK75" s="322">
        <v>100</v>
      </c>
      <c r="AL75" s="114">
        <f t="shared" ref="AL75:CA75" si="707">AK75</f>
        <v>100</v>
      </c>
      <c r="AM75" s="197">
        <f t="shared" si="707"/>
        <v>100</v>
      </c>
      <c r="AN75" s="114">
        <f t="shared" si="707"/>
        <v>100</v>
      </c>
      <c r="AO75" s="114">
        <f t="shared" si="707"/>
        <v>100</v>
      </c>
      <c r="AP75" s="114">
        <f t="shared" si="707"/>
        <v>100</v>
      </c>
      <c r="AQ75" s="114">
        <f t="shared" si="707"/>
        <v>100</v>
      </c>
      <c r="AR75" s="114">
        <f t="shared" si="707"/>
        <v>100</v>
      </c>
      <c r="AS75" s="114">
        <f t="shared" si="707"/>
        <v>100</v>
      </c>
      <c r="AT75" s="114">
        <f t="shared" si="707"/>
        <v>100</v>
      </c>
      <c r="AU75" s="114">
        <f t="shared" si="707"/>
        <v>100</v>
      </c>
      <c r="AV75" s="114">
        <f t="shared" si="707"/>
        <v>100</v>
      </c>
      <c r="AW75" s="114">
        <f t="shared" si="707"/>
        <v>100</v>
      </c>
      <c r="AX75" s="114">
        <f t="shared" si="707"/>
        <v>100</v>
      </c>
      <c r="AY75" s="197">
        <f t="shared" si="707"/>
        <v>100</v>
      </c>
      <c r="AZ75" s="114">
        <f t="shared" si="707"/>
        <v>100</v>
      </c>
      <c r="BA75" s="114">
        <f t="shared" si="707"/>
        <v>100</v>
      </c>
      <c r="BB75" s="114">
        <f t="shared" si="707"/>
        <v>100</v>
      </c>
      <c r="BC75" s="114">
        <f t="shared" si="707"/>
        <v>100</v>
      </c>
      <c r="BD75" s="114">
        <f t="shared" si="707"/>
        <v>100</v>
      </c>
      <c r="BE75" s="114">
        <f t="shared" si="707"/>
        <v>100</v>
      </c>
      <c r="BF75" s="114">
        <f t="shared" si="707"/>
        <v>100</v>
      </c>
      <c r="BG75" s="114">
        <f t="shared" si="707"/>
        <v>100</v>
      </c>
      <c r="BH75" s="114">
        <f t="shared" si="707"/>
        <v>100</v>
      </c>
      <c r="BI75" s="114">
        <f t="shared" si="707"/>
        <v>100</v>
      </c>
      <c r="BJ75" s="114">
        <f t="shared" si="707"/>
        <v>100</v>
      </c>
      <c r="BK75" s="197">
        <f t="shared" si="707"/>
        <v>100</v>
      </c>
      <c r="BL75" s="114">
        <f t="shared" si="707"/>
        <v>100</v>
      </c>
      <c r="BM75" s="114">
        <f t="shared" si="707"/>
        <v>100</v>
      </c>
      <c r="BN75" s="114">
        <f t="shared" si="707"/>
        <v>100</v>
      </c>
      <c r="BO75" s="114">
        <f t="shared" si="707"/>
        <v>100</v>
      </c>
      <c r="BP75" s="114">
        <f t="shared" si="707"/>
        <v>100</v>
      </c>
      <c r="BQ75" s="114">
        <f t="shared" si="707"/>
        <v>100</v>
      </c>
      <c r="BR75" s="114">
        <f t="shared" si="707"/>
        <v>100</v>
      </c>
      <c r="BS75" s="114">
        <f t="shared" si="707"/>
        <v>100</v>
      </c>
      <c r="BT75" s="114">
        <f t="shared" si="707"/>
        <v>100</v>
      </c>
      <c r="BU75" s="114">
        <f t="shared" si="707"/>
        <v>100</v>
      </c>
      <c r="BV75" s="114">
        <f t="shared" si="707"/>
        <v>100</v>
      </c>
      <c r="BW75" s="197">
        <f t="shared" si="707"/>
        <v>100</v>
      </c>
      <c r="BX75" s="114">
        <f t="shared" si="707"/>
        <v>100</v>
      </c>
      <c r="BY75" s="114">
        <f t="shared" si="707"/>
        <v>100</v>
      </c>
      <c r="BZ75" s="114">
        <f t="shared" si="707"/>
        <v>100</v>
      </c>
      <c r="CA75" s="114">
        <f t="shared" si="707"/>
        <v>100</v>
      </c>
      <c r="CB75" s="114">
        <f t="shared" ref="CB75:DG75" si="708">CA75</f>
        <v>100</v>
      </c>
      <c r="CC75" s="114">
        <f t="shared" si="708"/>
        <v>100</v>
      </c>
      <c r="CD75" s="114">
        <f t="shared" si="708"/>
        <v>100</v>
      </c>
      <c r="CE75" s="114">
        <f t="shared" si="708"/>
        <v>100</v>
      </c>
      <c r="CF75" s="114">
        <f t="shared" si="708"/>
        <v>100</v>
      </c>
      <c r="CG75" s="114">
        <f t="shared" si="708"/>
        <v>100</v>
      </c>
      <c r="CH75" s="114">
        <f t="shared" si="708"/>
        <v>100</v>
      </c>
      <c r="CI75" s="197">
        <f t="shared" si="708"/>
        <v>100</v>
      </c>
      <c r="CJ75" s="114">
        <f t="shared" si="708"/>
        <v>100</v>
      </c>
      <c r="CK75" s="114">
        <f t="shared" si="708"/>
        <v>100</v>
      </c>
      <c r="CL75" s="114">
        <f t="shared" si="708"/>
        <v>100</v>
      </c>
      <c r="CM75" s="114">
        <f t="shared" si="708"/>
        <v>100</v>
      </c>
      <c r="CN75" s="114">
        <f t="shared" si="708"/>
        <v>100</v>
      </c>
      <c r="CO75" s="114">
        <f t="shared" si="708"/>
        <v>100</v>
      </c>
      <c r="CP75" s="114">
        <f t="shared" si="708"/>
        <v>100</v>
      </c>
      <c r="CQ75" s="114">
        <f t="shared" si="708"/>
        <v>100</v>
      </c>
      <c r="CR75" s="114">
        <f t="shared" si="708"/>
        <v>100</v>
      </c>
      <c r="CS75" s="114">
        <f t="shared" si="708"/>
        <v>100</v>
      </c>
      <c r="CT75" s="114">
        <f t="shared" si="708"/>
        <v>100</v>
      </c>
      <c r="CU75" s="197">
        <f t="shared" si="708"/>
        <v>100</v>
      </c>
      <c r="CV75" s="114">
        <f t="shared" si="708"/>
        <v>100</v>
      </c>
      <c r="CW75" s="114">
        <f t="shared" si="708"/>
        <v>100</v>
      </c>
      <c r="CX75" s="114">
        <f t="shared" si="708"/>
        <v>100</v>
      </c>
      <c r="CY75" s="114">
        <f t="shared" si="708"/>
        <v>100</v>
      </c>
      <c r="CZ75" s="114">
        <f t="shared" si="708"/>
        <v>100</v>
      </c>
      <c r="DA75" s="114">
        <f t="shared" si="708"/>
        <v>100</v>
      </c>
      <c r="DB75" s="114">
        <f t="shared" si="708"/>
        <v>100</v>
      </c>
      <c r="DC75" s="114">
        <f t="shared" si="708"/>
        <v>100</v>
      </c>
      <c r="DD75" s="114">
        <f t="shared" si="708"/>
        <v>100</v>
      </c>
      <c r="DE75" s="114">
        <f t="shared" si="708"/>
        <v>100</v>
      </c>
      <c r="DF75" s="114">
        <f t="shared" si="708"/>
        <v>100</v>
      </c>
      <c r="DG75" s="114">
        <f t="shared" si="708"/>
        <v>100</v>
      </c>
    </row>
    <row r="76" spans="1:111" s="5" customFormat="1" x14ac:dyDescent="0.3">
      <c r="A76"/>
      <c r="B76" s="1" t="s">
        <v>340</v>
      </c>
      <c r="C76" s="1"/>
      <c r="D76" s="114">
        <f>0</f>
        <v>0</v>
      </c>
      <c r="E76" s="114">
        <f>0</f>
        <v>0</v>
      </c>
      <c r="F76" s="114">
        <f>0</f>
        <v>0</v>
      </c>
      <c r="G76" s="114">
        <f>0</f>
        <v>0</v>
      </c>
      <c r="H76" s="114">
        <f>0</f>
        <v>0</v>
      </c>
      <c r="I76" s="114">
        <f>0</f>
        <v>0</v>
      </c>
      <c r="J76" s="114">
        <v>0</v>
      </c>
      <c r="K76" s="114">
        <v>0</v>
      </c>
      <c r="L76" s="114">
        <v>15</v>
      </c>
      <c r="M76" s="114">
        <v>19</v>
      </c>
      <c r="N76" s="114">
        <v>0</v>
      </c>
      <c r="O76" s="114">
        <v>0</v>
      </c>
      <c r="P76" s="114"/>
      <c r="Q76" s="114"/>
      <c r="R76" s="114"/>
      <c r="S76" s="114"/>
      <c r="T76" s="114"/>
      <c r="U76" s="114"/>
      <c r="V76" s="114"/>
      <c r="W76" s="114"/>
      <c r="X76" s="114"/>
      <c r="Y76" s="114">
        <v>13.86</v>
      </c>
      <c r="Z76" s="114"/>
      <c r="AA76" s="114"/>
      <c r="AB76" s="114"/>
      <c r="AC76" s="114"/>
      <c r="AD76" s="114"/>
      <c r="AE76" s="114"/>
      <c r="AF76" s="114"/>
      <c r="AG76" s="114"/>
      <c r="AH76" s="114"/>
      <c r="AI76" s="114">
        <v>42.58</v>
      </c>
      <c r="AJ76" s="197"/>
      <c r="AK76" s="322">
        <f>AVERAGE(AE76:AJ76)</f>
        <v>42.58</v>
      </c>
      <c r="AL76" s="114">
        <f t="shared" ref="AL76:CA76" si="709">AK76</f>
        <v>42.58</v>
      </c>
      <c r="AM76" s="197">
        <f t="shared" si="709"/>
        <v>42.58</v>
      </c>
      <c r="AN76" s="114">
        <f t="shared" si="709"/>
        <v>42.58</v>
      </c>
      <c r="AO76" s="114">
        <f t="shared" si="709"/>
        <v>42.58</v>
      </c>
      <c r="AP76" s="114">
        <f t="shared" si="709"/>
        <v>42.58</v>
      </c>
      <c r="AQ76" s="114">
        <f t="shared" si="709"/>
        <v>42.58</v>
      </c>
      <c r="AR76" s="114">
        <f t="shared" si="709"/>
        <v>42.58</v>
      </c>
      <c r="AS76" s="114">
        <f t="shared" si="709"/>
        <v>42.58</v>
      </c>
      <c r="AT76" s="114">
        <f t="shared" si="709"/>
        <v>42.58</v>
      </c>
      <c r="AU76" s="114">
        <f t="shared" si="709"/>
        <v>42.58</v>
      </c>
      <c r="AV76" s="114">
        <f t="shared" si="709"/>
        <v>42.58</v>
      </c>
      <c r="AW76" s="114">
        <f t="shared" si="709"/>
        <v>42.58</v>
      </c>
      <c r="AX76" s="114">
        <f t="shared" si="709"/>
        <v>42.58</v>
      </c>
      <c r="AY76" s="197">
        <f t="shared" si="709"/>
        <v>42.58</v>
      </c>
      <c r="AZ76" s="114">
        <f t="shared" si="709"/>
        <v>42.58</v>
      </c>
      <c r="BA76" s="114">
        <f t="shared" si="709"/>
        <v>42.58</v>
      </c>
      <c r="BB76" s="114">
        <f t="shared" si="709"/>
        <v>42.58</v>
      </c>
      <c r="BC76" s="114">
        <f t="shared" si="709"/>
        <v>42.58</v>
      </c>
      <c r="BD76" s="114">
        <f t="shared" si="709"/>
        <v>42.58</v>
      </c>
      <c r="BE76" s="114">
        <f t="shared" si="709"/>
        <v>42.58</v>
      </c>
      <c r="BF76" s="114">
        <f t="shared" si="709"/>
        <v>42.58</v>
      </c>
      <c r="BG76" s="114">
        <f t="shared" si="709"/>
        <v>42.58</v>
      </c>
      <c r="BH76" s="114">
        <f t="shared" si="709"/>
        <v>42.58</v>
      </c>
      <c r="BI76" s="114">
        <f t="shared" si="709"/>
        <v>42.58</v>
      </c>
      <c r="BJ76" s="114">
        <f t="shared" si="709"/>
        <v>42.58</v>
      </c>
      <c r="BK76" s="197">
        <f t="shared" si="709"/>
        <v>42.58</v>
      </c>
      <c r="BL76" s="114">
        <f t="shared" si="709"/>
        <v>42.58</v>
      </c>
      <c r="BM76" s="114">
        <f t="shared" si="709"/>
        <v>42.58</v>
      </c>
      <c r="BN76" s="114">
        <f t="shared" si="709"/>
        <v>42.58</v>
      </c>
      <c r="BO76" s="114">
        <f t="shared" si="709"/>
        <v>42.58</v>
      </c>
      <c r="BP76" s="114">
        <f t="shared" si="709"/>
        <v>42.58</v>
      </c>
      <c r="BQ76" s="114">
        <f t="shared" si="709"/>
        <v>42.58</v>
      </c>
      <c r="BR76" s="114">
        <f t="shared" si="709"/>
        <v>42.58</v>
      </c>
      <c r="BS76" s="114">
        <f t="shared" si="709"/>
        <v>42.58</v>
      </c>
      <c r="BT76" s="114">
        <f t="shared" si="709"/>
        <v>42.58</v>
      </c>
      <c r="BU76" s="114">
        <f t="shared" si="709"/>
        <v>42.58</v>
      </c>
      <c r="BV76" s="114">
        <f t="shared" si="709"/>
        <v>42.58</v>
      </c>
      <c r="BW76" s="197">
        <f t="shared" si="709"/>
        <v>42.58</v>
      </c>
      <c r="BX76" s="114">
        <f t="shared" si="709"/>
        <v>42.58</v>
      </c>
      <c r="BY76" s="114">
        <f t="shared" si="709"/>
        <v>42.58</v>
      </c>
      <c r="BZ76" s="114">
        <f t="shared" si="709"/>
        <v>42.58</v>
      </c>
      <c r="CA76" s="114">
        <f t="shared" si="709"/>
        <v>42.58</v>
      </c>
      <c r="CB76" s="114">
        <f t="shared" ref="CB76:DG76" si="710">CA76</f>
        <v>42.58</v>
      </c>
      <c r="CC76" s="114">
        <f t="shared" si="710"/>
        <v>42.58</v>
      </c>
      <c r="CD76" s="114">
        <f t="shared" si="710"/>
        <v>42.58</v>
      </c>
      <c r="CE76" s="114">
        <f t="shared" si="710"/>
        <v>42.58</v>
      </c>
      <c r="CF76" s="114">
        <f t="shared" si="710"/>
        <v>42.58</v>
      </c>
      <c r="CG76" s="114">
        <f t="shared" si="710"/>
        <v>42.58</v>
      </c>
      <c r="CH76" s="114">
        <f t="shared" si="710"/>
        <v>42.58</v>
      </c>
      <c r="CI76" s="197">
        <f t="shared" si="710"/>
        <v>42.58</v>
      </c>
      <c r="CJ76" s="114">
        <f t="shared" si="710"/>
        <v>42.58</v>
      </c>
      <c r="CK76" s="114">
        <f t="shared" si="710"/>
        <v>42.58</v>
      </c>
      <c r="CL76" s="114">
        <f t="shared" si="710"/>
        <v>42.58</v>
      </c>
      <c r="CM76" s="114">
        <f t="shared" si="710"/>
        <v>42.58</v>
      </c>
      <c r="CN76" s="114">
        <f t="shared" si="710"/>
        <v>42.58</v>
      </c>
      <c r="CO76" s="114">
        <f t="shared" si="710"/>
        <v>42.58</v>
      </c>
      <c r="CP76" s="114">
        <f t="shared" si="710"/>
        <v>42.58</v>
      </c>
      <c r="CQ76" s="114">
        <f t="shared" si="710"/>
        <v>42.58</v>
      </c>
      <c r="CR76" s="114">
        <f t="shared" si="710"/>
        <v>42.58</v>
      </c>
      <c r="CS76" s="114">
        <f t="shared" si="710"/>
        <v>42.58</v>
      </c>
      <c r="CT76" s="114">
        <f t="shared" si="710"/>
        <v>42.58</v>
      </c>
      <c r="CU76" s="197">
        <f t="shared" si="710"/>
        <v>42.58</v>
      </c>
      <c r="CV76" s="114">
        <f t="shared" si="710"/>
        <v>42.58</v>
      </c>
      <c r="CW76" s="114">
        <f t="shared" si="710"/>
        <v>42.58</v>
      </c>
      <c r="CX76" s="114">
        <f t="shared" si="710"/>
        <v>42.58</v>
      </c>
      <c r="CY76" s="114">
        <f t="shared" si="710"/>
        <v>42.58</v>
      </c>
      <c r="CZ76" s="114">
        <f t="shared" si="710"/>
        <v>42.58</v>
      </c>
      <c r="DA76" s="114">
        <f t="shared" si="710"/>
        <v>42.58</v>
      </c>
      <c r="DB76" s="114">
        <f t="shared" si="710"/>
        <v>42.58</v>
      </c>
      <c r="DC76" s="114">
        <f t="shared" si="710"/>
        <v>42.58</v>
      </c>
      <c r="DD76" s="114">
        <f t="shared" si="710"/>
        <v>42.58</v>
      </c>
      <c r="DE76" s="114">
        <f t="shared" si="710"/>
        <v>42.58</v>
      </c>
      <c r="DF76" s="114">
        <f t="shared" si="710"/>
        <v>42.58</v>
      </c>
      <c r="DG76" s="114">
        <f t="shared" si="710"/>
        <v>42.58</v>
      </c>
    </row>
    <row r="77" spans="1:111" s="5" customFormat="1" x14ac:dyDescent="0.3">
      <c r="A77"/>
      <c r="B77" s="1" t="s">
        <v>341</v>
      </c>
      <c r="C77" s="1"/>
      <c r="D77" s="114">
        <f>0</f>
        <v>0</v>
      </c>
      <c r="E77" s="114">
        <f>0</f>
        <v>0</v>
      </c>
      <c r="F77" s="114">
        <f>0</f>
        <v>0</v>
      </c>
      <c r="G77" s="114">
        <f>0</f>
        <v>0</v>
      </c>
      <c r="H77" s="114">
        <f>0</f>
        <v>0</v>
      </c>
      <c r="I77" s="114">
        <f>0</f>
        <v>0</v>
      </c>
      <c r="J77" s="114">
        <v>0</v>
      </c>
      <c r="K77" s="114">
        <v>0</v>
      </c>
      <c r="L77" s="114">
        <v>0</v>
      </c>
      <c r="M77" s="114">
        <v>279.60000000000002</v>
      </c>
      <c r="N77" s="114">
        <v>75</v>
      </c>
      <c r="O77" s="114">
        <v>75</v>
      </c>
      <c r="P77" s="114">
        <v>75</v>
      </c>
      <c r="Q77" s="114">
        <v>75</v>
      </c>
      <c r="R77" s="114"/>
      <c r="S77" s="114">
        <v>75</v>
      </c>
      <c r="T77" s="114">
        <v>165</v>
      </c>
      <c r="U77" s="114">
        <v>225</v>
      </c>
      <c r="V77" s="114">
        <v>75</v>
      </c>
      <c r="W77" s="114">
        <v>75</v>
      </c>
      <c r="X77" s="114">
        <v>225</v>
      </c>
      <c r="Y77" s="114">
        <v>75</v>
      </c>
      <c r="Z77" s="114">
        <v>75</v>
      </c>
      <c r="AA77" s="114">
        <v>225</v>
      </c>
      <c r="AB77" s="114">
        <v>75</v>
      </c>
      <c r="AC77" s="114">
        <v>112.5</v>
      </c>
      <c r="AD77" s="114">
        <v>225</v>
      </c>
      <c r="AE77" s="114">
        <v>75</v>
      </c>
      <c r="AF77" s="114">
        <v>75</v>
      </c>
      <c r="AG77" s="114">
        <v>225</v>
      </c>
      <c r="AH77" s="114">
        <v>185</v>
      </c>
      <c r="AI77" s="114">
        <v>207.5</v>
      </c>
      <c r="AJ77" s="197">
        <v>208.75</v>
      </c>
      <c r="AK77" s="322">
        <v>200</v>
      </c>
      <c r="AL77" s="114">
        <f>IF(AL3&lt;&gt;AK3, 350, 200)</f>
        <v>200</v>
      </c>
      <c r="AM77" s="197">
        <f t="shared" ref="AM77:CX77" si="711">IF(AM3&lt;&gt;AL3, 350, 200)</f>
        <v>200</v>
      </c>
      <c r="AN77" s="114">
        <f t="shared" si="711"/>
        <v>350</v>
      </c>
      <c r="AO77" s="114">
        <f t="shared" si="711"/>
        <v>200</v>
      </c>
      <c r="AP77" s="114">
        <f t="shared" si="711"/>
        <v>200</v>
      </c>
      <c r="AQ77" s="114">
        <f t="shared" si="711"/>
        <v>350</v>
      </c>
      <c r="AR77" s="114">
        <f t="shared" si="711"/>
        <v>200</v>
      </c>
      <c r="AS77" s="114">
        <f t="shared" si="711"/>
        <v>200</v>
      </c>
      <c r="AT77" s="114">
        <f t="shared" si="711"/>
        <v>350</v>
      </c>
      <c r="AU77" s="114">
        <f t="shared" si="711"/>
        <v>200</v>
      </c>
      <c r="AV77" s="114">
        <f t="shared" si="711"/>
        <v>200</v>
      </c>
      <c r="AW77" s="114">
        <f t="shared" si="711"/>
        <v>350</v>
      </c>
      <c r="AX77" s="114">
        <f t="shared" si="711"/>
        <v>200</v>
      </c>
      <c r="AY77" s="197">
        <f t="shared" si="711"/>
        <v>200</v>
      </c>
      <c r="AZ77" s="114">
        <f t="shared" si="711"/>
        <v>350</v>
      </c>
      <c r="BA77" s="114">
        <f t="shared" si="711"/>
        <v>200</v>
      </c>
      <c r="BB77" s="114">
        <f t="shared" si="711"/>
        <v>200</v>
      </c>
      <c r="BC77" s="114">
        <f t="shared" si="711"/>
        <v>350</v>
      </c>
      <c r="BD77" s="114">
        <f t="shared" si="711"/>
        <v>200</v>
      </c>
      <c r="BE77" s="114">
        <f t="shared" si="711"/>
        <v>200</v>
      </c>
      <c r="BF77" s="114">
        <f t="shared" si="711"/>
        <v>350</v>
      </c>
      <c r="BG77" s="114">
        <f t="shared" si="711"/>
        <v>200</v>
      </c>
      <c r="BH77" s="114">
        <f t="shared" si="711"/>
        <v>200</v>
      </c>
      <c r="BI77" s="114">
        <f t="shared" si="711"/>
        <v>350</v>
      </c>
      <c r="BJ77" s="114">
        <f t="shared" si="711"/>
        <v>200</v>
      </c>
      <c r="BK77" s="197">
        <f t="shared" si="711"/>
        <v>200</v>
      </c>
      <c r="BL77" s="114">
        <f t="shared" si="711"/>
        <v>350</v>
      </c>
      <c r="BM77" s="114">
        <f t="shared" si="711"/>
        <v>200</v>
      </c>
      <c r="BN77" s="114">
        <f t="shared" si="711"/>
        <v>200</v>
      </c>
      <c r="BO77" s="114">
        <f t="shared" si="711"/>
        <v>350</v>
      </c>
      <c r="BP77" s="114">
        <f t="shared" si="711"/>
        <v>200</v>
      </c>
      <c r="BQ77" s="114">
        <f t="shared" si="711"/>
        <v>200</v>
      </c>
      <c r="BR77" s="114">
        <f t="shared" si="711"/>
        <v>350</v>
      </c>
      <c r="BS77" s="114">
        <f t="shared" si="711"/>
        <v>200</v>
      </c>
      <c r="BT77" s="114">
        <f t="shared" si="711"/>
        <v>200</v>
      </c>
      <c r="BU77" s="114">
        <f t="shared" si="711"/>
        <v>350</v>
      </c>
      <c r="BV77" s="114">
        <f t="shared" si="711"/>
        <v>200</v>
      </c>
      <c r="BW77" s="197">
        <f t="shared" si="711"/>
        <v>200</v>
      </c>
      <c r="BX77" s="114">
        <f t="shared" si="711"/>
        <v>350</v>
      </c>
      <c r="BY77" s="114">
        <f t="shared" si="711"/>
        <v>200</v>
      </c>
      <c r="BZ77" s="114">
        <f t="shared" si="711"/>
        <v>200</v>
      </c>
      <c r="CA77" s="114">
        <f t="shared" si="711"/>
        <v>350</v>
      </c>
      <c r="CB77" s="114">
        <f t="shared" si="711"/>
        <v>200</v>
      </c>
      <c r="CC77" s="114">
        <f t="shared" si="711"/>
        <v>200</v>
      </c>
      <c r="CD77" s="114">
        <f t="shared" si="711"/>
        <v>350</v>
      </c>
      <c r="CE77" s="114">
        <f t="shared" si="711"/>
        <v>200</v>
      </c>
      <c r="CF77" s="114">
        <f t="shared" si="711"/>
        <v>200</v>
      </c>
      <c r="CG77" s="114">
        <f t="shared" si="711"/>
        <v>350</v>
      </c>
      <c r="CH77" s="114">
        <f t="shared" si="711"/>
        <v>200</v>
      </c>
      <c r="CI77" s="197">
        <f t="shared" si="711"/>
        <v>200</v>
      </c>
      <c r="CJ77" s="114">
        <f t="shared" si="711"/>
        <v>350</v>
      </c>
      <c r="CK77" s="114">
        <f t="shared" si="711"/>
        <v>200</v>
      </c>
      <c r="CL77" s="114">
        <f t="shared" si="711"/>
        <v>200</v>
      </c>
      <c r="CM77" s="114">
        <f t="shared" si="711"/>
        <v>350</v>
      </c>
      <c r="CN77" s="114">
        <f t="shared" si="711"/>
        <v>200</v>
      </c>
      <c r="CO77" s="114">
        <f t="shared" si="711"/>
        <v>200</v>
      </c>
      <c r="CP77" s="114">
        <f t="shared" si="711"/>
        <v>350</v>
      </c>
      <c r="CQ77" s="114">
        <f t="shared" si="711"/>
        <v>200</v>
      </c>
      <c r="CR77" s="114">
        <f t="shared" si="711"/>
        <v>200</v>
      </c>
      <c r="CS77" s="114">
        <f t="shared" si="711"/>
        <v>350</v>
      </c>
      <c r="CT77" s="114">
        <f t="shared" si="711"/>
        <v>200</v>
      </c>
      <c r="CU77" s="197">
        <f t="shared" si="711"/>
        <v>200</v>
      </c>
      <c r="CV77" s="114">
        <f t="shared" si="711"/>
        <v>350</v>
      </c>
      <c r="CW77" s="114">
        <f t="shared" si="711"/>
        <v>200</v>
      </c>
      <c r="CX77" s="114">
        <f t="shared" si="711"/>
        <v>200</v>
      </c>
      <c r="CY77" s="114">
        <f t="shared" ref="CY77:DG77" si="712">IF(CY3&lt;&gt;CX3, 350, 200)</f>
        <v>350</v>
      </c>
      <c r="CZ77" s="114">
        <f t="shared" si="712"/>
        <v>200</v>
      </c>
      <c r="DA77" s="114">
        <f t="shared" si="712"/>
        <v>200</v>
      </c>
      <c r="DB77" s="114">
        <f t="shared" si="712"/>
        <v>350</v>
      </c>
      <c r="DC77" s="114">
        <f t="shared" si="712"/>
        <v>200</v>
      </c>
      <c r="DD77" s="114">
        <f t="shared" si="712"/>
        <v>200</v>
      </c>
      <c r="DE77" s="114">
        <f t="shared" si="712"/>
        <v>350</v>
      </c>
      <c r="DF77" s="114">
        <f t="shared" si="712"/>
        <v>200</v>
      </c>
      <c r="DG77" s="114">
        <f t="shared" si="712"/>
        <v>200</v>
      </c>
    </row>
    <row r="78" spans="1:111" s="3" customFormat="1" x14ac:dyDescent="0.3">
      <c r="A78"/>
      <c r="B78" s="1" t="s">
        <v>342</v>
      </c>
      <c r="C78" s="1"/>
      <c r="D78" s="114">
        <f>0</f>
        <v>0</v>
      </c>
      <c r="E78" s="114">
        <f>0</f>
        <v>0</v>
      </c>
      <c r="F78" s="114">
        <f>0</f>
        <v>0</v>
      </c>
      <c r="G78" s="114">
        <f>0</f>
        <v>0</v>
      </c>
      <c r="H78" s="114">
        <f>0</f>
        <v>0</v>
      </c>
      <c r="I78" s="114">
        <f>0</f>
        <v>0</v>
      </c>
      <c r="J78" s="114">
        <v>0</v>
      </c>
      <c r="K78" s="114">
        <v>0</v>
      </c>
      <c r="L78" s="114">
        <v>0</v>
      </c>
      <c r="M78" s="114">
        <v>26.86</v>
      </c>
      <c r="N78" s="114">
        <v>105.23</v>
      </c>
      <c r="O78" s="114">
        <v>22.43</v>
      </c>
      <c r="P78" s="114">
        <v>118.13</v>
      </c>
      <c r="Q78" s="114">
        <v>36.76</v>
      </c>
      <c r="R78" s="114">
        <v>63.36</v>
      </c>
      <c r="S78" s="114">
        <v>153.85</v>
      </c>
      <c r="T78" s="114">
        <v>72.88</v>
      </c>
      <c r="U78" s="114">
        <v>27.48</v>
      </c>
      <c r="V78" s="114">
        <v>17.2</v>
      </c>
      <c r="W78" s="114">
        <v>33.76</v>
      </c>
      <c r="X78" s="114">
        <v>48.31</v>
      </c>
      <c r="Y78" s="114">
        <v>29</v>
      </c>
      <c r="Z78" s="114">
        <v>29</v>
      </c>
      <c r="AA78" s="114"/>
      <c r="AB78" s="114"/>
      <c r="AC78" s="114"/>
      <c r="AD78" s="114">
        <v>1.75</v>
      </c>
      <c r="AE78" s="114">
        <v>4.55</v>
      </c>
      <c r="AF78" s="114">
        <v>3.5</v>
      </c>
      <c r="AG78" s="114"/>
      <c r="AH78" s="114">
        <v>31.6</v>
      </c>
      <c r="AI78" s="114"/>
      <c r="AJ78" s="197"/>
      <c r="AK78" s="322">
        <f>AVERAGE(AE78:AJ78)</f>
        <v>13.216666666666669</v>
      </c>
      <c r="AL78" s="114">
        <f t="shared" ref="AL78:CA78" si="713">AK78</f>
        <v>13.216666666666669</v>
      </c>
      <c r="AM78" s="197">
        <f t="shared" si="713"/>
        <v>13.216666666666669</v>
      </c>
      <c r="AN78" s="114">
        <f t="shared" si="713"/>
        <v>13.216666666666669</v>
      </c>
      <c r="AO78" s="114">
        <f t="shared" si="713"/>
        <v>13.216666666666669</v>
      </c>
      <c r="AP78" s="114">
        <f t="shared" si="713"/>
        <v>13.216666666666669</v>
      </c>
      <c r="AQ78" s="114">
        <f t="shared" si="713"/>
        <v>13.216666666666669</v>
      </c>
      <c r="AR78" s="114">
        <f t="shared" si="713"/>
        <v>13.216666666666669</v>
      </c>
      <c r="AS78" s="114">
        <f t="shared" si="713"/>
        <v>13.216666666666669</v>
      </c>
      <c r="AT78" s="114">
        <f t="shared" si="713"/>
        <v>13.216666666666669</v>
      </c>
      <c r="AU78" s="114">
        <f t="shared" si="713"/>
        <v>13.216666666666669</v>
      </c>
      <c r="AV78" s="114">
        <f t="shared" si="713"/>
        <v>13.216666666666669</v>
      </c>
      <c r="AW78" s="114">
        <f t="shared" si="713"/>
        <v>13.216666666666669</v>
      </c>
      <c r="AX78" s="114">
        <f t="shared" si="713"/>
        <v>13.216666666666669</v>
      </c>
      <c r="AY78" s="197">
        <f t="shared" si="713"/>
        <v>13.216666666666669</v>
      </c>
      <c r="AZ78" s="114">
        <f t="shared" si="713"/>
        <v>13.216666666666669</v>
      </c>
      <c r="BA78" s="114">
        <f t="shared" si="713"/>
        <v>13.216666666666669</v>
      </c>
      <c r="BB78" s="114">
        <f t="shared" si="713"/>
        <v>13.216666666666669</v>
      </c>
      <c r="BC78" s="114">
        <f t="shared" si="713"/>
        <v>13.216666666666669</v>
      </c>
      <c r="BD78" s="114">
        <f t="shared" si="713"/>
        <v>13.216666666666669</v>
      </c>
      <c r="BE78" s="114">
        <f t="shared" si="713"/>
        <v>13.216666666666669</v>
      </c>
      <c r="BF78" s="114">
        <f t="shared" si="713"/>
        <v>13.216666666666669</v>
      </c>
      <c r="BG78" s="114">
        <f t="shared" si="713"/>
        <v>13.216666666666669</v>
      </c>
      <c r="BH78" s="114">
        <f t="shared" si="713"/>
        <v>13.216666666666669</v>
      </c>
      <c r="BI78" s="114">
        <f t="shared" si="713"/>
        <v>13.216666666666669</v>
      </c>
      <c r="BJ78" s="114">
        <f t="shared" si="713"/>
        <v>13.216666666666669</v>
      </c>
      <c r="BK78" s="197">
        <f t="shared" si="713"/>
        <v>13.216666666666669</v>
      </c>
      <c r="BL78" s="114">
        <f t="shared" si="713"/>
        <v>13.216666666666669</v>
      </c>
      <c r="BM78" s="114">
        <f t="shared" si="713"/>
        <v>13.216666666666669</v>
      </c>
      <c r="BN78" s="114">
        <f t="shared" si="713"/>
        <v>13.216666666666669</v>
      </c>
      <c r="BO78" s="114">
        <f t="shared" si="713"/>
        <v>13.216666666666669</v>
      </c>
      <c r="BP78" s="114">
        <f t="shared" si="713"/>
        <v>13.216666666666669</v>
      </c>
      <c r="BQ78" s="114">
        <f t="shared" si="713"/>
        <v>13.216666666666669</v>
      </c>
      <c r="BR78" s="114">
        <f t="shared" si="713"/>
        <v>13.216666666666669</v>
      </c>
      <c r="BS78" s="114">
        <f t="shared" si="713"/>
        <v>13.216666666666669</v>
      </c>
      <c r="BT78" s="114">
        <f t="shared" si="713"/>
        <v>13.216666666666669</v>
      </c>
      <c r="BU78" s="114">
        <f t="shared" si="713"/>
        <v>13.216666666666669</v>
      </c>
      <c r="BV78" s="114">
        <f t="shared" si="713"/>
        <v>13.216666666666669</v>
      </c>
      <c r="BW78" s="197">
        <f t="shared" si="713"/>
        <v>13.216666666666669</v>
      </c>
      <c r="BX78" s="114">
        <f t="shared" si="713"/>
        <v>13.216666666666669</v>
      </c>
      <c r="BY78" s="114">
        <f t="shared" si="713"/>
        <v>13.216666666666669</v>
      </c>
      <c r="BZ78" s="114">
        <f t="shared" si="713"/>
        <v>13.216666666666669</v>
      </c>
      <c r="CA78" s="114">
        <f t="shared" si="713"/>
        <v>13.216666666666669</v>
      </c>
      <c r="CB78" s="114">
        <f t="shared" ref="CB78:DG78" si="714">CA78</f>
        <v>13.216666666666669</v>
      </c>
      <c r="CC78" s="114">
        <f t="shared" si="714"/>
        <v>13.216666666666669</v>
      </c>
      <c r="CD78" s="114">
        <f t="shared" si="714"/>
        <v>13.216666666666669</v>
      </c>
      <c r="CE78" s="114">
        <f t="shared" si="714"/>
        <v>13.216666666666669</v>
      </c>
      <c r="CF78" s="114">
        <f t="shared" si="714"/>
        <v>13.216666666666669</v>
      </c>
      <c r="CG78" s="114">
        <f t="shared" si="714"/>
        <v>13.216666666666669</v>
      </c>
      <c r="CH78" s="114">
        <f t="shared" si="714"/>
        <v>13.216666666666669</v>
      </c>
      <c r="CI78" s="197">
        <f t="shared" si="714"/>
        <v>13.216666666666669</v>
      </c>
      <c r="CJ78" s="114">
        <f t="shared" si="714"/>
        <v>13.216666666666669</v>
      </c>
      <c r="CK78" s="114">
        <f t="shared" si="714"/>
        <v>13.216666666666669</v>
      </c>
      <c r="CL78" s="114">
        <f t="shared" si="714"/>
        <v>13.216666666666669</v>
      </c>
      <c r="CM78" s="114">
        <f t="shared" si="714"/>
        <v>13.216666666666669</v>
      </c>
      <c r="CN78" s="114">
        <f t="shared" si="714"/>
        <v>13.216666666666669</v>
      </c>
      <c r="CO78" s="114">
        <f t="shared" si="714"/>
        <v>13.216666666666669</v>
      </c>
      <c r="CP78" s="114">
        <f t="shared" si="714"/>
        <v>13.216666666666669</v>
      </c>
      <c r="CQ78" s="114">
        <f t="shared" si="714"/>
        <v>13.216666666666669</v>
      </c>
      <c r="CR78" s="114">
        <f t="shared" si="714"/>
        <v>13.216666666666669</v>
      </c>
      <c r="CS78" s="114">
        <f t="shared" si="714"/>
        <v>13.216666666666669</v>
      </c>
      <c r="CT78" s="114">
        <f t="shared" si="714"/>
        <v>13.216666666666669</v>
      </c>
      <c r="CU78" s="197">
        <f t="shared" si="714"/>
        <v>13.216666666666669</v>
      </c>
      <c r="CV78" s="114">
        <f t="shared" si="714"/>
        <v>13.216666666666669</v>
      </c>
      <c r="CW78" s="114">
        <f t="shared" si="714"/>
        <v>13.216666666666669</v>
      </c>
      <c r="CX78" s="114">
        <f t="shared" si="714"/>
        <v>13.216666666666669</v>
      </c>
      <c r="CY78" s="114">
        <f t="shared" si="714"/>
        <v>13.216666666666669</v>
      </c>
      <c r="CZ78" s="114">
        <f t="shared" si="714"/>
        <v>13.216666666666669</v>
      </c>
      <c r="DA78" s="114">
        <f t="shared" si="714"/>
        <v>13.216666666666669</v>
      </c>
      <c r="DB78" s="114">
        <f t="shared" si="714"/>
        <v>13.216666666666669</v>
      </c>
      <c r="DC78" s="114">
        <f t="shared" si="714"/>
        <v>13.216666666666669</v>
      </c>
      <c r="DD78" s="114">
        <f t="shared" si="714"/>
        <v>13.216666666666669</v>
      </c>
      <c r="DE78" s="114">
        <f t="shared" si="714"/>
        <v>13.216666666666669</v>
      </c>
      <c r="DF78" s="114">
        <f t="shared" si="714"/>
        <v>13.216666666666669</v>
      </c>
      <c r="DG78" s="114">
        <f t="shared" si="714"/>
        <v>13.216666666666669</v>
      </c>
    </row>
    <row r="79" spans="1:111" x14ac:dyDescent="0.3">
      <c r="B79" s="1" t="s">
        <v>343</v>
      </c>
      <c r="C79" s="1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>
        <v>22</v>
      </c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>
        <v>218.02</v>
      </c>
      <c r="AI79" s="114">
        <v>57.06</v>
      </c>
      <c r="AJ79" s="197">
        <v>44.41</v>
      </c>
      <c r="AK79" s="322">
        <f>AVERAGE(AE79:AJ79)</f>
        <v>106.49666666666667</v>
      </c>
      <c r="AL79" s="114">
        <f t="shared" ref="AL79" si="715">AK79</f>
        <v>106.49666666666667</v>
      </c>
      <c r="AM79" s="197">
        <f t="shared" ref="AM79" si="716">AL79</f>
        <v>106.49666666666667</v>
      </c>
      <c r="AN79" s="114">
        <f t="shared" ref="AN79" si="717">AM79</f>
        <v>106.49666666666667</v>
      </c>
      <c r="AO79" s="114">
        <f t="shared" ref="AO79" si="718">AN79</f>
        <v>106.49666666666667</v>
      </c>
      <c r="AP79" s="114">
        <f t="shared" ref="AP79" si="719">AO79</f>
        <v>106.49666666666667</v>
      </c>
      <c r="AQ79" s="114">
        <f t="shared" ref="AQ79" si="720">AP79</f>
        <v>106.49666666666667</v>
      </c>
      <c r="AR79" s="114">
        <f t="shared" ref="AR79" si="721">AQ79</f>
        <v>106.49666666666667</v>
      </c>
      <c r="AS79" s="114">
        <f t="shared" ref="AS79" si="722">AR79</f>
        <v>106.49666666666667</v>
      </c>
      <c r="AT79" s="114">
        <f t="shared" ref="AT79" si="723">AS79</f>
        <v>106.49666666666667</v>
      </c>
      <c r="AU79" s="114">
        <f t="shared" ref="AU79" si="724">AT79</f>
        <v>106.49666666666667</v>
      </c>
      <c r="AV79" s="114">
        <f t="shared" ref="AV79" si="725">AU79</f>
        <v>106.49666666666667</v>
      </c>
      <c r="AW79" s="114">
        <f t="shared" ref="AW79" si="726">AV79</f>
        <v>106.49666666666667</v>
      </c>
      <c r="AX79" s="114">
        <f t="shared" ref="AX79" si="727">AW79</f>
        <v>106.49666666666667</v>
      </c>
      <c r="AY79" s="197">
        <f t="shared" ref="AY79" si="728">AX79</f>
        <v>106.49666666666667</v>
      </c>
      <c r="AZ79" s="114">
        <f t="shared" ref="AZ79" si="729">AY79</f>
        <v>106.49666666666667</v>
      </c>
      <c r="BA79" s="114">
        <f t="shared" ref="BA79" si="730">AZ79</f>
        <v>106.49666666666667</v>
      </c>
      <c r="BB79" s="114">
        <f t="shared" ref="BB79" si="731">BA79</f>
        <v>106.49666666666667</v>
      </c>
      <c r="BC79" s="114">
        <f t="shared" ref="BC79" si="732">BB79</f>
        <v>106.49666666666667</v>
      </c>
      <c r="BD79" s="114">
        <f t="shared" ref="BD79" si="733">BC79</f>
        <v>106.49666666666667</v>
      </c>
      <c r="BE79" s="114">
        <f t="shared" ref="BE79" si="734">BD79</f>
        <v>106.49666666666667</v>
      </c>
      <c r="BF79" s="114">
        <f t="shared" ref="BF79" si="735">BE79</f>
        <v>106.49666666666667</v>
      </c>
      <c r="BG79" s="114">
        <f t="shared" ref="BG79" si="736">BF79</f>
        <v>106.49666666666667</v>
      </c>
      <c r="BH79" s="114">
        <f t="shared" ref="BH79" si="737">BG79</f>
        <v>106.49666666666667</v>
      </c>
      <c r="BI79" s="114">
        <f t="shared" ref="BI79" si="738">BH79</f>
        <v>106.49666666666667</v>
      </c>
      <c r="BJ79" s="114">
        <f t="shared" ref="BJ79" si="739">BI79</f>
        <v>106.49666666666667</v>
      </c>
      <c r="BK79" s="197">
        <f t="shared" ref="BK79" si="740">BJ79</f>
        <v>106.49666666666667</v>
      </c>
      <c r="BL79" s="114">
        <f t="shared" ref="BL79" si="741">BK79</f>
        <v>106.49666666666667</v>
      </c>
      <c r="BM79" s="114">
        <f t="shared" ref="BM79" si="742">BL79</f>
        <v>106.49666666666667</v>
      </c>
      <c r="BN79" s="114">
        <f t="shared" ref="BN79" si="743">BM79</f>
        <v>106.49666666666667</v>
      </c>
      <c r="BO79" s="114">
        <f t="shared" ref="BO79" si="744">BN79</f>
        <v>106.49666666666667</v>
      </c>
      <c r="BP79" s="114">
        <f t="shared" ref="BP79" si="745">BO79</f>
        <v>106.49666666666667</v>
      </c>
      <c r="BQ79" s="114">
        <f t="shared" ref="BQ79" si="746">BP79</f>
        <v>106.49666666666667</v>
      </c>
      <c r="BR79" s="114">
        <f t="shared" ref="BR79" si="747">BQ79</f>
        <v>106.49666666666667</v>
      </c>
      <c r="BS79" s="114">
        <f t="shared" ref="BS79" si="748">BR79</f>
        <v>106.49666666666667</v>
      </c>
      <c r="BT79" s="114">
        <f t="shared" ref="BT79" si="749">BS79</f>
        <v>106.49666666666667</v>
      </c>
      <c r="BU79" s="114">
        <f t="shared" ref="BU79" si="750">BT79</f>
        <v>106.49666666666667</v>
      </c>
      <c r="BV79" s="114">
        <f t="shared" ref="BV79" si="751">BU79</f>
        <v>106.49666666666667</v>
      </c>
      <c r="BW79" s="197">
        <f t="shared" ref="BW79" si="752">BV79</f>
        <v>106.49666666666667</v>
      </c>
      <c r="BX79" s="114">
        <f t="shared" ref="BX79" si="753">BW79</f>
        <v>106.49666666666667</v>
      </c>
      <c r="BY79" s="114">
        <f t="shared" ref="BY79" si="754">BX79</f>
        <v>106.49666666666667</v>
      </c>
      <c r="BZ79" s="114">
        <f t="shared" ref="BZ79" si="755">BY79</f>
        <v>106.49666666666667</v>
      </c>
      <c r="CA79" s="114">
        <f t="shared" ref="CA79" si="756">BZ79</f>
        <v>106.49666666666667</v>
      </c>
      <c r="CB79" s="114">
        <f t="shared" ref="CB79" si="757">CA79</f>
        <v>106.49666666666667</v>
      </c>
      <c r="CC79" s="114">
        <f t="shared" ref="CC79" si="758">CB79</f>
        <v>106.49666666666667</v>
      </c>
      <c r="CD79" s="114">
        <f t="shared" ref="CD79" si="759">CC79</f>
        <v>106.49666666666667</v>
      </c>
      <c r="CE79" s="114">
        <f t="shared" ref="CE79" si="760">CD79</f>
        <v>106.49666666666667</v>
      </c>
      <c r="CF79" s="114">
        <f t="shared" ref="CF79" si="761">CE79</f>
        <v>106.49666666666667</v>
      </c>
      <c r="CG79" s="114">
        <f t="shared" ref="CG79" si="762">CF79</f>
        <v>106.49666666666667</v>
      </c>
      <c r="CH79" s="114">
        <f t="shared" ref="CH79" si="763">CG79</f>
        <v>106.49666666666667</v>
      </c>
      <c r="CI79" s="197">
        <f t="shared" ref="CI79" si="764">CH79</f>
        <v>106.49666666666667</v>
      </c>
      <c r="CJ79" s="114">
        <f t="shared" ref="CJ79" si="765">CI79</f>
        <v>106.49666666666667</v>
      </c>
      <c r="CK79" s="114">
        <f t="shared" ref="CK79" si="766">CJ79</f>
        <v>106.49666666666667</v>
      </c>
      <c r="CL79" s="114">
        <f t="shared" ref="CL79" si="767">CK79</f>
        <v>106.49666666666667</v>
      </c>
      <c r="CM79" s="114">
        <f t="shared" ref="CM79" si="768">CL79</f>
        <v>106.49666666666667</v>
      </c>
      <c r="CN79" s="114">
        <f t="shared" ref="CN79" si="769">CM79</f>
        <v>106.49666666666667</v>
      </c>
      <c r="CO79" s="114">
        <f t="shared" ref="CO79" si="770">CN79</f>
        <v>106.49666666666667</v>
      </c>
      <c r="CP79" s="114">
        <f t="shared" ref="CP79" si="771">CO79</f>
        <v>106.49666666666667</v>
      </c>
      <c r="CQ79" s="114">
        <f t="shared" ref="CQ79" si="772">CP79</f>
        <v>106.49666666666667</v>
      </c>
      <c r="CR79" s="114">
        <f t="shared" ref="CR79" si="773">CQ79</f>
        <v>106.49666666666667</v>
      </c>
      <c r="CS79" s="114">
        <f t="shared" ref="CS79" si="774">CR79</f>
        <v>106.49666666666667</v>
      </c>
      <c r="CT79" s="114">
        <f t="shared" ref="CT79" si="775">CS79</f>
        <v>106.49666666666667</v>
      </c>
      <c r="CU79" s="197">
        <f t="shared" ref="CU79" si="776">CT79</f>
        <v>106.49666666666667</v>
      </c>
      <c r="CV79" s="114">
        <f t="shared" ref="CV79" si="777">CU79</f>
        <v>106.49666666666667</v>
      </c>
      <c r="CW79" s="114">
        <f t="shared" ref="CW79" si="778">CV79</f>
        <v>106.49666666666667</v>
      </c>
      <c r="CX79" s="114">
        <f t="shared" ref="CX79" si="779">CW79</f>
        <v>106.49666666666667</v>
      </c>
      <c r="CY79" s="114">
        <f t="shared" ref="CY79" si="780">CX79</f>
        <v>106.49666666666667</v>
      </c>
      <c r="CZ79" s="114">
        <f t="shared" ref="CZ79" si="781">CY79</f>
        <v>106.49666666666667</v>
      </c>
      <c r="DA79" s="114">
        <f t="shared" ref="DA79" si="782">CZ79</f>
        <v>106.49666666666667</v>
      </c>
      <c r="DB79" s="114">
        <f t="shared" ref="DB79" si="783">DA79</f>
        <v>106.49666666666667</v>
      </c>
      <c r="DC79" s="114">
        <f t="shared" ref="DC79" si="784">DB79</f>
        <v>106.49666666666667</v>
      </c>
      <c r="DD79" s="114">
        <f t="shared" ref="DD79" si="785">DC79</f>
        <v>106.49666666666667</v>
      </c>
      <c r="DE79" s="114">
        <f t="shared" ref="DE79" si="786">DD79</f>
        <v>106.49666666666667</v>
      </c>
      <c r="DF79" s="114">
        <f t="shared" ref="DF79" si="787">DE79</f>
        <v>106.49666666666667</v>
      </c>
      <c r="DG79" s="114">
        <f t="shared" ref="DG79" si="788">DF79</f>
        <v>106.49666666666667</v>
      </c>
    </row>
    <row r="80" spans="1:111" x14ac:dyDescent="0.3">
      <c r="B80" s="1" t="s">
        <v>344</v>
      </c>
      <c r="C80" s="1"/>
      <c r="D80" s="114">
        <v>0</v>
      </c>
      <c r="E80" s="114">
        <v>0</v>
      </c>
      <c r="F80" s="114">
        <v>0</v>
      </c>
      <c r="G80" s="114">
        <v>0</v>
      </c>
      <c r="H80" s="114">
        <v>0</v>
      </c>
      <c r="I80" s="114">
        <v>0</v>
      </c>
      <c r="J80" s="114">
        <v>0</v>
      </c>
      <c r="K80" s="114">
        <v>0</v>
      </c>
      <c r="L80" s="114">
        <v>0</v>
      </c>
      <c r="M80" s="114">
        <v>0</v>
      </c>
      <c r="N80" s="114">
        <v>30</v>
      </c>
      <c r="O80" s="114">
        <v>52.67</v>
      </c>
      <c r="P80" s="114">
        <v>30</v>
      </c>
      <c r="Q80" s="114">
        <v>30</v>
      </c>
      <c r="R80" s="114">
        <v>30</v>
      </c>
      <c r="S80" s="114">
        <v>31.99</v>
      </c>
      <c r="T80" s="114">
        <v>45.38</v>
      </c>
      <c r="U80" s="114">
        <v>51.04</v>
      </c>
      <c r="V80" s="114">
        <v>92.49</v>
      </c>
      <c r="W80" s="114">
        <v>194.71</v>
      </c>
      <c r="X80" s="114">
        <v>210.47</v>
      </c>
      <c r="Y80" s="114">
        <v>313.33999999999997</v>
      </c>
      <c r="Z80" s="114">
        <v>205.12</v>
      </c>
      <c r="AA80" s="114">
        <v>105.16</v>
      </c>
      <c r="AB80" s="114">
        <v>124.93</v>
      </c>
      <c r="AC80" s="114">
        <v>156.19</v>
      </c>
      <c r="AD80" s="114">
        <v>141.66999999999999</v>
      </c>
      <c r="AE80" s="114">
        <v>145.28</v>
      </c>
      <c r="AF80" s="114">
        <v>173.37</v>
      </c>
      <c r="AG80" s="114">
        <v>236.32</v>
      </c>
      <c r="AH80" s="114">
        <v>228.28</v>
      </c>
      <c r="AI80" s="114">
        <v>404.2</v>
      </c>
      <c r="AJ80" s="197">
        <v>334.27</v>
      </c>
      <c r="AK80" s="322">
        <f t="shared" ref="AK80" si="789">+AK90*AK12</f>
        <v>360.38074730391725</v>
      </c>
      <c r="AL80" s="114">
        <f t="shared" ref="AL80:BN80" si="790">+AL90*AL12</f>
        <v>165.18810978281959</v>
      </c>
      <c r="AM80" s="197">
        <f t="shared" si="790"/>
        <v>159.02908873225857</v>
      </c>
      <c r="AN80" s="114">
        <f t="shared" si="790"/>
        <v>132.42901413398297</v>
      </c>
      <c r="AO80" s="114">
        <f t="shared" si="790"/>
        <v>244.97587786032724</v>
      </c>
      <c r="AP80" s="114">
        <f t="shared" si="790"/>
        <v>155.85480144381941</v>
      </c>
      <c r="AQ80" s="114">
        <f t="shared" si="790"/>
        <v>209.04510454588404</v>
      </c>
      <c r="AR80" s="114">
        <f t="shared" si="790"/>
        <v>233.78047925666652</v>
      </c>
      <c r="AS80" s="114">
        <f t="shared" si="790"/>
        <v>133.29232075299672</v>
      </c>
      <c r="AT80" s="114">
        <f t="shared" si="790"/>
        <v>250.19854290422359</v>
      </c>
      <c r="AU80" s="114">
        <f t="shared" si="790"/>
        <v>368.15115896022621</v>
      </c>
      <c r="AV80" s="114">
        <f t="shared" si="790"/>
        <v>297.88210280540056</v>
      </c>
      <c r="AW80" s="114">
        <f t="shared" si="790"/>
        <v>401.33310495208963</v>
      </c>
      <c r="AX80" s="114">
        <f t="shared" si="790"/>
        <v>185.25505796980792</v>
      </c>
      <c r="AY80" s="197">
        <f t="shared" si="790"/>
        <v>217.51412860155617</v>
      </c>
      <c r="AZ80" s="114">
        <f t="shared" si="790"/>
        <v>160.51620041973658</v>
      </c>
      <c r="BA80" s="114">
        <f t="shared" si="790"/>
        <v>331.3795320786316</v>
      </c>
      <c r="BB80" s="114">
        <f t="shared" si="790"/>
        <v>226.36559370052095</v>
      </c>
      <c r="BC80" s="114">
        <f t="shared" si="790"/>
        <v>289.79951479511584</v>
      </c>
      <c r="BD80" s="114">
        <f t="shared" si="790"/>
        <v>315.27668129124555</v>
      </c>
      <c r="BE80" s="114">
        <f t="shared" si="790"/>
        <v>198.48768035939429</v>
      </c>
      <c r="BF80" s="114">
        <f t="shared" si="790"/>
        <v>369.68730157605859</v>
      </c>
      <c r="BG80" s="114">
        <f t="shared" si="790"/>
        <v>521.54747519365355</v>
      </c>
      <c r="BH80" s="114">
        <f t="shared" si="790"/>
        <v>419.8059402327271</v>
      </c>
      <c r="BI80" s="114">
        <f t="shared" si="790"/>
        <v>542.13799377024043</v>
      </c>
      <c r="BJ80" s="114">
        <f t="shared" si="790"/>
        <v>305.54395862417613</v>
      </c>
      <c r="BK80" s="197">
        <f t="shared" si="790"/>
        <v>340.74074748895998</v>
      </c>
      <c r="BL80" s="114">
        <f t="shared" si="790"/>
        <v>215.45264959825226</v>
      </c>
      <c r="BM80" s="114">
        <f t="shared" si="790"/>
        <v>463.93134491008408</v>
      </c>
      <c r="BN80" s="114">
        <f t="shared" si="790"/>
        <v>332.47812608878183</v>
      </c>
      <c r="BO80" s="114">
        <f t="shared" ref="BO80:CT80" si="791">+BO90*BO12</f>
        <v>411.44658385140542</v>
      </c>
      <c r="BP80" s="114">
        <f t="shared" si="791"/>
        <v>442.81782876823019</v>
      </c>
      <c r="BQ80" s="114">
        <f t="shared" si="791"/>
        <v>279.87760356204029</v>
      </c>
      <c r="BR80" s="114">
        <f t="shared" si="791"/>
        <v>505.06745860932557</v>
      </c>
      <c r="BS80" s="114">
        <f t="shared" si="791"/>
        <v>771.36433305952107</v>
      </c>
      <c r="BT80" s="114">
        <f t="shared" si="791"/>
        <v>591.88481078356779</v>
      </c>
      <c r="BU80" s="114">
        <f t="shared" si="791"/>
        <v>731.97175737969894</v>
      </c>
      <c r="BV80" s="114">
        <f t="shared" si="791"/>
        <v>450.19892788741959</v>
      </c>
      <c r="BW80" s="197">
        <f t="shared" si="791"/>
        <v>477.03704648454391</v>
      </c>
      <c r="BX80" s="114">
        <f t="shared" si="791"/>
        <v>305.41225467778906</v>
      </c>
      <c r="BY80" s="114">
        <f t="shared" si="791"/>
        <v>687.1930906344453</v>
      </c>
      <c r="BZ80" s="114">
        <f t="shared" si="791"/>
        <v>464.3081648517296</v>
      </c>
      <c r="CA80" s="114">
        <f t="shared" si="791"/>
        <v>519.75433639844084</v>
      </c>
      <c r="CB80" s="114">
        <f t="shared" si="791"/>
        <v>683.68746945764701</v>
      </c>
      <c r="CC80" s="114">
        <f t="shared" si="791"/>
        <v>389.83379392796792</v>
      </c>
      <c r="CD80" s="114">
        <f t="shared" si="791"/>
        <v>673.36161305034443</v>
      </c>
      <c r="CE80" s="114">
        <f t="shared" si="791"/>
        <v>1131.2369606674665</v>
      </c>
      <c r="CF80" s="114">
        <f t="shared" si="791"/>
        <v>789.65081708330183</v>
      </c>
      <c r="CG80" s="114">
        <f t="shared" si="791"/>
        <v>1071.9917046758603</v>
      </c>
      <c r="CH80" s="114">
        <f t="shared" si="791"/>
        <v>634.41407618631001</v>
      </c>
      <c r="CI80" s="197">
        <f t="shared" si="791"/>
        <v>613.07345846933117</v>
      </c>
      <c r="CJ80" s="114">
        <f t="shared" si="791"/>
        <v>471.40259552470843</v>
      </c>
      <c r="CK80" s="114">
        <f t="shared" si="791"/>
        <v>917.91269659723548</v>
      </c>
      <c r="CL80" s="114">
        <f t="shared" si="791"/>
        <v>625.10136729663259</v>
      </c>
      <c r="CM80" s="114">
        <f t="shared" si="791"/>
        <v>773.60600724800054</v>
      </c>
      <c r="CN80" s="114">
        <f t="shared" si="791"/>
        <v>963.42929992474171</v>
      </c>
      <c r="CO80" s="114">
        <f t="shared" si="791"/>
        <v>526.67223446328285</v>
      </c>
      <c r="CP80" s="114">
        <f t="shared" si="791"/>
        <v>995.93698390397867</v>
      </c>
      <c r="CQ80" s="114">
        <f t="shared" si="791"/>
        <v>1592.6920376922142</v>
      </c>
      <c r="CR80" s="114">
        <f t="shared" si="791"/>
        <v>1064.2036500867498</v>
      </c>
      <c r="CS80" s="114">
        <f t="shared" si="791"/>
        <v>1578.8346063156837</v>
      </c>
      <c r="CT80" s="114">
        <f t="shared" si="791"/>
        <v>891.28138951877554</v>
      </c>
      <c r="CU80" s="197">
        <f t="shared" ref="CU80:DG80" si="792">+CU90*CU12</f>
        <v>862.69706667729645</v>
      </c>
      <c r="CV80" s="114">
        <f t="shared" si="792"/>
        <v>663.06743875335621</v>
      </c>
      <c r="CW80" s="114">
        <f t="shared" si="792"/>
        <v>1286.7330176541036</v>
      </c>
      <c r="CX80" s="114">
        <f t="shared" si="792"/>
        <v>838.54344652995565</v>
      </c>
      <c r="CY80" s="114">
        <f t="shared" si="792"/>
        <v>1137.4857755328553</v>
      </c>
      <c r="CZ80" s="114">
        <f t="shared" si="792"/>
        <v>1348.8010198946376</v>
      </c>
      <c r="DA80" s="114">
        <f t="shared" si="792"/>
        <v>702.22964595104315</v>
      </c>
      <c r="DB80" s="114">
        <f t="shared" si="792"/>
        <v>1457.6895855321857</v>
      </c>
      <c r="DC80" s="114">
        <f t="shared" si="792"/>
        <v>2137.1077383154588</v>
      </c>
      <c r="DD80" s="114">
        <f t="shared" si="792"/>
        <v>1565.7018865913508</v>
      </c>
      <c r="DE80" s="114">
        <f t="shared" si="792"/>
        <v>2220.1970146775166</v>
      </c>
      <c r="DF80" s="114">
        <f t="shared" si="792"/>
        <v>1193.049836902871</v>
      </c>
      <c r="DG80" s="114">
        <f t="shared" si="792"/>
        <v>1268.7416363425982</v>
      </c>
    </row>
    <row r="81" spans="1:111" s="29" customFormat="1" x14ac:dyDescent="0.3">
      <c r="A81"/>
      <c r="B81" s="1" t="s">
        <v>345</v>
      </c>
      <c r="C81" s="1"/>
      <c r="D81" s="114">
        <f>0</f>
        <v>0</v>
      </c>
      <c r="E81" s="114">
        <f>0</f>
        <v>0</v>
      </c>
      <c r="F81" s="114">
        <f>0</f>
        <v>0</v>
      </c>
      <c r="G81" s="114">
        <f>0</f>
        <v>0</v>
      </c>
      <c r="H81" s="114">
        <f>0</f>
        <v>0</v>
      </c>
      <c r="I81" s="114">
        <f>0</f>
        <v>0</v>
      </c>
      <c r="J81" s="114">
        <v>0</v>
      </c>
      <c r="K81" s="114">
        <v>0</v>
      </c>
      <c r="L81" s="114">
        <v>0</v>
      </c>
      <c r="M81" s="114">
        <v>1150</v>
      </c>
      <c r="N81" s="114">
        <v>0</v>
      </c>
      <c r="O81" s="114">
        <v>0</v>
      </c>
      <c r="P81" s="114"/>
      <c r="Q81" s="114"/>
      <c r="R81" s="114"/>
      <c r="S81" s="114"/>
      <c r="T81" s="114"/>
      <c r="U81" s="114">
        <v>50</v>
      </c>
      <c r="V81" s="114">
        <v>55</v>
      </c>
      <c r="W81" s="114">
        <v>200</v>
      </c>
      <c r="X81" s="114">
        <v>633.5</v>
      </c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>
        <v>490</v>
      </c>
      <c r="AJ81" s="197"/>
      <c r="AK81" s="322">
        <f>AVERAGE(AE81:AJ81)</f>
        <v>490</v>
      </c>
      <c r="AL81" s="114">
        <f t="shared" ref="AL81:CA81" si="793">AK81</f>
        <v>490</v>
      </c>
      <c r="AM81" s="197">
        <f t="shared" si="793"/>
        <v>490</v>
      </c>
      <c r="AN81" s="114">
        <f t="shared" si="793"/>
        <v>490</v>
      </c>
      <c r="AO81" s="114">
        <f t="shared" si="793"/>
        <v>490</v>
      </c>
      <c r="AP81" s="114">
        <f t="shared" si="793"/>
        <v>490</v>
      </c>
      <c r="AQ81" s="114">
        <f t="shared" si="793"/>
        <v>490</v>
      </c>
      <c r="AR81" s="114">
        <f t="shared" si="793"/>
        <v>490</v>
      </c>
      <c r="AS81" s="114">
        <f t="shared" si="793"/>
        <v>490</v>
      </c>
      <c r="AT81" s="114">
        <f t="shared" si="793"/>
        <v>490</v>
      </c>
      <c r="AU81" s="114">
        <f t="shared" si="793"/>
        <v>490</v>
      </c>
      <c r="AV81" s="114">
        <f t="shared" si="793"/>
        <v>490</v>
      </c>
      <c r="AW81" s="114">
        <f t="shared" si="793"/>
        <v>490</v>
      </c>
      <c r="AX81" s="114">
        <f t="shared" si="793"/>
        <v>490</v>
      </c>
      <c r="AY81" s="197">
        <f t="shared" si="793"/>
        <v>490</v>
      </c>
      <c r="AZ81" s="114">
        <f t="shared" si="793"/>
        <v>490</v>
      </c>
      <c r="BA81" s="114">
        <f t="shared" si="793"/>
        <v>490</v>
      </c>
      <c r="BB81" s="114">
        <f t="shared" si="793"/>
        <v>490</v>
      </c>
      <c r="BC81" s="114">
        <f t="shared" si="793"/>
        <v>490</v>
      </c>
      <c r="BD81" s="114">
        <f t="shared" si="793"/>
        <v>490</v>
      </c>
      <c r="BE81" s="114">
        <f t="shared" si="793"/>
        <v>490</v>
      </c>
      <c r="BF81" s="114">
        <f t="shared" si="793"/>
        <v>490</v>
      </c>
      <c r="BG81" s="114">
        <f t="shared" si="793"/>
        <v>490</v>
      </c>
      <c r="BH81" s="114">
        <f t="shared" si="793"/>
        <v>490</v>
      </c>
      <c r="BI81" s="114">
        <f t="shared" si="793"/>
        <v>490</v>
      </c>
      <c r="BJ81" s="114">
        <f t="shared" si="793"/>
        <v>490</v>
      </c>
      <c r="BK81" s="197">
        <f t="shared" si="793"/>
        <v>490</v>
      </c>
      <c r="BL81" s="114">
        <f t="shared" si="793"/>
        <v>490</v>
      </c>
      <c r="BM81" s="114">
        <f t="shared" si="793"/>
        <v>490</v>
      </c>
      <c r="BN81" s="114">
        <f t="shared" si="793"/>
        <v>490</v>
      </c>
      <c r="BO81" s="114">
        <f t="shared" si="793"/>
        <v>490</v>
      </c>
      <c r="BP81" s="114">
        <f t="shared" si="793"/>
        <v>490</v>
      </c>
      <c r="BQ81" s="114">
        <f t="shared" si="793"/>
        <v>490</v>
      </c>
      <c r="BR81" s="114">
        <f t="shared" si="793"/>
        <v>490</v>
      </c>
      <c r="BS81" s="114">
        <f t="shared" si="793"/>
        <v>490</v>
      </c>
      <c r="BT81" s="114">
        <f t="shared" si="793"/>
        <v>490</v>
      </c>
      <c r="BU81" s="114">
        <f t="shared" si="793"/>
        <v>490</v>
      </c>
      <c r="BV81" s="114">
        <f t="shared" si="793"/>
        <v>490</v>
      </c>
      <c r="BW81" s="197">
        <f t="shared" si="793"/>
        <v>490</v>
      </c>
      <c r="BX81" s="114">
        <f t="shared" si="793"/>
        <v>490</v>
      </c>
      <c r="BY81" s="114">
        <f t="shared" si="793"/>
        <v>490</v>
      </c>
      <c r="BZ81" s="114">
        <f t="shared" si="793"/>
        <v>490</v>
      </c>
      <c r="CA81" s="114">
        <f t="shared" si="793"/>
        <v>490</v>
      </c>
      <c r="CB81" s="114">
        <f t="shared" ref="CB81:DG81" si="794">CA81</f>
        <v>490</v>
      </c>
      <c r="CC81" s="114">
        <f t="shared" si="794"/>
        <v>490</v>
      </c>
      <c r="CD81" s="114">
        <f t="shared" si="794"/>
        <v>490</v>
      </c>
      <c r="CE81" s="114">
        <f t="shared" si="794"/>
        <v>490</v>
      </c>
      <c r="CF81" s="114">
        <f t="shared" si="794"/>
        <v>490</v>
      </c>
      <c r="CG81" s="114">
        <f t="shared" si="794"/>
        <v>490</v>
      </c>
      <c r="CH81" s="114">
        <f t="shared" si="794"/>
        <v>490</v>
      </c>
      <c r="CI81" s="197">
        <f t="shared" si="794"/>
        <v>490</v>
      </c>
      <c r="CJ81" s="114">
        <f t="shared" si="794"/>
        <v>490</v>
      </c>
      <c r="CK81" s="114">
        <f t="shared" si="794"/>
        <v>490</v>
      </c>
      <c r="CL81" s="114">
        <f t="shared" si="794"/>
        <v>490</v>
      </c>
      <c r="CM81" s="114">
        <f t="shared" si="794"/>
        <v>490</v>
      </c>
      <c r="CN81" s="114">
        <f t="shared" si="794"/>
        <v>490</v>
      </c>
      <c r="CO81" s="114">
        <f t="shared" si="794"/>
        <v>490</v>
      </c>
      <c r="CP81" s="114">
        <f t="shared" si="794"/>
        <v>490</v>
      </c>
      <c r="CQ81" s="114">
        <f t="shared" si="794"/>
        <v>490</v>
      </c>
      <c r="CR81" s="114">
        <f t="shared" si="794"/>
        <v>490</v>
      </c>
      <c r="CS81" s="114">
        <f t="shared" si="794"/>
        <v>490</v>
      </c>
      <c r="CT81" s="114">
        <f t="shared" si="794"/>
        <v>490</v>
      </c>
      <c r="CU81" s="197">
        <f t="shared" si="794"/>
        <v>490</v>
      </c>
      <c r="CV81" s="114">
        <f t="shared" si="794"/>
        <v>490</v>
      </c>
      <c r="CW81" s="114">
        <f t="shared" si="794"/>
        <v>490</v>
      </c>
      <c r="CX81" s="114">
        <f t="shared" si="794"/>
        <v>490</v>
      </c>
      <c r="CY81" s="114">
        <f t="shared" si="794"/>
        <v>490</v>
      </c>
      <c r="CZ81" s="114">
        <f t="shared" si="794"/>
        <v>490</v>
      </c>
      <c r="DA81" s="114">
        <f t="shared" si="794"/>
        <v>490</v>
      </c>
      <c r="DB81" s="114">
        <f t="shared" si="794"/>
        <v>490</v>
      </c>
      <c r="DC81" s="114">
        <f t="shared" si="794"/>
        <v>490</v>
      </c>
      <c r="DD81" s="114">
        <f t="shared" si="794"/>
        <v>490</v>
      </c>
      <c r="DE81" s="114">
        <f t="shared" si="794"/>
        <v>490</v>
      </c>
      <c r="DF81" s="114">
        <f t="shared" si="794"/>
        <v>490</v>
      </c>
      <c r="DG81" s="114">
        <f t="shared" si="794"/>
        <v>490</v>
      </c>
    </row>
    <row r="82" spans="1:111" s="29" customFormat="1" x14ac:dyDescent="0.3">
      <c r="A82"/>
      <c r="B82" s="1" t="s">
        <v>346</v>
      </c>
      <c r="C82" s="1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>
        <v>192.74</v>
      </c>
      <c r="U82" s="114">
        <v>137.74</v>
      </c>
      <c r="V82" s="114">
        <v>181.07</v>
      </c>
      <c r="W82" s="114">
        <v>286.48</v>
      </c>
      <c r="X82" s="114">
        <v>138.16999999999999</v>
      </c>
      <c r="Y82" s="114">
        <v>263.36</v>
      </c>
      <c r="Z82" s="114">
        <v>138.4</v>
      </c>
      <c r="AA82" s="114">
        <v>138.4</v>
      </c>
      <c r="AB82" s="114">
        <v>138.4</v>
      </c>
      <c r="AC82" s="114">
        <v>138.41999999999999</v>
      </c>
      <c r="AD82" s="114">
        <v>138.41999999999999</v>
      </c>
      <c r="AE82" s="114">
        <v>145.97</v>
      </c>
      <c r="AF82" s="114">
        <v>142.41999999999999</v>
      </c>
      <c r="AG82" s="114">
        <v>142.41999999999999</v>
      </c>
      <c r="AH82" s="114">
        <v>219.14</v>
      </c>
      <c r="AI82" s="114">
        <v>164.46</v>
      </c>
      <c r="AJ82" s="197">
        <v>378.53</v>
      </c>
      <c r="AK82" s="322">
        <f>+AJ82</f>
        <v>378.53</v>
      </c>
      <c r="AL82" s="114">
        <f t="shared" ref="AL82:CJ82" si="795">+AK82</f>
        <v>378.53</v>
      </c>
      <c r="AM82" s="197">
        <f t="shared" si="795"/>
        <v>378.53</v>
      </c>
      <c r="AN82" s="114">
        <f t="shared" si="795"/>
        <v>378.53</v>
      </c>
      <c r="AO82" s="114">
        <f t="shared" si="795"/>
        <v>378.53</v>
      </c>
      <c r="AP82" s="114">
        <f t="shared" si="795"/>
        <v>378.53</v>
      </c>
      <c r="AQ82" s="114">
        <f t="shared" si="795"/>
        <v>378.53</v>
      </c>
      <c r="AR82" s="114">
        <f t="shared" si="795"/>
        <v>378.53</v>
      </c>
      <c r="AS82" s="114">
        <f t="shared" si="795"/>
        <v>378.53</v>
      </c>
      <c r="AT82" s="114">
        <f t="shared" si="795"/>
        <v>378.53</v>
      </c>
      <c r="AU82" s="114">
        <f t="shared" si="795"/>
        <v>378.53</v>
      </c>
      <c r="AV82" s="114">
        <f t="shared" si="795"/>
        <v>378.53</v>
      </c>
      <c r="AW82" s="114">
        <f t="shared" si="795"/>
        <v>378.53</v>
      </c>
      <c r="AX82" s="114">
        <f t="shared" si="795"/>
        <v>378.53</v>
      </c>
      <c r="AY82" s="197">
        <f t="shared" si="795"/>
        <v>378.53</v>
      </c>
      <c r="AZ82" s="114">
        <f t="shared" si="795"/>
        <v>378.53</v>
      </c>
      <c r="BA82" s="114">
        <f t="shared" si="795"/>
        <v>378.53</v>
      </c>
      <c r="BB82" s="114">
        <f t="shared" si="795"/>
        <v>378.53</v>
      </c>
      <c r="BC82" s="114">
        <f t="shared" si="795"/>
        <v>378.53</v>
      </c>
      <c r="BD82" s="114">
        <f t="shared" si="795"/>
        <v>378.53</v>
      </c>
      <c r="BE82" s="114">
        <f t="shared" si="795"/>
        <v>378.53</v>
      </c>
      <c r="BF82" s="114">
        <f t="shared" si="795"/>
        <v>378.53</v>
      </c>
      <c r="BG82" s="114">
        <f t="shared" si="795"/>
        <v>378.53</v>
      </c>
      <c r="BH82" s="114">
        <f t="shared" si="795"/>
        <v>378.53</v>
      </c>
      <c r="BI82" s="114">
        <f t="shared" si="795"/>
        <v>378.53</v>
      </c>
      <c r="BJ82" s="114">
        <f t="shared" si="795"/>
        <v>378.53</v>
      </c>
      <c r="BK82" s="197">
        <f t="shared" si="795"/>
        <v>378.53</v>
      </c>
      <c r="BL82" s="114">
        <f t="shared" si="795"/>
        <v>378.53</v>
      </c>
      <c r="BM82" s="114">
        <f t="shared" si="795"/>
        <v>378.53</v>
      </c>
      <c r="BN82" s="114">
        <f t="shared" si="795"/>
        <v>378.53</v>
      </c>
      <c r="BO82" s="114">
        <f t="shared" si="795"/>
        <v>378.53</v>
      </c>
      <c r="BP82" s="114">
        <f t="shared" si="795"/>
        <v>378.53</v>
      </c>
      <c r="BQ82" s="114">
        <f t="shared" si="795"/>
        <v>378.53</v>
      </c>
      <c r="BR82" s="114">
        <f t="shared" si="795"/>
        <v>378.53</v>
      </c>
      <c r="BS82" s="114">
        <f t="shared" si="795"/>
        <v>378.53</v>
      </c>
      <c r="BT82" s="114">
        <f t="shared" si="795"/>
        <v>378.53</v>
      </c>
      <c r="BU82" s="114">
        <f t="shared" si="795"/>
        <v>378.53</v>
      </c>
      <c r="BV82" s="114">
        <f t="shared" si="795"/>
        <v>378.53</v>
      </c>
      <c r="BW82" s="197">
        <f t="shared" si="795"/>
        <v>378.53</v>
      </c>
      <c r="BX82" s="114">
        <f t="shared" si="795"/>
        <v>378.53</v>
      </c>
      <c r="BY82" s="114">
        <f t="shared" si="795"/>
        <v>378.53</v>
      </c>
      <c r="BZ82" s="114">
        <f t="shared" si="795"/>
        <v>378.53</v>
      </c>
      <c r="CA82" s="114">
        <f t="shared" si="795"/>
        <v>378.53</v>
      </c>
      <c r="CB82" s="114">
        <f t="shared" si="795"/>
        <v>378.53</v>
      </c>
      <c r="CC82" s="114">
        <f t="shared" si="795"/>
        <v>378.53</v>
      </c>
      <c r="CD82" s="114">
        <f t="shared" si="795"/>
        <v>378.53</v>
      </c>
      <c r="CE82" s="114">
        <f t="shared" si="795"/>
        <v>378.53</v>
      </c>
      <c r="CF82" s="114">
        <f t="shared" si="795"/>
        <v>378.53</v>
      </c>
      <c r="CG82" s="114">
        <f t="shared" si="795"/>
        <v>378.53</v>
      </c>
      <c r="CH82" s="114">
        <f t="shared" si="795"/>
        <v>378.53</v>
      </c>
      <c r="CI82" s="197">
        <f t="shared" si="795"/>
        <v>378.53</v>
      </c>
      <c r="CJ82" s="114">
        <f t="shared" si="795"/>
        <v>378.53</v>
      </c>
      <c r="CK82" s="114">
        <f t="shared" ref="CK82:DG82" si="796">+CJ82</f>
        <v>378.53</v>
      </c>
      <c r="CL82" s="114">
        <f t="shared" si="796"/>
        <v>378.53</v>
      </c>
      <c r="CM82" s="114">
        <f t="shared" si="796"/>
        <v>378.53</v>
      </c>
      <c r="CN82" s="114">
        <f t="shared" si="796"/>
        <v>378.53</v>
      </c>
      <c r="CO82" s="114">
        <f t="shared" si="796"/>
        <v>378.53</v>
      </c>
      <c r="CP82" s="114">
        <f t="shared" si="796"/>
        <v>378.53</v>
      </c>
      <c r="CQ82" s="114">
        <f t="shared" si="796"/>
        <v>378.53</v>
      </c>
      <c r="CR82" s="114">
        <f t="shared" si="796"/>
        <v>378.53</v>
      </c>
      <c r="CS82" s="114">
        <f t="shared" si="796"/>
        <v>378.53</v>
      </c>
      <c r="CT82" s="114">
        <f t="shared" si="796"/>
        <v>378.53</v>
      </c>
      <c r="CU82" s="197">
        <f t="shared" si="796"/>
        <v>378.53</v>
      </c>
      <c r="CV82" s="114">
        <f t="shared" si="796"/>
        <v>378.53</v>
      </c>
      <c r="CW82" s="114">
        <f t="shared" si="796"/>
        <v>378.53</v>
      </c>
      <c r="CX82" s="114">
        <f t="shared" si="796"/>
        <v>378.53</v>
      </c>
      <c r="CY82" s="114">
        <f t="shared" si="796"/>
        <v>378.53</v>
      </c>
      <c r="CZ82" s="114">
        <f t="shared" si="796"/>
        <v>378.53</v>
      </c>
      <c r="DA82" s="114">
        <f t="shared" si="796"/>
        <v>378.53</v>
      </c>
      <c r="DB82" s="114">
        <f t="shared" si="796"/>
        <v>378.53</v>
      </c>
      <c r="DC82" s="114">
        <f t="shared" si="796"/>
        <v>378.53</v>
      </c>
      <c r="DD82" s="114">
        <f t="shared" si="796"/>
        <v>378.53</v>
      </c>
      <c r="DE82" s="114">
        <f t="shared" si="796"/>
        <v>378.53</v>
      </c>
      <c r="DF82" s="114">
        <f t="shared" si="796"/>
        <v>378.53</v>
      </c>
      <c r="DG82" s="114">
        <f t="shared" si="796"/>
        <v>378.53</v>
      </c>
    </row>
    <row r="83" spans="1:111" s="29" customFormat="1" x14ac:dyDescent="0.3">
      <c r="A83"/>
      <c r="B83" s="1" t="s">
        <v>347</v>
      </c>
      <c r="C83" s="1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>
        <v>50</v>
      </c>
      <c r="X83" s="114"/>
      <c r="Y83" s="114"/>
      <c r="Z83" s="114"/>
      <c r="AA83" s="114"/>
      <c r="AB83" s="114"/>
      <c r="AC83" s="114"/>
      <c r="AD83" s="114">
        <v>300</v>
      </c>
      <c r="AE83" s="114"/>
      <c r="AF83" s="114"/>
      <c r="AG83" s="114"/>
      <c r="AH83" s="114"/>
      <c r="AI83" s="114">
        <v>50</v>
      </c>
      <c r="AJ83" s="197"/>
      <c r="AK83" s="322">
        <f>AVERAGE(AE83:AJ83)</f>
        <v>50</v>
      </c>
      <c r="AL83" s="114">
        <f t="shared" ref="AL83:CK83" si="797">+AK83</f>
        <v>50</v>
      </c>
      <c r="AM83" s="197">
        <f t="shared" si="797"/>
        <v>50</v>
      </c>
      <c r="AN83" s="114">
        <f t="shared" si="797"/>
        <v>50</v>
      </c>
      <c r="AO83" s="114">
        <f t="shared" si="797"/>
        <v>50</v>
      </c>
      <c r="AP83" s="114">
        <f t="shared" si="797"/>
        <v>50</v>
      </c>
      <c r="AQ83" s="114">
        <f t="shared" si="797"/>
        <v>50</v>
      </c>
      <c r="AR83" s="114">
        <f t="shared" si="797"/>
        <v>50</v>
      </c>
      <c r="AS83" s="114">
        <f t="shared" si="797"/>
        <v>50</v>
      </c>
      <c r="AT83" s="114">
        <f t="shared" si="797"/>
        <v>50</v>
      </c>
      <c r="AU83" s="114">
        <f t="shared" si="797"/>
        <v>50</v>
      </c>
      <c r="AV83" s="114">
        <f t="shared" si="797"/>
        <v>50</v>
      </c>
      <c r="AW83" s="114">
        <f t="shared" si="797"/>
        <v>50</v>
      </c>
      <c r="AX83" s="114">
        <f t="shared" si="797"/>
        <v>50</v>
      </c>
      <c r="AY83" s="197">
        <f t="shared" si="797"/>
        <v>50</v>
      </c>
      <c r="AZ83" s="114">
        <f t="shared" si="797"/>
        <v>50</v>
      </c>
      <c r="BA83" s="114">
        <f t="shared" si="797"/>
        <v>50</v>
      </c>
      <c r="BB83" s="114">
        <f t="shared" si="797"/>
        <v>50</v>
      </c>
      <c r="BC83" s="114">
        <f t="shared" si="797"/>
        <v>50</v>
      </c>
      <c r="BD83" s="114">
        <f t="shared" si="797"/>
        <v>50</v>
      </c>
      <c r="BE83" s="114">
        <f t="shared" si="797"/>
        <v>50</v>
      </c>
      <c r="BF83" s="114">
        <f t="shared" si="797"/>
        <v>50</v>
      </c>
      <c r="BG83" s="114">
        <f t="shared" si="797"/>
        <v>50</v>
      </c>
      <c r="BH83" s="114">
        <f t="shared" si="797"/>
        <v>50</v>
      </c>
      <c r="BI83" s="114">
        <f t="shared" si="797"/>
        <v>50</v>
      </c>
      <c r="BJ83" s="114">
        <f t="shared" si="797"/>
        <v>50</v>
      </c>
      <c r="BK83" s="197">
        <f t="shared" si="797"/>
        <v>50</v>
      </c>
      <c r="BL83" s="114">
        <f t="shared" si="797"/>
        <v>50</v>
      </c>
      <c r="BM83" s="114">
        <f t="shared" si="797"/>
        <v>50</v>
      </c>
      <c r="BN83" s="114">
        <f t="shared" si="797"/>
        <v>50</v>
      </c>
      <c r="BO83" s="114">
        <f t="shared" si="797"/>
        <v>50</v>
      </c>
      <c r="BP83" s="114">
        <f t="shared" si="797"/>
        <v>50</v>
      </c>
      <c r="BQ83" s="114">
        <f t="shared" si="797"/>
        <v>50</v>
      </c>
      <c r="BR83" s="114">
        <f t="shared" si="797"/>
        <v>50</v>
      </c>
      <c r="BS83" s="114">
        <f t="shared" si="797"/>
        <v>50</v>
      </c>
      <c r="BT83" s="114">
        <f t="shared" si="797"/>
        <v>50</v>
      </c>
      <c r="BU83" s="114">
        <f t="shared" si="797"/>
        <v>50</v>
      </c>
      <c r="BV83" s="114">
        <f t="shared" si="797"/>
        <v>50</v>
      </c>
      <c r="BW83" s="197">
        <f t="shared" si="797"/>
        <v>50</v>
      </c>
      <c r="BX83" s="114">
        <f t="shared" si="797"/>
        <v>50</v>
      </c>
      <c r="BY83" s="114">
        <f t="shared" si="797"/>
        <v>50</v>
      </c>
      <c r="BZ83" s="114">
        <f t="shared" si="797"/>
        <v>50</v>
      </c>
      <c r="CA83" s="114">
        <f t="shared" si="797"/>
        <v>50</v>
      </c>
      <c r="CB83" s="114">
        <f t="shared" si="797"/>
        <v>50</v>
      </c>
      <c r="CC83" s="114">
        <f t="shared" si="797"/>
        <v>50</v>
      </c>
      <c r="CD83" s="114">
        <f t="shared" si="797"/>
        <v>50</v>
      </c>
      <c r="CE83" s="114">
        <f t="shared" si="797"/>
        <v>50</v>
      </c>
      <c r="CF83" s="114">
        <f t="shared" si="797"/>
        <v>50</v>
      </c>
      <c r="CG83" s="114">
        <f t="shared" si="797"/>
        <v>50</v>
      </c>
      <c r="CH83" s="114">
        <f t="shared" si="797"/>
        <v>50</v>
      </c>
      <c r="CI83" s="197">
        <f t="shared" si="797"/>
        <v>50</v>
      </c>
      <c r="CJ83" s="114">
        <f t="shared" si="797"/>
        <v>50</v>
      </c>
      <c r="CK83" s="114">
        <f t="shared" si="797"/>
        <v>50</v>
      </c>
      <c r="CL83" s="114">
        <f t="shared" ref="CL83:DG83" si="798">+CK83</f>
        <v>50</v>
      </c>
      <c r="CM83" s="114">
        <f t="shared" si="798"/>
        <v>50</v>
      </c>
      <c r="CN83" s="114">
        <f t="shared" si="798"/>
        <v>50</v>
      </c>
      <c r="CO83" s="114">
        <f t="shared" si="798"/>
        <v>50</v>
      </c>
      <c r="CP83" s="114">
        <f t="shared" si="798"/>
        <v>50</v>
      </c>
      <c r="CQ83" s="114">
        <f t="shared" si="798"/>
        <v>50</v>
      </c>
      <c r="CR83" s="114">
        <f t="shared" si="798"/>
        <v>50</v>
      </c>
      <c r="CS83" s="114">
        <f t="shared" si="798"/>
        <v>50</v>
      </c>
      <c r="CT83" s="114">
        <f t="shared" si="798"/>
        <v>50</v>
      </c>
      <c r="CU83" s="197">
        <f t="shared" si="798"/>
        <v>50</v>
      </c>
      <c r="CV83" s="114">
        <f t="shared" si="798"/>
        <v>50</v>
      </c>
      <c r="CW83" s="114">
        <f t="shared" si="798"/>
        <v>50</v>
      </c>
      <c r="CX83" s="114">
        <f t="shared" si="798"/>
        <v>50</v>
      </c>
      <c r="CY83" s="114">
        <f t="shared" si="798"/>
        <v>50</v>
      </c>
      <c r="CZ83" s="114">
        <f t="shared" si="798"/>
        <v>50</v>
      </c>
      <c r="DA83" s="114">
        <f t="shared" si="798"/>
        <v>50</v>
      </c>
      <c r="DB83" s="114">
        <f t="shared" si="798"/>
        <v>50</v>
      </c>
      <c r="DC83" s="114">
        <f t="shared" si="798"/>
        <v>50</v>
      </c>
      <c r="DD83" s="114">
        <f t="shared" si="798"/>
        <v>50</v>
      </c>
      <c r="DE83" s="114">
        <f t="shared" si="798"/>
        <v>50</v>
      </c>
      <c r="DF83" s="114">
        <f t="shared" si="798"/>
        <v>50</v>
      </c>
      <c r="DG83" s="114">
        <f t="shared" si="798"/>
        <v>50</v>
      </c>
    </row>
    <row r="84" spans="1:111" x14ac:dyDescent="0.3">
      <c r="B84" s="1" t="s">
        <v>204</v>
      </c>
      <c r="C84" s="1"/>
      <c r="D84" s="55">
        <f t="shared" ref="D84:O84" si="799">SUM(D73:D81)</f>
        <v>0</v>
      </c>
      <c r="E84" s="55">
        <f t="shared" si="799"/>
        <v>0</v>
      </c>
      <c r="F84" s="55">
        <f t="shared" si="799"/>
        <v>0</v>
      </c>
      <c r="G84" s="55">
        <f t="shared" si="799"/>
        <v>0</v>
      </c>
      <c r="H84" s="55">
        <f t="shared" si="799"/>
        <v>0</v>
      </c>
      <c r="I84" s="55">
        <f t="shared" si="799"/>
        <v>0</v>
      </c>
      <c r="J84" s="55">
        <f t="shared" si="799"/>
        <v>0</v>
      </c>
      <c r="K84" s="55">
        <f t="shared" si="799"/>
        <v>0</v>
      </c>
      <c r="L84" s="55">
        <f t="shared" si="799"/>
        <v>27</v>
      </c>
      <c r="M84" s="55">
        <f t="shared" si="799"/>
        <v>1796.6599999999999</v>
      </c>
      <c r="N84" s="55">
        <f t="shared" si="799"/>
        <v>472.23</v>
      </c>
      <c r="O84" s="55">
        <f t="shared" si="799"/>
        <v>162.10000000000002</v>
      </c>
      <c r="P84" s="55">
        <f t="shared" ref="P84:AA84" si="800">SUM(P73:P83)</f>
        <v>235.13</v>
      </c>
      <c r="Q84" s="55">
        <f t="shared" si="800"/>
        <v>153.76</v>
      </c>
      <c r="R84" s="55">
        <f t="shared" si="800"/>
        <v>105.36</v>
      </c>
      <c r="S84" s="55">
        <f t="shared" si="800"/>
        <v>272.83999999999997</v>
      </c>
      <c r="T84" s="55">
        <f t="shared" si="800"/>
        <v>551</v>
      </c>
      <c r="U84" s="55">
        <f t="shared" si="800"/>
        <v>647.26</v>
      </c>
      <c r="V84" s="55">
        <f t="shared" si="800"/>
        <v>432.76</v>
      </c>
      <c r="W84" s="55">
        <f t="shared" si="800"/>
        <v>851.95</v>
      </c>
      <c r="X84" s="55">
        <f t="shared" si="800"/>
        <v>1646.3600000000001</v>
      </c>
      <c r="Y84" s="55">
        <f t="shared" si="800"/>
        <v>1347.4700000000003</v>
      </c>
      <c r="Z84" s="55">
        <f t="shared" si="800"/>
        <v>906.43000000000006</v>
      </c>
      <c r="AA84" s="55">
        <f t="shared" si="800"/>
        <v>797.47</v>
      </c>
      <c r="AB84" s="55">
        <f t="shared" ref="AB84:AG84" si="801">SUM(AB72:AB83)</f>
        <v>417.24</v>
      </c>
      <c r="AC84" s="55">
        <f t="shared" si="801"/>
        <v>436.02</v>
      </c>
      <c r="AD84" s="55">
        <f t="shared" si="801"/>
        <v>943.03</v>
      </c>
      <c r="AE84" s="55">
        <f t="shared" si="801"/>
        <v>382.79999999999995</v>
      </c>
      <c r="AF84" s="55">
        <f t="shared" si="801"/>
        <v>689.94999999999993</v>
      </c>
      <c r="AG84" s="55">
        <f t="shared" si="801"/>
        <v>913.86</v>
      </c>
      <c r="AH84" s="55">
        <f>SUM(AH72:AH83)</f>
        <v>2146.7599999999998</v>
      </c>
      <c r="AI84" s="55">
        <f>SUM(AI72:AI83)</f>
        <v>1446.3200000000002</v>
      </c>
      <c r="AJ84" s="360">
        <f>SUM(AJ72:AJ83)</f>
        <v>1122.71</v>
      </c>
      <c r="AK84" s="55">
        <f t="shared" ref="AK84" si="802">SUM(AK72:AK83)</f>
        <v>2120.9907473039175</v>
      </c>
      <c r="AL84" s="55">
        <f t="shared" ref="AL84:BP84" si="803">SUM(AL72:AL83)</f>
        <v>1925.7981097828197</v>
      </c>
      <c r="AM84" s="360">
        <f t="shared" si="803"/>
        <v>1919.6390887322586</v>
      </c>
      <c r="AN84" s="55">
        <f t="shared" si="803"/>
        <v>2189.6623474673161</v>
      </c>
      <c r="AO84" s="55">
        <f t="shared" si="803"/>
        <v>2152.2092111936608</v>
      </c>
      <c r="AP84" s="55">
        <f t="shared" si="803"/>
        <v>2063.0881347771528</v>
      </c>
      <c r="AQ84" s="55">
        <f t="shared" si="803"/>
        <v>2266.2784378792176</v>
      </c>
      <c r="AR84" s="55">
        <f t="shared" si="803"/>
        <v>2141.0138125900003</v>
      </c>
      <c r="AS84" s="55">
        <f t="shared" si="803"/>
        <v>2040.5256540863302</v>
      </c>
      <c r="AT84" s="55">
        <f t="shared" si="803"/>
        <v>2307.4318762375569</v>
      </c>
      <c r="AU84" s="55">
        <f t="shared" si="803"/>
        <v>2275.3844922935596</v>
      </c>
      <c r="AV84" s="55">
        <f t="shared" si="803"/>
        <v>2205.1154361387344</v>
      </c>
      <c r="AW84" s="55">
        <f t="shared" si="803"/>
        <v>2458.5664382854229</v>
      </c>
      <c r="AX84" s="55">
        <f t="shared" si="803"/>
        <v>2092.4883913031417</v>
      </c>
      <c r="AY84" s="360">
        <f t="shared" si="803"/>
        <v>2124.7474619348895</v>
      </c>
      <c r="AZ84" s="55">
        <f t="shared" si="803"/>
        <v>2308.0315337530701</v>
      </c>
      <c r="BA84" s="55">
        <f t="shared" si="803"/>
        <v>2328.8948654119649</v>
      </c>
      <c r="BB84" s="55">
        <f t="shared" si="803"/>
        <v>2223.8809270338543</v>
      </c>
      <c r="BC84" s="55">
        <f t="shared" si="803"/>
        <v>2437.3148481284488</v>
      </c>
      <c r="BD84" s="55">
        <f t="shared" si="803"/>
        <v>2312.7920146245788</v>
      </c>
      <c r="BE84" s="55">
        <f t="shared" si="803"/>
        <v>2196.003013692728</v>
      </c>
      <c r="BF84" s="55">
        <f t="shared" si="803"/>
        <v>2517.2026349093921</v>
      </c>
      <c r="BG84" s="55">
        <f t="shared" si="803"/>
        <v>2519.0628085269873</v>
      </c>
      <c r="BH84" s="55">
        <f t="shared" si="803"/>
        <v>2417.3212735660609</v>
      </c>
      <c r="BI84" s="55">
        <f t="shared" si="803"/>
        <v>2689.6533271035732</v>
      </c>
      <c r="BJ84" s="55">
        <f t="shared" si="803"/>
        <v>2303.0592919575097</v>
      </c>
      <c r="BK84" s="360">
        <f t="shared" si="803"/>
        <v>2338.2560808222934</v>
      </c>
      <c r="BL84" s="55">
        <f t="shared" si="803"/>
        <v>2471.3063829315856</v>
      </c>
      <c r="BM84" s="55">
        <f t="shared" si="803"/>
        <v>2569.785078243417</v>
      </c>
      <c r="BN84" s="55">
        <f t="shared" si="803"/>
        <v>2438.3318594221155</v>
      </c>
      <c r="BO84" s="55">
        <f t="shared" si="803"/>
        <v>2667.3003171847386</v>
      </c>
      <c r="BP84" s="55">
        <f t="shared" si="803"/>
        <v>2548.6715621015637</v>
      </c>
      <c r="BQ84" s="55">
        <f t="shared" ref="BQ84:CT84" si="804">SUM(BQ72:BQ83)</f>
        <v>2385.7313368953737</v>
      </c>
      <c r="BR84" s="55">
        <f t="shared" si="804"/>
        <v>2760.9211919426589</v>
      </c>
      <c r="BS84" s="55">
        <f t="shared" si="804"/>
        <v>2877.2180663928548</v>
      </c>
      <c r="BT84" s="55">
        <f t="shared" si="804"/>
        <v>2697.7385441169008</v>
      </c>
      <c r="BU84" s="55">
        <f t="shared" si="804"/>
        <v>2987.8254907130322</v>
      </c>
      <c r="BV84" s="55">
        <f t="shared" si="804"/>
        <v>2556.0526612207532</v>
      </c>
      <c r="BW84" s="360">
        <f t="shared" si="804"/>
        <v>2582.890779817877</v>
      </c>
      <c r="BX84" s="55">
        <f t="shared" si="804"/>
        <v>2691.2720680111224</v>
      </c>
      <c r="BY84" s="55">
        <f t="shared" si="804"/>
        <v>2923.0529039677785</v>
      </c>
      <c r="BZ84" s="55">
        <f t="shared" si="804"/>
        <v>2700.1679781850626</v>
      </c>
      <c r="CA84" s="55">
        <f t="shared" si="804"/>
        <v>2905.614149731774</v>
      </c>
      <c r="CB84" s="55">
        <f t="shared" si="804"/>
        <v>2919.5472827909807</v>
      </c>
      <c r="CC84" s="55">
        <f t="shared" si="804"/>
        <v>2625.6936072613016</v>
      </c>
      <c r="CD84" s="55">
        <f t="shared" si="804"/>
        <v>3059.2214263836777</v>
      </c>
      <c r="CE84" s="55">
        <f t="shared" si="804"/>
        <v>3367.0967740008</v>
      </c>
      <c r="CF84" s="55">
        <f t="shared" si="804"/>
        <v>3025.5106304166356</v>
      </c>
      <c r="CG84" s="55">
        <f t="shared" si="804"/>
        <v>3457.8515180091936</v>
      </c>
      <c r="CH84" s="55">
        <f t="shared" si="804"/>
        <v>2870.2738895196435</v>
      </c>
      <c r="CI84" s="360">
        <f t="shared" si="804"/>
        <v>2848.9332718026644</v>
      </c>
      <c r="CJ84" s="55">
        <f t="shared" si="804"/>
        <v>3013.2697048580412</v>
      </c>
      <c r="CK84" s="55">
        <f t="shared" si="804"/>
        <v>3309.7798059305687</v>
      </c>
      <c r="CL84" s="55">
        <f t="shared" si="804"/>
        <v>3016.9684766299652</v>
      </c>
      <c r="CM84" s="55">
        <f t="shared" si="804"/>
        <v>3315.4731165813337</v>
      </c>
      <c r="CN84" s="55">
        <f t="shared" si="804"/>
        <v>3355.2964092580751</v>
      </c>
      <c r="CO84" s="55">
        <f t="shared" si="804"/>
        <v>2918.5393437966159</v>
      </c>
      <c r="CP84" s="55">
        <f t="shared" si="804"/>
        <v>3537.8040932373115</v>
      </c>
      <c r="CQ84" s="55">
        <f t="shared" si="804"/>
        <v>3984.5591470255467</v>
      </c>
      <c r="CR84" s="55">
        <f t="shared" si="804"/>
        <v>3456.070759420083</v>
      </c>
      <c r="CS84" s="55">
        <f t="shared" si="804"/>
        <v>4120.7017156490165</v>
      </c>
      <c r="CT84" s="55">
        <f t="shared" si="804"/>
        <v>3283.1484988521088</v>
      </c>
      <c r="CU84" s="360">
        <f t="shared" ref="CU84:DG84" si="805">SUM(CU72:CU83)</f>
        <v>3254.5641760106291</v>
      </c>
      <c r="CV84" s="55">
        <f t="shared" si="805"/>
        <v>3392.1433032866889</v>
      </c>
      <c r="CW84" s="55">
        <f t="shared" si="805"/>
        <v>3865.8088821874362</v>
      </c>
      <c r="CX84" s="55">
        <f t="shared" si="805"/>
        <v>3417.6193110632885</v>
      </c>
      <c r="CY84" s="55">
        <f t="shared" si="805"/>
        <v>3866.5616400661884</v>
      </c>
      <c r="CZ84" s="55">
        <f t="shared" si="805"/>
        <v>3927.8768844279703</v>
      </c>
      <c r="DA84" s="55">
        <f t="shared" si="805"/>
        <v>3281.3055104843761</v>
      </c>
      <c r="DB84" s="55">
        <f t="shared" si="805"/>
        <v>4186.7654500655181</v>
      </c>
      <c r="DC84" s="55">
        <f t="shared" si="805"/>
        <v>4716.1836028487915</v>
      </c>
      <c r="DD84" s="55">
        <f t="shared" si="805"/>
        <v>4144.7777511246832</v>
      </c>
      <c r="DE84" s="55">
        <f t="shared" si="805"/>
        <v>4949.2728792108492</v>
      </c>
      <c r="DF84" s="55">
        <f t="shared" si="805"/>
        <v>3772.1257014362036</v>
      </c>
      <c r="DG84" s="55">
        <f t="shared" si="805"/>
        <v>3847.8175008759308</v>
      </c>
    </row>
    <row r="85" spans="1:111" hidden="1" x14ac:dyDescent="0.3">
      <c r="B85" s="1" t="s">
        <v>201</v>
      </c>
      <c r="C85" s="1"/>
      <c r="D85" s="114">
        <v>0</v>
      </c>
      <c r="E85" s="114">
        <v>0</v>
      </c>
      <c r="F85" s="114">
        <v>0</v>
      </c>
      <c r="G85" s="114">
        <v>0</v>
      </c>
      <c r="H85" s="114">
        <v>0</v>
      </c>
      <c r="I85" s="114">
        <v>0</v>
      </c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>
        <f t="shared" ref="AB85:CF85" si="806">AA85</f>
        <v>0</v>
      </c>
      <c r="AC85" s="114">
        <f t="shared" si="806"/>
        <v>0</v>
      </c>
      <c r="AD85" s="114">
        <f t="shared" si="806"/>
        <v>0</v>
      </c>
      <c r="AE85" s="114">
        <f t="shared" si="806"/>
        <v>0</v>
      </c>
      <c r="AF85" s="114">
        <f t="shared" si="806"/>
        <v>0</v>
      </c>
      <c r="AG85" s="114">
        <f t="shared" si="806"/>
        <v>0</v>
      </c>
      <c r="AH85" s="114">
        <f t="shared" si="806"/>
        <v>0</v>
      </c>
      <c r="AI85" s="114">
        <f t="shared" si="806"/>
        <v>0</v>
      </c>
      <c r="AJ85" s="197">
        <f t="shared" si="806"/>
        <v>0</v>
      </c>
      <c r="AK85" s="114">
        <f t="shared" si="806"/>
        <v>0</v>
      </c>
      <c r="AL85" s="114">
        <f t="shared" si="806"/>
        <v>0</v>
      </c>
      <c r="AM85" s="197">
        <f t="shared" si="806"/>
        <v>0</v>
      </c>
      <c r="AN85" s="114">
        <f t="shared" si="806"/>
        <v>0</v>
      </c>
      <c r="AO85" s="114">
        <f t="shared" si="806"/>
        <v>0</v>
      </c>
      <c r="AP85" s="114">
        <f t="shared" si="806"/>
        <v>0</v>
      </c>
      <c r="AQ85" s="114">
        <f t="shared" si="806"/>
        <v>0</v>
      </c>
      <c r="AR85" s="114">
        <f t="shared" si="806"/>
        <v>0</v>
      </c>
      <c r="AS85" s="114">
        <f t="shared" si="806"/>
        <v>0</v>
      </c>
      <c r="AT85" s="114">
        <f t="shared" si="806"/>
        <v>0</v>
      </c>
      <c r="AU85" s="114">
        <f t="shared" si="806"/>
        <v>0</v>
      </c>
      <c r="AV85" s="114">
        <f t="shared" si="806"/>
        <v>0</v>
      </c>
      <c r="AW85" s="114">
        <f t="shared" si="806"/>
        <v>0</v>
      </c>
      <c r="AX85" s="114">
        <f t="shared" si="806"/>
        <v>0</v>
      </c>
      <c r="AY85" s="197">
        <f t="shared" si="806"/>
        <v>0</v>
      </c>
      <c r="AZ85" s="114">
        <f t="shared" si="806"/>
        <v>0</v>
      </c>
      <c r="BA85" s="114">
        <f t="shared" si="806"/>
        <v>0</v>
      </c>
      <c r="BB85" s="114">
        <f t="shared" si="806"/>
        <v>0</v>
      </c>
      <c r="BC85" s="114">
        <f t="shared" si="806"/>
        <v>0</v>
      </c>
      <c r="BD85" s="114">
        <f t="shared" si="806"/>
        <v>0</v>
      </c>
      <c r="BE85" s="114">
        <f t="shared" si="806"/>
        <v>0</v>
      </c>
      <c r="BF85" s="114">
        <f t="shared" si="806"/>
        <v>0</v>
      </c>
      <c r="BG85" s="114">
        <f t="shared" si="806"/>
        <v>0</v>
      </c>
      <c r="BH85" s="114">
        <f t="shared" si="806"/>
        <v>0</v>
      </c>
      <c r="BI85" s="114">
        <f t="shared" si="806"/>
        <v>0</v>
      </c>
      <c r="BJ85" s="114">
        <f t="shared" si="806"/>
        <v>0</v>
      </c>
      <c r="BK85" s="197">
        <f t="shared" si="806"/>
        <v>0</v>
      </c>
      <c r="BL85" s="114">
        <f t="shared" si="806"/>
        <v>0</v>
      </c>
      <c r="BM85" s="114">
        <f t="shared" si="806"/>
        <v>0</v>
      </c>
      <c r="BN85" s="114">
        <f t="shared" si="806"/>
        <v>0</v>
      </c>
      <c r="BO85" s="114">
        <f t="shared" si="806"/>
        <v>0</v>
      </c>
      <c r="BP85" s="114">
        <f t="shared" si="806"/>
        <v>0</v>
      </c>
      <c r="BQ85" s="114">
        <f t="shared" si="806"/>
        <v>0</v>
      </c>
      <c r="BR85" s="114">
        <f t="shared" si="806"/>
        <v>0</v>
      </c>
      <c r="BS85" s="114">
        <f t="shared" si="806"/>
        <v>0</v>
      </c>
      <c r="BT85" s="114">
        <f t="shared" si="806"/>
        <v>0</v>
      </c>
      <c r="BU85" s="114">
        <f t="shared" si="806"/>
        <v>0</v>
      </c>
      <c r="BV85" s="114">
        <f t="shared" si="806"/>
        <v>0</v>
      </c>
      <c r="BW85" s="197">
        <f t="shared" si="806"/>
        <v>0</v>
      </c>
      <c r="BX85" s="114">
        <f t="shared" si="806"/>
        <v>0</v>
      </c>
      <c r="BY85" s="114">
        <f t="shared" si="806"/>
        <v>0</v>
      </c>
      <c r="BZ85" s="114">
        <f t="shared" si="806"/>
        <v>0</v>
      </c>
      <c r="CA85" s="114">
        <f t="shared" si="806"/>
        <v>0</v>
      </c>
      <c r="CB85" s="114">
        <f t="shared" si="806"/>
        <v>0</v>
      </c>
      <c r="CC85" s="114">
        <f t="shared" si="806"/>
        <v>0</v>
      </c>
      <c r="CD85" s="114">
        <f t="shared" si="806"/>
        <v>0</v>
      </c>
      <c r="CE85" s="114">
        <f t="shared" si="806"/>
        <v>0</v>
      </c>
      <c r="CF85" s="114">
        <f t="shared" si="806"/>
        <v>0</v>
      </c>
      <c r="CG85" s="114">
        <f t="shared" ref="CG85:DG85" si="807">CF85</f>
        <v>0</v>
      </c>
      <c r="CH85" s="114">
        <f t="shared" si="807"/>
        <v>0</v>
      </c>
      <c r="CI85" s="197">
        <f t="shared" si="807"/>
        <v>0</v>
      </c>
      <c r="CJ85" s="114">
        <f t="shared" si="807"/>
        <v>0</v>
      </c>
      <c r="CK85" s="114">
        <f t="shared" si="807"/>
        <v>0</v>
      </c>
      <c r="CL85" s="114">
        <f t="shared" si="807"/>
        <v>0</v>
      </c>
      <c r="CM85" s="114">
        <f t="shared" si="807"/>
        <v>0</v>
      </c>
      <c r="CN85" s="114">
        <f t="shared" si="807"/>
        <v>0</v>
      </c>
      <c r="CO85" s="114">
        <f t="shared" si="807"/>
        <v>0</v>
      </c>
      <c r="CP85" s="114">
        <f t="shared" si="807"/>
        <v>0</v>
      </c>
      <c r="CQ85" s="114">
        <f t="shared" si="807"/>
        <v>0</v>
      </c>
      <c r="CR85" s="114">
        <f t="shared" si="807"/>
        <v>0</v>
      </c>
      <c r="CS85" s="114">
        <f t="shared" si="807"/>
        <v>0</v>
      </c>
      <c r="CT85" s="114">
        <f t="shared" si="807"/>
        <v>0</v>
      </c>
      <c r="CU85" s="197">
        <f t="shared" si="807"/>
        <v>0</v>
      </c>
      <c r="CV85" s="114">
        <f t="shared" si="807"/>
        <v>0</v>
      </c>
      <c r="CW85" s="114">
        <f t="shared" si="807"/>
        <v>0</v>
      </c>
      <c r="CX85" s="114">
        <f t="shared" si="807"/>
        <v>0</v>
      </c>
      <c r="CY85" s="114">
        <f t="shared" si="807"/>
        <v>0</v>
      </c>
      <c r="CZ85" s="114">
        <f t="shared" si="807"/>
        <v>0</v>
      </c>
      <c r="DA85" s="114">
        <f t="shared" si="807"/>
        <v>0</v>
      </c>
      <c r="DB85" s="114">
        <f t="shared" si="807"/>
        <v>0</v>
      </c>
      <c r="DC85" s="114">
        <f t="shared" si="807"/>
        <v>0</v>
      </c>
      <c r="DD85" s="114">
        <f t="shared" si="807"/>
        <v>0</v>
      </c>
      <c r="DE85" s="114">
        <f t="shared" si="807"/>
        <v>0</v>
      </c>
      <c r="DF85" s="114">
        <f t="shared" si="807"/>
        <v>0</v>
      </c>
      <c r="DG85" s="114">
        <f t="shared" si="807"/>
        <v>0</v>
      </c>
    </row>
    <row r="86" spans="1:111" hidden="1" x14ac:dyDescent="0.3">
      <c r="A86" s="5"/>
      <c r="B86" s="6" t="s">
        <v>10</v>
      </c>
      <c r="C86" s="6"/>
      <c r="D86" s="55">
        <f>SUM(D84:D85)</f>
        <v>0</v>
      </c>
      <c r="E86" s="55">
        <f t="shared" ref="E86:BP86" si="808">SUM(E84:E85)</f>
        <v>0</v>
      </c>
      <c r="F86" s="55">
        <f t="shared" si="808"/>
        <v>0</v>
      </c>
      <c r="G86" s="55">
        <f t="shared" si="808"/>
        <v>0</v>
      </c>
      <c r="H86" s="55">
        <f t="shared" si="808"/>
        <v>0</v>
      </c>
      <c r="I86" s="55">
        <f t="shared" si="808"/>
        <v>0</v>
      </c>
      <c r="J86" s="55">
        <f t="shared" si="808"/>
        <v>0</v>
      </c>
      <c r="K86" s="55">
        <f t="shared" si="808"/>
        <v>0</v>
      </c>
      <c r="L86" s="55">
        <f t="shared" si="808"/>
        <v>27</v>
      </c>
      <c r="M86" s="55">
        <f t="shared" si="808"/>
        <v>1796.6599999999999</v>
      </c>
      <c r="N86" s="55">
        <f t="shared" si="808"/>
        <v>472.23</v>
      </c>
      <c r="O86" s="55">
        <f t="shared" si="808"/>
        <v>162.10000000000002</v>
      </c>
      <c r="P86" s="55">
        <f t="shared" ref="P86:W86" si="809">SUM(P84:P85)</f>
        <v>235.13</v>
      </c>
      <c r="Q86" s="55">
        <f t="shared" si="809"/>
        <v>153.76</v>
      </c>
      <c r="R86" s="55">
        <f t="shared" si="809"/>
        <v>105.36</v>
      </c>
      <c r="S86" s="55">
        <f t="shared" si="809"/>
        <v>272.83999999999997</v>
      </c>
      <c r="T86" s="55">
        <f t="shared" si="809"/>
        <v>551</v>
      </c>
      <c r="U86" s="55">
        <f t="shared" si="809"/>
        <v>647.26</v>
      </c>
      <c r="V86" s="55">
        <f t="shared" si="809"/>
        <v>432.76</v>
      </c>
      <c r="W86" s="55">
        <f t="shared" si="809"/>
        <v>851.95</v>
      </c>
      <c r="X86" s="55">
        <f t="shared" ref="X86:Y86" si="810">SUM(X84:X85)</f>
        <v>1646.3600000000001</v>
      </c>
      <c r="Y86" s="55">
        <f t="shared" si="810"/>
        <v>1347.4700000000003</v>
      </c>
      <c r="Z86" s="55">
        <f t="shared" ref="Z86:AA86" si="811">SUM(Z84:Z85)</f>
        <v>906.43000000000006</v>
      </c>
      <c r="AA86" s="55">
        <f t="shared" si="811"/>
        <v>797.47</v>
      </c>
      <c r="AB86" s="55">
        <f t="shared" ref="AB86" si="812">SUM(AB84:AB85)</f>
        <v>417.24</v>
      </c>
      <c r="AC86" s="55">
        <f t="shared" si="808"/>
        <v>436.02</v>
      </c>
      <c r="AD86" s="55">
        <f t="shared" ref="AD86" si="813">SUM(AD84:AD85)</f>
        <v>943.03</v>
      </c>
      <c r="AE86" s="55">
        <f t="shared" ref="AE86" si="814">SUM(AE84:AE85)</f>
        <v>382.79999999999995</v>
      </c>
      <c r="AF86" s="55">
        <f t="shared" ref="AF86:AG86" si="815">SUM(AF84:AF85)</f>
        <v>689.94999999999993</v>
      </c>
      <c r="AG86" s="55">
        <f t="shared" si="815"/>
        <v>913.86</v>
      </c>
      <c r="AH86" s="55">
        <f t="shared" ref="AH86" si="816">SUM(AH84:AH85)</f>
        <v>2146.7599999999998</v>
      </c>
      <c r="AI86" s="55">
        <f t="shared" ref="AI86:AJ86" si="817">SUM(AI84:AI85)</f>
        <v>1446.3200000000002</v>
      </c>
      <c r="AJ86" s="360">
        <f t="shared" si="817"/>
        <v>1122.71</v>
      </c>
      <c r="AK86" s="55">
        <f t="shared" ref="AK86" si="818">SUM(AK84:AK85)</f>
        <v>2120.9907473039175</v>
      </c>
      <c r="AL86" s="55">
        <f t="shared" si="808"/>
        <v>1925.7981097828197</v>
      </c>
      <c r="AM86" s="360">
        <f t="shared" si="808"/>
        <v>1919.6390887322586</v>
      </c>
      <c r="AN86" s="55">
        <f t="shared" si="808"/>
        <v>2189.6623474673161</v>
      </c>
      <c r="AO86" s="55">
        <f t="shared" si="808"/>
        <v>2152.2092111936608</v>
      </c>
      <c r="AP86" s="55">
        <f t="shared" si="808"/>
        <v>2063.0881347771528</v>
      </c>
      <c r="AQ86" s="55">
        <f t="shared" si="808"/>
        <v>2266.2784378792176</v>
      </c>
      <c r="AR86" s="55">
        <f t="shared" si="808"/>
        <v>2141.0138125900003</v>
      </c>
      <c r="AS86" s="55">
        <f t="shared" si="808"/>
        <v>2040.5256540863302</v>
      </c>
      <c r="AT86" s="55">
        <f t="shared" si="808"/>
        <v>2307.4318762375569</v>
      </c>
      <c r="AU86" s="55">
        <f t="shared" si="808"/>
        <v>2275.3844922935596</v>
      </c>
      <c r="AV86" s="55">
        <f t="shared" si="808"/>
        <v>2205.1154361387344</v>
      </c>
      <c r="AW86" s="55">
        <f t="shared" si="808"/>
        <v>2458.5664382854229</v>
      </c>
      <c r="AX86" s="55">
        <f t="shared" si="808"/>
        <v>2092.4883913031417</v>
      </c>
      <c r="AY86" s="360">
        <f t="shared" si="808"/>
        <v>2124.7474619348895</v>
      </c>
      <c r="AZ86" s="55">
        <f t="shared" si="808"/>
        <v>2308.0315337530701</v>
      </c>
      <c r="BA86" s="55">
        <f t="shared" si="808"/>
        <v>2328.8948654119649</v>
      </c>
      <c r="BB86" s="55">
        <f t="shared" si="808"/>
        <v>2223.8809270338543</v>
      </c>
      <c r="BC86" s="55">
        <f t="shared" si="808"/>
        <v>2437.3148481284488</v>
      </c>
      <c r="BD86" s="55">
        <f t="shared" si="808"/>
        <v>2312.7920146245788</v>
      </c>
      <c r="BE86" s="55">
        <f t="shared" si="808"/>
        <v>2196.003013692728</v>
      </c>
      <c r="BF86" s="55">
        <f t="shared" si="808"/>
        <v>2517.2026349093921</v>
      </c>
      <c r="BG86" s="55">
        <f t="shared" si="808"/>
        <v>2519.0628085269873</v>
      </c>
      <c r="BH86" s="55">
        <f t="shared" si="808"/>
        <v>2417.3212735660609</v>
      </c>
      <c r="BI86" s="55">
        <f t="shared" si="808"/>
        <v>2689.6533271035732</v>
      </c>
      <c r="BJ86" s="55">
        <f t="shared" si="808"/>
        <v>2303.0592919575097</v>
      </c>
      <c r="BK86" s="360">
        <f t="shared" si="808"/>
        <v>2338.2560808222934</v>
      </c>
      <c r="BL86" s="55">
        <f t="shared" si="808"/>
        <v>2471.3063829315856</v>
      </c>
      <c r="BM86" s="55">
        <f t="shared" si="808"/>
        <v>2569.785078243417</v>
      </c>
      <c r="BN86" s="55">
        <f t="shared" si="808"/>
        <v>2438.3318594221155</v>
      </c>
      <c r="BO86" s="55">
        <f t="shared" si="808"/>
        <v>2667.3003171847386</v>
      </c>
      <c r="BP86" s="55">
        <f t="shared" si="808"/>
        <v>2548.6715621015637</v>
      </c>
      <c r="BQ86" s="55">
        <f t="shared" ref="BQ86:DG86" si="819">SUM(BQ84:BQ85)</f>
        <v>2385.7313368953737</v>
      </c>
      <c r="BR86" s="55">
        <f t="shared" si="819"/>
        <v>2760.9211919426589</v>
      </c>
      <c r="BS86" s="55">
        <f t="shared" si="819"/>
        <v>2877.2180663928548</v>
      </c>
      <c r="BT86" s="55">
        <f t="shared" si="819"/>
        <v>2697.7385441169008</v>
      </c>
      <c r="BU86" s="55">
        <f t="shared" si="819"/>
        <v>2987.8254907130322</v>
      </c>
      <c r="BV86" s="55">
        <f t="shared" si="819"/>
        <v>2556.0526612207532</v>
      </c>
      <c r="BW86" s="360">
        <f t="shared" si="819"/>
        <v>2582.890779817877</v>
      </c>
      <c r="BX86" s="55">
        <f t="shared" si="819"/>
        <v>2691.2720680111224</v>
      </c>
      <c r="BY86" s="55">
        <f t="shared" si="819"/>
        <v>2923.0529039677785</v>
      </c>
      <c r="BZ86" s="55">
        <f t="shared" si="819"/>
        <v>2700.1679781850626</v>
      </c>
      <c r="CA86" s="55">
        <f t="shared" si="819"/>
        <v>2905.614149731774</v>
      </c>
      <c r="CB86" s="55">
        <f t="shared" si="819"/>
        <v>2919.5472827909807</v>
      </c>
      <c r="CC86" s="55">
        <f t="shared" si="819"/>
        <v>2625.6936072613016</v>
      </c>
      <c r="CD86" s="55">
        <f t="shared" si="819"/>
        <v>3059.2214263836777</v>
      </c>
      <c r="CE86" s="55">
        <f t="shared" si="819"/>
        <v>3367.0967740008</v>
      </c>
      <c r="CF86" s="55">
        <f t="shared" si="819"/>
        <v>3025.5106304166356</v>
      </c>
      <c r="CG86" s="55">
        <f t="shared" si="819"/>
        <v>3457.8515180091936</v>
      </c>
      <c r="CH86" s="55">
        <f t="shared" si="819"/>
        <v>2870.2738895196435</v>
      </c>
      <c r="CI86" s="360">
        <f t="shared" si="819"/>
        <v>2848.9332718026644</v>
      </c>
      <c r="CJ86" s="55">
        <f t="shared" si="819"/>
        <v>3013.2697048580412</v>
      </c>
      <c r="CK86" s="55">
        <f t="shared" si="819"/>
        <v>3309.7798059305687</v>
      </c>
      <c r="CL86" s="55">
        <f t="shared" si="819"/>
        <v>3016.9684766299652</v>
      </c>
      <c r="CM86" s="55">
        <f t="shared" si="819"/>
        <v>3315.4731165813337</v>
      </c>
      <c r="CN86" s="55">
        <f t="shared" si="819"/>
        <v>3355.2964092580751</v>
      </c>
      <c r="CO86" s="55">
        <f t="shared" si="819"/>
        <v>2918.5393437966159</v>
      </c>
      <c r="CP86" s="55">
        <f t="shared" si="819"/>
        <v>3537.8040932373115</v>
      </c>
      <c r="CQ86" s="55">
        <f t="shared" si="819"/>
        <v>3984.5591470255467</v>
      </c>
      <c r="CR86" s="55">
        <f t="shared" si="819"/>
        <v>3456.070759420083</v>
      </c>
      <c r="CS86" s="55">
        <f t="shared" si="819"/>
        <v>4120.7017156490165</v>
      </c>
      <c r="CT86" s="55">
        <f t="shared" si="819"/>
        <v>3283.1484988521088</v>
      </c>
      <c r="CU86" s="360">
        <f t="shared" si="819"/>
        <v>3254.5641760106291</v>
      </c>
      <c r="CV86" s="55">
        <f t="shared" si="819"/>
        <v>3392.1433032866889</v>
      </c>
      <c r="CW86" s="55">
        <f t="shared" si="819"/>
        <v>3865.8088821874362</v>
      </c>
      <c r="CX86" s="55">
        <f t="shared" si="819"/>
        <v>3417.6193110632885</v>
      </c>
      <c r="CY86" s="55">
        <f t="shared" si="819"/>
        <v>3866.5616400661884</v>
      </c>
      <c r="CZ86" s="55">
        <f t="shared" si="819"/>
        <v>3927.8768844279703</v>
      </c>
      <c r="DA86" s="55">
        <f t="shared" si="819"/>
        <v>3281.3055104843761</v>
      </c>
      <c r="DB86" s="55">
        <f t="shared" si="819"/>
        <v>4186.7654500655181</v>
      </c>
      <c r="DC86" s="55">
        <f t="shared" si="819"/>
        <v>4716.1836028487915</v>
      </c>
      <c r="DD86" s="55">
        <f t="shared" si="819"/>
        <v>4144.7777511246832</v>
      </c>
      <c r="DE86" s="55">
        <f t="shared" si="819"/>
        <v>4949.2728792108492</v>
      </c>
      <c r="DF86" s="55">
        <f t="shared" si="819"/>
        <v>3772.1257014362036</v>
      </c>
      <c r="DG86" s="55">
        <f t="shared" si="819"/>
        <v>3847.8175008759308</v>
      </c>
    </row>
    <row r="87" spans="1:111" x14ac:dyDescent="0.3">
      <c r="A87" s="3"/>
      <c r="B87" s="4" t="s">
        <v>278</v>
      </c>
      <c r="C87" s="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>
        <f t="shared" ref="P87:AH87" si="820">+P84+P69</f>
        <v>235.13</v>
      </c>
      <c r="Q87" s="55">
        <f t="shared" si="820"/>
        <v>153.76</v>
      </c>
      <c r="R87" s="55">
        <f t="shared" si="820"/>
        <v>105.36</v>
      </c>
      <c r="S87" s="55">
        <f t="shared" si="820"/>
        <v>272.83999999999997</v>
      </c>
      <c r="T87" s="55">
        <f t="shared" si="820"/>
        <v>551</v>
      </c>
      <c r="U87" s="55">
        <f t="shared" si="820"/>
        <v>647.26</v>
      </c>
      <c r="V87" s="55">
        <f t="shared" si="820"/>
        <v>432.76</v>
      </c>
      <c r="W87" s="55">
        <f t="shared" si="820"/>
        <v>851.95</v>
      </c>
      <c r="X87" s="55">
        <f t="shared" si="820"/>
        <v>1646.3600000000001</v>
      </c>
      <c r="Y87" s="55">
        <f t="shared" si="820"/>
        <v>1347.4700000000003</v>
      </c>
      <c r="Z87" s="55">
        <f t="shared" si="820"/>
        <v>906.43000000000006</v>
      </c>
      <c r="AA87" s="55">
        <f t="shared" si="820"/>
        <v>797.47</v>
      </c>
      <c r="AB87" s="55">
        <f t="shared" si="820"/>
        <v>417.24</v>
      </c>
      <c r="AC87" s="55">
        <f t="shared" si="820"/>
        <v>1615.46</v>
      </c>
      <c r="AD87" s="55">
        <f t="shared" si="820"/>
        <v>943.03</v>
      </c>
      <c r="AE87" s="55">
        <f t="shared" si="820"/>
        <v>2782.8</v>
      </c>
      <c r="AF87" s="55">
        <f t="shared" si="820"/>
        <v>689.94999999999993</v>
      </c>
      <c r="AG87" s="55">
        <f t="shared" si="820"/>
        <v>1579.42</v>
      </c>
      <c r="AH87" s="55">
        <f t="shared" si="820"/>
        <v>2146.7599999999998</v>
      </c>
      <c r="AI87" s="55">
        <f t="shared" ref="AI87:AJ87" si="821">+AI84+AI69</f>
        <v>1446.3200000000002</v>
      </c>
      <c r="AJ87" s="360">
        <f t="shared" si="821"/>
        <v>1122.71</v>
      </c>
      <c r="AK87" s="55">
        <f t="shared" ref="AK87" si="822">+AK84+AK69</f>
        <v>3520.9907473039175</v>
      </c>
      <c r="AL87" s="55">
        <f t="shared" ref="AL87:AU87" si="823">+AL84+AL69</f>
        <v>1925.7981097828197</v>
      </c>
      <c r="AM87" s="360">
        <f t="shared" si="823"/>
        <v>1919.6390887322586</v>
      </c>
      <c r="AN87" s="55">
        <f t="shared" si="823"/>
        <v>3189.6623474673161</v>
      </c>
      <c r="AO87" s="55">
        <f t="shared" si="823"/>
        <v>2152.2092111936608</v>
      </c>
      <c r="AP87" s="55">
        <f t="shared" si="823"/>
        <v>2063.0881347771528</v>
      </c>
      <c r="AQ87" s="55">
        <f t="shared" si="823"/>
        <v>3366.2784378792176</v>
      </c>
      <c r="AR87" s="55">
        <f t="shared" si="823"/>
        <v>2141.0138125900003</v>
      </c>
      <c r="AS87" s="55">
        <f t="shared" si="823"/>
        <v>2040.5256540863302</v>
      </c>
      <c r="AT87" s="55">
        <f t="shared" si="823"/>
        <v>3517.4318762375569</v>
      </c>
      <c r="AU87" s="55">
        <f t="shared" si="823"/>
        <v>2275.3844922935596</v>
      </c>
      <c r="AV87" s="55">
        <f t="shared" ref="AV87:CA87" si="824">+AV84+AV69</f>
        <v>2205.1154361387344</v>
      </c>
      <c r="AW87" s="55">
        <f t="shared" si="824"/>
        <v>3789.5664382854229</v>
      </c>
      <c r="AX87" s="55">
        <f t="shared" si="824"/>
        <v>2092.4883913031417</v>
      </c>
      <c r="AY87" s="360">
        <f t="shared" si="824"/>
        <v>2124.7474619348895</v>
      </c>
      <c r="AZ87" s="55">
        <f t="shared" si="824"/>
        <v>3772.1315337530705</v>
      </c>
      <c r="BA87" s="55">
        <f t="shared" si="824"/>
        <v>2328.8948654119649</v>
      </c>
      <c r="BB87" s="55">
        <f t="shared" si="824"/>
        <v>2223.8809270338543</v>
      </c>
      <c r="BC87" s="55">
        <f t="shared" si="824"/>
        <v>4047.824848128449</v>
      </c>
      <c r="BD87" s="55">
        <f t="shared" si="824"/>
        <v>2312.7920146245788</v>
      </c>
      <c r="BE87" s="55">
        <f t="shared" si="824"/>
        <v>2196.003013692728</v>
      </c>
      <c r="BF87" s="55">
        <f t="shared" si="824"/>
        <v>4288.7636349093927</v>
      </c>
      <c r="BG87" s="55">
        <f t="shared" si="824"/>
        <v>2519.0628085269873</v>
      </c>
      <c r="BH87" s="55">
        <f t="shared" si="824"/>
        <v>2417.3212735660609</v>
      </c>
      <c r="BI87" s="55">
        <f t="shared" si="824"/>
        <v>4638.370427103574</v>
      </c>
      <c r="BJ87" s="55">
        <f t="shared" si="824"/>
        <v>2303.0592919575097</v>
      </c>
      <c r="BK87" s="360">
        <f t="shared" si="824"/>
        <v>2338.2560808222934</v>
      </c>
      <c r="BL87" s="55">
        <f t="shared" si="824"/>
        <v>4614.8951929315863</v>
      </c>
      <c r="BM87" s="55">
        <f t="shared" si="824"/>
        <v>2569.785078243417</v>
      </c>
      <c r="BN87" s="55">
        <f t="shared" si="824"/>
        <v>2438.3318594221155</v>
      </c>
      <c r="BO87" s="55">
        <f t="shared" si="824"/>
        <v>5025.2480081847389</v>
      </c>
      <c r="BP87" s="55">
        <f t="shared" si="824"/>
        <v>2548.6715621015637</v>
      </c>
      <c r="BQ87" s="55">
        <f t="shared" si="824"/>
        <v>2385.7313368953737</v>
      </c>
      <c r="BR87" s="55">
        <f t="shared" si="824"/>
        <v>5354.66365204266</v>
      </c>
      <c r="BS87" s="55">
        <f t="shared" si="824"/>
        <v>2877.2180663928548</v>
      </c>
      <c r="BT87" s="55">
        <f t="shared" si="824"/>
        <v>2697.7385441169008</v>
      </c>
      <c r="BU87" s="55">
        <f t="shared" si="824"/>
        <v>5840.9421968230336</v>
      </c>
      <c r="BV87" s="55">
        <f t="shared" si="824"/>
        <v>2556.0526612207532</v>
      </c>
      <c r="BW87" s="360">
        <f t="shared" si="824"/>
        <v>2582.890779817877</v>
      </c>
      <c r="BX87" s="55">
        <f t="shared" si="824"/>
        <v>5829.7004447321242</v>
      </c>
      <c r="BY87" s="55">
        <f t="shared" si="824"/>
        <v>2923.0529039677785</v>
      </c>
      <c r="BZ87" s="55">
        <f t="shared" si="824"/>
        <v>2700.1679781850626</v>
      </c>
      <c r="CA87" s="55">
        <f t="shared" si="824"/>
        <v>6357.8853641248761</v>
      </c>
      <c r="CB87" s="55">
        <f t="shared" ref="CB87:DG87" si="825">+CB84+CB69</f>
        <v>2919.5472827909807</v>
      </c>
      <c r="CC87" s="55">
        <f t="shared" si="825"/>
        <v>2625.6936072613016</v>
      </c>
      <c r="CD87" s="55">
        <f t="shared" si="825"/>
        <v>6856.7197622160902</v>
      </c>
      <c r="CE87" s="55">
        <f t="shared" si="825"/>
        <v>3367.0967740008</v>
      </c>
      <c r="CF87" s="55">
        <f t="shared" si="825"/>
        <v>3025.5106304166356</v>
      </c>
      <c r="CG87" s="55">
        <f t="shared" si="825"/>
        <v>7635.0996874248476</v>
      </c>
      <c r="CH87" s="55">
        <f t="shared" si="825"/>
        <v>2870.2738895196435</v>
      </c>
      <c r="CI87" s="360">
        <f t="shared" si="825"/>
        <v>2848.9332718026644</v>
      </c>
      <c r="CJ87" s="55">
        <f t="shared" si="825"/>
        <v>7608.2426912152614</v>
      </c>
      <c r="CK87" s="55">
        <f t="shared" si="825"/>
        <v>3309.7798059305687</v>
      </c>
      <c r="CL87" s="55">
        <f t="shared" si="825"/>
        <v>3016.9684766299652</v>
      </c>
      <c r="CM87" s="55">
        <f t="shared" si="825"/>
        <v>8369.9434015742772</v>
      </c>
      <c r="CN87" s="55">
        <f t="shared" si="825"/>
        <v>3355.2964092580751</v>
      </c>
      <c r="CO87" s="55">
        <f t="shared" si="825"/>
        <v>2918.5393437966159</v>
      </c>
      <c r="CP87" s="55">
        <f t="shared" si="825"/>
        <v>9097.7214067295499</v>
      </c>
      <c r="CQ87" s="55">
        <f t="shared" si="825"/>
        <v>3984.5591470255467</v>
      </c>
      <c r="CR87" s="55">
        <f t="shared" si="825"/>
        <v>3456.070759420083</v>
      </c>
      <c r="CS87" s="55">
        <f t="shared" si="825"/>
        <v>10236.610760490479</v>
      </c>
      <c r="CT87" s="55">
        <f t="shared" si="825"/>
        <v>3283.1484988521088</v>
      </c>
      <c r="CU87" s="360">
        <f t="shared" si="825"/>
        <v>3254.5641760106291</v>
      </c>
      <c r="CV87" s="55">
        <f t="shared" si="825"/>
        <v>10119.643252612297</v>
      </c>
      <c r="CW87" s="55">
        <f t="shared" si="825"/>
        <v>3865.8088821874362</v>
      </c>
      <c r="CX87" s="55">
        <f t="shared" si="825"/>
        <v>3417.6193110632885</v>
      </c>
      <c r="CY87" s="55">
        <f t="shared" si="825"/>
        <v>11266.811584324358</v>
      </c>
      <c r="CZ87" s="55">
        <f t="shared" si="825"/>
        <v>3927.8768844279703</v>
      </c>
      <c r="DA87" s="55">
        <f t="shared" si="825"/>
        <v>3281.3055104843761</v>
      </c>
      <c r="DB87" s="55">
        <f t="shared" si="825"/>
        <v>12327.040388749505</v>
      </c>
      <c r="DC87" s="55">
        <f t="shared" si="825"/>
        <v>4716.1836028487915</v>
      </c>
      <c r="DD87" s="55">
        <f t="shared" si="825"/>
        <v>4144.7777511246832</v>
      </c>
      <c r="DE87" s="55">
        <f t="shared" si="825"/>
        <v>13903.575311763234</v>
      </c>
      <c r="DF87" s="55">
        <f t="shared" si="825"/>
        <v>3772.1257014362036</v>
      </c>
      <c r="DG87" s="55">
        <f t="shared" si="825"/>
        <v>3847.8175008759308</v>
      </c>
    </row>
    <row r="88" spans="1:111" x14ac:dyDescent="0.3">
      <c r="A88" s="3"/>
      <c r="B88" s="4" t="s">
        <v>11</v>
      </c>
      <c r="C88" s="4"/>
      <c r="D88" s="55">
        <f t="shared" ref="D88:O88" si="826">D63-D86</f>
        <v>0</v>
      </c>
      <c r="E88" s="55">
        <f t="shared" si="826"/>
        <v>0</v>
      </c>
      <c r="F88" s="55">
        <f t="shared" si="826"/>
        <v>0</v>
      </c>
      <c r="G88" s="55">
        <f t="shared" si="826"/>
        <v>0</v>
      </c>
      <c r="H88" s="55">
        <f t="shared" si="826"/>
        <v>0</v>
      </c>
      <c r="I88" s="55">
        <f t="shared" si="826"/>
        <v>0</v>
      </c>
      <c r="J88" s="55">
        <f t="shared" si="826"/>
        <v>0</v>
      </c>
      <c r="K88" s="55">
        <f t="shared" si="826"/>
        <v>375</v>
      </c>
      <c r="L88" s="55">
        <f t="shared" si="826"/>
        <v>1048</v>
      </c>
      <c r="M88" s="55">
        <f t="shared" si="826"/>
        <v>1968.3400000000001</v>
      </c>
      <c r="N88" s="55">
        <f t="shared" si="826"/>
        <v>1617.77</v>
      </c>
      <c r="O88" s="55">
        <f t="shared" si="826"/>
        <v>1870.4</v>
      </c>
      <c r="P88" s="55">
        <f t="shared" ref="P88:AH88" si="827">P63-P87</f>
        <v>1310.8600000000001</v>
      </c>
      <c r="Q88" s="55">
        <f t="shared" si="827"/>
        <v>1101.99</v>
      </c>
      <c r="R88" s="55">
        <f t="shared" si="827"/>
        <v>1101.3900000000001</v>
      </c>
      <c r="S88" s="55">
        <f t="shared" si="827"/>
        <v>1684.5700000000002</v>
      </c>
      <c r="T88" s="55">
        <f t="shared" si="827"/>
        <v>1935.9299999999998</v>
      </c>
      <c r="U88" s="55">
        <f t="shared" si="827"/>
        <v>1396.17</v>
      </c>
      <c r="V88" s="55">
        <f t="shared" si="827"/>
        <v>2402.7399999999998</v>
      </c>
      <c r="W88" s="55">
        <f t="shared" si="827"/>
        <v>6226.71</v>
      </c>
      <c r="X88" s="55">
        <f t="shared" si="827"/>
        <v>7109.73</v>
      </c>
      <c r="Y88" s="55">
        <f t="shared" si="827"/>
        <v>6848.9000000000005</v>
      </c>
      <c r="Z88" s="55">
        <f t="shared" si="827"/>
        <v>4031.6899999999996</v>
      </c>
      <c r="AA88" s="55">
        <f t="shared" si="827"/>
        <v>1347.03</v>
      </c>
      <c r="AB88" s="55">
        <f t="shared" si="827"/>
        <v>2584.7600000000002</v>
      </c>
      <c r="AC88" s="55">
        <f t="shared" si="827"/>
        <v>2742.04</v>
      </c>
      <c r="AD88" s="55">
        <f t="shared" si="827"/>
        <v>2536.4700000000003</v>
      </c>
      <c r="AE88" s="55">
        <f t="shared" si="827"/>
        <v>1235.1999999999998</v>
      </c>
      <c r="AF88" s="55">
        <f t="shared" si="827"/>
        <v>4730.13</v>
      </c>
      <c r="AG88" s="55">
        <f t="shared" si="827"/>
        <v>2728.84</v>
      </c>
      <c r="AH88" s="55">
        <f t="shared" si="827"/>
        <v>6314.130000000001</v>
      </c>
      <c r="AI88" s="55">
        <f t="shared" ref="AI88:AJ88" si="828">AI63-AI87</f>
        <v>11774.94</v>
      </c>
      <c r="AJ88" s="360">
        <f t="shared" si="828"/>
        <v>8439.7900000000009</v>
      </c>
      <c r="AK88" s="55">
        <f t="shared" ref="AK88" si="829">AK63-AK87</f>
        <v>4780.6767337445845</v>
      </c>
      <c r="AL88" s="55">
        <f t="shared" ref="AL88:AU88" si="830">AL63-AL87</f>
        <v>3222.0101166414752</v>
      </c>
      <c r="AM88" s="360">
        <f t="shared" si="830"/>
        <v>3016.8604265834592</v>
      </c>
      <c r="AN88" s="55">
        <f t="shared" si="830"/>
        <v>1353.8201411146392</v>
      </c>
      <c r="AO88" s="55">
        <f t="shared" si="830"/>
        <v>5501.9878339012575</v>
      </c>
      <c r="AP88" s="55">
        <f t="shared" si="830"/>
        <v>3284.105346592256</v>
      </c>
      <c r="AQ88" s="55">
        <f t="shared" si="830"/>
        <v>3805.8112891278142</v>
      </c>
      <c r="AR88" s="55">
        <f t="shared" si="830"/>
        <v>5452.2390376270141</v>
      </c>
      <c r="AS88" s="55">
        <f t="shared" si="830"/>
        <v>2532.5758611977144</v>
      </c>
      <c r="AT88" s="55">
        <f t="shared" si="830"/>
        <v>4529.0835360039728</v>
      </c>
      <c r="AU88" s="55">
        <f t="shared" si="830"/>
        <v>6578.9501360324493</v>
      </c>
      <c r="AV88" s="55">
        <f t="shared" ref="AV88:CA88" si="831">AV63-AV87</f>
        <v>6582.6384992628718</v>
      </c>
      <c r="AW88" s="55">
        <f t="shared" si="831"/>
        <v>5323.8905292458658</v>
      </c>
      <c r="AX88" s="55">
        <f t="shared" si="831"/>
        <v>4263.393039298443</v>
      </c>
      <c r="AY88" s="360">
        <f t="shared" si="831"/>
        <v>5337.9044409212747</v>
      </c>
      <c r="AZ88" s="55">
        <f t="shared" si="831"/>
        <v>1734.9890206816572</v>
      </c>
      <c r="BA88" s="55">
        <f t="shared" si="831"/>
        <v>5820.5662726150767</v>
      </c>
      <c r="BB88" s="55">
        <f t="shared" si="831"/>
        <v>5360.623298125809</v>
      </c>
      <c r="BC88" s="55">
        <f t="shared" si="831"/>
        <v>3840.5000240253767</v>
      </c>
      <c r="BD88" s="55">
        <f t="shared" si="831"/>
        <v>5748.7206578533996</v>
      </c>
      <c r="BE88" s="55">
        <f t="shared" si="831"/>
        <v>4613.8740046452085</v>
      </c>
      <c r="BF88" s="55">
        <f t="shared" si="831"/>
        <v>4615.7239863299046</v>
      </c>
      <c r="BG88" s="55">
        <f t="shared" si="831"/>
        <v>7420.4112482681867</v>
      </c>
      <c r="BH88" s="55">
        <f t="shared" si="831"/>
        <v>7409.1412493487578</v>
      </c>
      <c r="BI88" s="55">
        <f t="shared" si="831"/>
        <v>5479.7102182998251</v>
      </c>
      <c r="BJ88" s="55">
        <f t="shared" si="831"/>
        <v>5896.4417250894858</v>
      </c>
      <c r="BK88" s="360">
        <f t="shared" si="831"/>
        <v>5831.7550385725926</v>
      </c>
      <c r="BL88" s="55">
        <f t="shared" si="831"/>
        <v>2777.0298090762899</v>
      </c>
      <c r="BM88" s="55">
        <f t="shared" si="831"/>
        <v>6339.4605149944427</v>
      </c>
      <c r="BN88" s="55">
        <f t="shared" si="831"/>
        <v>5771.7428002704191</v>
      </c>
      <c r="BO88" s="55">
        <f t="shared" si="831"/>
        <v>3550.7847747308879</v>
      </c>
      <c r="BP88" s="55">
        <f t="shared" si="831"/>
        <v>6245.6653838706816</v>
      </c>
      <c r="BQ88" s="55">
        <f t="shared" si="831"/>
        <v>5814.3416305030833</v>
      </c>
      <c r="BR88" s="55">
        <f t="shared" si="831"/>
        <v>4521.9021268022352</v>
      </c>
      <c r="BS88" s="55">
        <f t="shared" si="831"/>
        <v>8829.483059623537</v>
      </c>
      <c r="BT88" s="55">
        <f t="shared" si="831"/>
        <v>8594.719507992706</v>
      </c>
      <c r="BU88" s="55">
        <f t="shared" si="831"/>
        <v>5631.5764612259582</v>
      </c>
      <c r="BV88" s="55">
        <f t="shared" si="831"/>
        <v>6566.4088717841632</v>
      </c>
      <c r="BW88" s="360">
        <f t="shared" si="831"/>
        <v>6355.1247873349603</v>
      </c>
      <c r="BX88" s="55">
        <f t="shared" si="831"/>
        <v>2218.8069660411684</v>
      </c>
      <c r="BY88" s="55">
        <f t="shared" si="831"/>
        <v>7265.9247443895001</v>
      </c>
      <c r="BZ88" s="55">
        <f t="shared" si="831"/>
        <v>6287.0907970620019</v>
      </c>
      <c r="CA88" s="55">
        <f t="shared" si="831"/>
        <v>2830.4441128357385</v>
      </c>
      <c r="CB88" s="55">
        <f t="shared" ref="CB88:DG88" si="832">CB63-CB87</f>
        <v>7258.7753253527617</v>
      </c>
      <c r="CC88" s="55">
        <f t="shared" si="832"/>
        <v>6340.5092387045306</v>
      </c>
      <c r="CD88" s="55">
        <f t="shared" si="832"/>
        <v>4228.2584987078217</v>
      </c>
      <c r="CE88" s="55">
        <f t="shared" si="832"/>
        <v>10885.375900075009</v>
      </c>
      <c r="CF88" s="55">
        <f t="shared" si="832"/>
        <v>9951.7799646661078</v>
      </c>
      <c r="CG88" s="55">
        <f t="shared" si="832"/>
        <v>6263.4149205496988</v>
      </c>
      <c r="CH88" s="55">
        <f t="shared" si="832"/>
        <v>7427.5590060258874</v>
      </c>
      <c r="CI88" s="360">
        <f t="shared" si="832"/>
        <v>6855.6223278475727</v>
      </c>
      <c r="CJ88" s="55">
        <f t="shared" si="832"/>
        <v>1417.7463155238665</v>
      </c>
      <c r="CK88" s="55">
        <f t="shared" si="832"/>
        <v>8201.6782097514006</v>
      </c>
      <c r="CL88" s="55">
        <f t="shared" si="832"/>
        <v>6918.2223784523485</v>
      </c>
      <c r="CM88" s="55">
        <f t="shared" si="832"/>
        <v>2253.4868431866835</v>
      </c>
      <c r="CN88" s="55">
        <f t="shared" si="832"/>
        <v>8430.3631856804368</v>
      </c>
      <c r="CO88" s="55">
        <f t="shared" si="832"/>
        <v>7001.0979334802869</v>
      </c>
      <c r="CP88" s="55">
        <f t="shared" si="832"/>
        <v>4303.4638897002333</v>
      </c>
      <c r="CQ88" s="55">
        <f t="shared" si="832"/>
        <v>13532.288518851477</v>
      </c>
      <c r="CR88" s="55">
        <f t="shared" si="832"/>
        <v>11860.22417955683</v>
      </c>
      <c r="CS88" s="55">
        <f t="shared" si="832"/>
        <v>7278.1588243008482</v>
      </c>
      <c r="CT88" s="55">
        <f t="shared" si="832"/>
        <v>8653.6076169156149</v>
      </c>
      <c r="CU88" s="360">
        <f t="shared" si="832"/>
        <v>7856.574308001841</v>
      </c>
      <c r="CV88" s="55">
        <f t="shared" si="832"/>
        <v>35.019000375887117</v>
      </c>
      <c r="CW88" s="55">
        <f t="shared" si="832"/>
        <v>9759.7201576395782</v>
      </c>
      <c r="CX88" s="55">
        <f t="shared" si="832"/>
        <v>7775.8871383074948</v>
      </c>
      <c r="CY88" s="55">
        <f t="shared" si="832"/>
        <v>1413.7417556085275</v>
      </c>
      <c r="CZ88" s="55">
        <f t="shared" si="832"/>
        <v>10072.046548485949</v>
      </c>
      <c r="DA88" s="55">
        <f t="shared" si="832"/>
        <v>7861.5441925514888</v>
      </c>
      <c r="DB88" s="55">
        <f t="shared" si="832"/>
        <v>4389.6944542068086</v>
      </c>
      <c r="DC88" s="55">
        <f t="shared" si="832"/>
        <v>16651.910016842168</v>
      </c>
      <c r="DD88" s="55">
        <f t="shared" si="832"/>
        <v>15443.942792816932</v>
      </c>
      <c r="DE88" s="55">
        <f t="shared" si="832"/>
        <v>8187.2275837004927</v>
      </c>
      <c r="DF88" s="55">
        <f t="shared" si="832"/>
        <v>10090.04205636501</v>
      </c>
      <c r="DG88" s="55">
        <f t="shared" si="832"/>
        <v>9551.3070677845099</v>
      </c>
    </row>
    <row r="89" spans="1:111" s="3" customFormat="1" x14ac:dyDescent="0.3">
      <c r="A89" s="452"/>
      <c r="B89" s="452"/>
      <c r="C89" s="453" t="s">
        <v>244</v>
      </c>
      <c r="D89" s="454"/>
      <c r="E89" s="455">
        <f t="shared" ref="E89:O89" si="833">+E75/8</f>
        <v>0</v>
      </c>
      <c r="F89" s="455">
        <f t="shared" si="833"/>
        <v>0</v>
      </c>
      <c r="G89" s="455">
        <f t="shared" si="833"/>
        <v>0</v>
      </c>
      <c r="H89" s="455">
        <f t="shared" si="833"/>
        <v>0</v>
      </c>
      <c r="I89" s="455">
        <f t="shared" si="833"/>
        <v>0</v>
      </c>
      <c r="J89" s="455">
        <f t="shared" si="833"/>
        <v>0</v>
      </c>
      <c r="K89" s="455">
        <f t="shared" si="833"/>
        <v>0</v>
      </c>
      <c r="L89" s="455">
        <f t="shared" si="833"/>
        <v>0</v>
      </c>
      <c r="M89" s="455">
        <f t="shared" si="833"/>
        <v>6.25</v>
      </c>
      <c r="N89" s="455">
        <f t="shared" si="833"/>
        <v>31.25</v>
      </c>
      <c r="O89" s="455">
        <f t="shared" si="833"/>
        <v>0</v>
      </c>
      <c r="P89" s="455">
        <f t="shared" ref="P89:AH89" si="834">+P88/P14</f>
        <v>0.84790975362065735</v>
      </c>
      <c r="Q89" s="455">
        <f t="shared" si="834"/>
        <v>0.87755524586900258</v>
      </c>
      <c r="R89" s="455">
        <f t="shared" si="834"/>
        <v>0.91269111249223134</v>
      </c>
      <c r="S89" s="455">
        <f t="shared" si="834"/>
        <v>0.86061172672051334</v>
      </c>
      <c r="T89" s="455">
        <f t="shared" si="834"/>
        <v>0.7784416931719027</v>
      </c>
      <c r="U89" s="455">
        <f t="shared" si="834"/>
        <v>0.68324826394836136</v>
      </c>
      <c r="V89" s="455">
        <f t="shared" si="834"/>
        <v>0.84737788749779575</v>
      </c>
      <c r="W89" s="455">
        <f t="shared" si="834"/>
        <v>0.8796453000991713</v>
      </c>
      <c r="X89" s="455">
        <f t="shared" si="834"/>
        <v>0.81197543652475013</v>
      </c>
      <c r="Y89" s="455">
        <f t="shared" si="834"/>
        <v>0.83560161388517107</v>
      </c>
      <c r="Z89" s="455">
        <f t="shared" si="834"/>
        <v>0.81644228977829614</v>
      </c>
      <c r="AA89" s="455">
        <f t="shared" si="834"/>
        <v>0.62813243180228495</v>
      </c>
      <c r="AB89" s="455">
        <f t="shared" si="834"/>
        <v>0.86101265822784823</v>
      </c>
      <c r="AC89" s="455">
        <f t="shared" si="834"/>
        <v>0.62926907630522089</v>
      </c>
      <c r="AD89" s="455">
        <f t="shared" si="834"/>
        <v>0.72897542750395183</v>
      </c>
      <c r="AE89" s="455">
        <f t="shared" si="834"/>
        <v>0.30741662518665996</v>
      </c>
      <c r="AF89" s="455">
        <f t="shared" si="834"/>
        <v>0.87270483092500484</v>
      </c>
      <c r="AG89" s="455">
        <f t="shared" si="834"/>
        <v>0.6333972415778063</v>
      </c>
      <c r="AH89" s="455">
        <f t="shared" si="834"/>
        <v>0.69685538617067422</v>
      </c>
      <c r="AI89" s="455">
        <f t="shared" ref="AI89:AJ89" si="835">+AI88/AI14</f>
        <v>0.83443576264628394</v>
      </c>
      <c r="AJ89" s="456">
        <f t="shared" si="835"/>
        <v>0.8527193735791867</v>
      </c>
      <c r="AK89" s="455">
        <f t="shared" ref="AK89" si="836">+AK88/AK14</f>
        <v>0.38665362295000222</v>
      </c>
      <c r="AL89" s="455">
        <f t="shared" ref="AL89:AU89" si="837">+AL88/AL14</f>
        <v>0.56851562264720068</v>
      </c>
      <c r="AM89" s="456">
        <f t="shared" si="837"/>
        <v>0.55293354128070527</v>
      </c>
      <c r="AN89" s="455">
        <f t="shared" si="837"/>
        <v>0.29796970595063821</v>
      </c>
      <c r="AO89" s="455">
        <f t="shared" si="837"/>
        <v>0.65462199081852668</v>
      </c>
      <c r="AP89" s="455">
        <f t="shared" si="837"/>
        <v>0.61417365166131999</v>
      </c>
      <c r="AQ89" s="455">
        <f t="shared" si="837"/>
        <v>0.53064189573601561</v>
      </c>
      <c r="AR89" s="455">
        <f t="shared" si="837"/>
        <v>0.67976833559358574</v>
      </c>
      <c r="AS89" s="455">
        <f t="shared" si="837"/>
        <v>0.55379830356562965</v>
      </c>
      <c r="AT89" s="455">
        <f t="shared" si="837"/>
        <v>0.52761829033357965</v>
      </c>
      <c r="AU89" s="455">
        <f t="shared" si="837"/>
        <v>0.52086444180440794</v>
      </c>
      <c r="AV89" s="455">
        <f t="shared" ref="AV89:CA89" si="838">+AV88/AV14</f>
        <v>0.64409493196523648</v>
      </c>
      <c r="AW89" s="455">
        <f t="shared" si="838"/>
        <v>0.38665036030317973</v>
      </c>
      <c r="AX89" s="455">
        <f t="shared" si="838"/>
        <v>0.67077919653622498</v>
      </c>
      <c r="AY89" s="456">
        <f t="shared" si="838"/>
        <v>0.7152825175831008</v>
      </c>
      <c r="AZ89" s="455">
        <f t="shared" si="838"/>
        <v>0.31504467780072831</v>
      </c>
      <c r="BA89" s="455">
        <f t="shared" si="838"/>
        <v>0.51195742439044756</v>
      </c>
      <c r="BB89" s="455">
        <f t="shared" si="838"/>
        <v>0.69023846841276482</v>
      </c>
      <c r="BC89" s="455">
        <f t="shared" si="838"/>
        <v>0.38626415299069261</v>
      </c>
      <c r="BD89" s="455">
        <f t="shared" si="838"/>
        <v>0.53146374436156041</v>
      </c>
      <c r="BE89" s="455">
        <f t="shared" si="838"/>
        <v>0.6775267735703252</v>
      </c>
      <c r="BF89" s="455">
        <f t="shared" si="838"/>
        <v>0.36391468834044294</v>
      </c>
      <c r="BG89" s="455">
        <f t="shared" si="838"/>
        <v>0.41469463341376744</v>
      </c>
      <c r="BH89" s="455">
        <f t="shared" si="838"/>
        <v>0.51441495070919174</v>
      </c>
      <c r="BI89" s="455">
        <f t="shared" si="838"/>
        <v>0.29460630393594656</v>
      </c>
      <c r="BJ89" s="455">
        <f t="shared" si="838"/>
        <v>0.56248454885992538</v>
      </c>
      <c r="BK89" s="456">
        <f t="shared" si="838"/>
        <v>0.49884943985395602</v>
      </c>
      <c r="BL89" s="455">
        <f t="shared" si="838"/>
        <v>0.37568425116893939</v>
      </c>
      <c r="BM89" s="455">
        <f t="shared" si="838"/>
        <v>0.39828401141646208</v>
      </c>
      <c r="BN89" s="455">
        <f t="shared" si="838"/>
        <v>0.50598562549632609</v>
      </c>
      <c r="BO89" s="455">
        <f t="shared" si="838"/>
        <v>0.25153891056167438</v>
      </c>
      <c r="BP89" s="455">
        <f t="shared" si="838"/>
        <v>0.4111004026365046</v>
      </c>
      <c r="BQ89" s="455">
        <f t="shared" si="838"/>
        <v>0.60551748249955017</v>
      </c>
      <c r="BR89" s="455">
        <f t="shared" si="838"/>
        <v>0.26095526145050096</v>
      </c>
      <c r="BS89" s="455">
        <f t="shared" si="838"/>
        <v>0.33363377643772008</v>
      </c>
      <c r="BT89" s="455">
        <f t="shared" si="838"/>
        <v>0.42324204123063569</v>
      </c>
      <c r="BU89" s="455">
        <f t="shared" si="838"/>
        <v>0.22424870719690018</v>
      </c>
      <c r="BV89" s="455">
        <f t="shared" si="838"/>
        <v>0.42512608419924069</v>
      </c>
      <c r="BW89" s="456">
        <f t="shared" si="838"/>
        <v>0.38829899151838987</v>
      </c>
      <c r="BX89" s="455">
        <f t="shared" si="838"/>
        <v>0.21175191615031275</v>
      </c>
      <c r="BY89" s="455">
        <f t="shared" si="838"/>
        <v>0.30818138216096486</v>
      </c>
      <c r="BZ89" s="455">
        <f t="shared" si="838"/>
        <v>0.39467325642159923</v>
      </c>
      <c r="CA89" s="455">
        <f t="shared" si="838"/>
        <v>0.15872697886235743</v>
      </c>
      <c r="CB89" s="455">
        <f t="shared" ref="CB89:DG89" si="839">+CB88/CB14</f>
        <v>0.30945679365710121</v>
      </c>
      <c r="CC89" s="455">
        <f t="shared" si="839"/>
        <v>0.4740661459605629</v>
      </c>
      <c r="CD89" s="455">
        <f t="shared" si="839"/>
        <v>0.18302375586988306</v>
      </c>
      <c r="CE89" s="455">
        <f t="shared" si="839"/>
        <v>0.28046852599589678</v>
      </c>
      <c r="CF89" s="455">
        <f t="shared" si="839"/>
        <v>0.36733301503063553</v>
      </c>
      <c r="CG89" s="455">
        <f t="shared" si="839"/>
        <v>0.17029976366285127</v>
      </c>
      <c r="CH89" s="455">
        <f t="shared" si="839"/>
        <v>0.34124601432971774</v>
      </c>
      <c r="CI89" s="456">
        <f t="shared" si="839"/>
        <v>0.32593324249241967</v>
      </c>
      <c r="CJ89" s="455">
        <f t="shared" si="839"/>
        <v>8.7659874655506648E-2</v>
      </c>
      <c r="CK89" s="455">
        <f t="shared" si="839"/>
        <v>0.26043277362492023</v>
      </c>
      <c r="CL89" s="455">
        <f t="shared" si="839"/>
        <v>0.32258068246380939</v>
      </c>
      <c r="CM89" s="455">
        <f t="shared" si="839"/>
        <v>8.4904259920629097E-2</v>
      </c>
      <c r="CN89" s="455">
        <f t="shared" si="839"/>
        <v>0.25504729519659858</v>
      </c>
      <c r="CO89" s="455">
        <f t="shared" si="839"/>
        <v>0.38745388211692383</v>
      </c>
      <c r="CP89" s="455">
        <f t="shared" si="839"/>
        <v>0.12594490132408226</v>
      </c>
      <c r="CQ89" s="455">
        <f t="shared" si="839"/>
        <v>0.24764737402650808</v>
      </c>
      <c r="CR89" s="455">
        <f t="shared" si="839"/>
        <v>0.32483471898029193</v>
      </c>
      <c r="CS89" s="455">
        <f t="shared" si="839"/>
        <v>0.13436284124500675</v>
      </c>
      <c r="CT89" s="455">
        <f t="shared" si="839"/>
        <v>0.28299362227438113</v>
      </c>
      <c r="CU89" s="456">
        <f t="shared" si="839"/>
        <v>0.26544172347866923</v>
      </c>
      <c r="CV89" s="455">
        <f t="shared" si="839"/>
        <v>1.5393604731306447E-3</v>
      </c>
      <c r="CW89" s="455">
        <f t="shared" si="839"/>
        <v>0.22107681925103617</v>
      </c>
      <c r="CX89" s="455">
        <f t="shared" si="839"/>
        <v>0.27028296018801939</v>
      </c>
      <c r="CY89" s="455">
        <f t="shared" si="839"/>
        <v>3.6225834467429871E-2</v>
      </c>
      <c r="CZ89" s="455">
        <f t="shared" si="839"/>
        <v>0.21765273356947828</v>
      </c>
      <c r="DA89" s="455">
        <f t="shared" si="839"/>
        <v>0.326304443150782</v>
      </c>
      <c r="DB89" s="455">
        <f t="shared" si="839"/>
        <v>8.7773522678878307E-2</v>
      </c>
      <c r="DC89" s="455">
        <f t="shared" si="839"/>
        <v>0.2271077349796066</v>
      </c>
      <c r="DD89" s="455">
        <f t="shared" si="839"/>
        <v>0.28750367260797449</v>
      </c>
      <c r="DE89" s="455">
        <f t="shared" si="839"/>
        <v>0.10748296440886408</v>
      </c>
      <c r="DF89" s="455">
        <f t="shared" si="839"/>
        <v>0.2465066718151796</v>
      </c>
      <c r="DG89" s="457">
        <f t="shared" si="839"/>
        <v>0.21942388623405529</v>
      </c>
    </row>
    <row r="90" spans="1:111" s="5" customFormat="1" x14ac:dyDescent="0.3">
      <c r="A90" s="458"/>
      <c r="B90" s="458"/>
      <c r="C90" s="459" t="s">
        <v>299</v>
      </c>
      <c r="D90" s="460"/>
      <c r="E90" s="461"/>
      <c r="F90" s="461"/>
      <c r="G90" s="461"/>
      <c r="H90" s="461"/>
      <c r="I90" s="461"/>
      <c r="J90" s="461"/>
      <c r="K90" s="461"/>
      <c r="L90" s="461"/>
      <c r="M90" s="461"/>
      <c r="N90" s="461"/>
      <c r="O90" s="461"/>
      <c r="P90" s="461"/>
      <c r="Q90" s="461"/>
      <c r="R90" s="461"/>
      <c r="S90" s="461"/>
      <c r="T90" s="461"/>
      <c r="U90" s="461"/>
      <c r="V90" s="461"/>
      <c r="W90" s="461"/>
      <c r="X90" s="461"/>
      <c r="Y90" s="461"/>
      <c r="Z90" s="461"/>
      <c r="AA90" s="461"/>
      <c r="AB90" s="461">
        <f t="shared" ref="AB90:AH90" si="840">+AB80/AB12</f>
        <v>4.3303292894280768E-2</v>
      </c>
      <c r="AC90" s="461">
        <f t="shared" si="840"/>
        <v>3.5843947217441191E-2</v>
      </c>
      <c r="AD90" s="461">
        <f t="shared" si="840"/>
        <v>4.0856524873828404E-2</v>
      </c>
      <c r="AE90" s="461">
        <f t="shared" si="840"/>
        <v>3.6319999999999998E-2</v>
      </c>
      <c r="AF90" s="461">
        <f t="shared" si="840"/>
        <v>3.2284916201117321E-2</v>
      </c>
      <c r="AG90" s="461">
        <f t="shared" si="840"/>
        <v>5.5005981947088861E-2</v>
      </c>
      <c r="AH90" s="461">
        <f t="shared" si="840"/>
        <v>2.527662222478123E-2</v>
      </c>
      <c r="AI90" s="461">
        <f t="shared" ref="AI90:AJ90" si="841">+AI80/AI12</f>
        <v>2.8720114596241516E-2</v>
      </c>
      <c r="AJ90" s="464">
        <f t="shared" si="841"/>
        <v>3.3773175044203081E-2</v>
      </c>
      <c r="AK90" s="462">
        <f>+AVERAGE(AH90:AJ90)</f>
        <v>2.9256637288408608E-2</v>
      </c>
      <c r="AL90" s="461">
        <f t="shared" ref="AL90:CU90" si="842">+AK90</f>
        <v>2.9256637288408608E-2</v>
      </c>
      <c r="AM90" s="464">
        <f t="shared" si="842"/>
        <v>2.9256637288408608E-2</v>
      </c>
      <c r="AN90" s="461">
        <f t="shared" si="842"/>
        <v>2.9256637288408608E-2</v>
      </c>
      <c r="AO90" s="461">
        <f t="shared" si="842"/>
        <v>2.9256637288408608E-2</v>
      </c>
      <c r="AP90" s="461">
        <f t="shared" si="842"/>
        <v>2.9256637288408608E-2</v>
      </c>
      <c r="AQ90" s="461">
        <f t="shared" si="842"/>
        <v>2.9256637288408608E-2</v>
      </c>
      <c r="AR90" s="461">
        <f t="shared" si="842"/>
        <v>2.9256637288408608E-2</v>
      </c>
      <c r="AS90" s="461">
        <f t="shared" si="842"/>
        <v>2.9256637288408608E-2</v>
      </c>
      <c r="AT90" s="461">
        <f t="shared" si="842"/>
        <v>2.9256637288408608E-2</v>
      </c>
      <c r="AU90" s="461">
        <f t="shared" si="842"/>
        <v>2.9256637288408608E-2</v>
      </c>
      <c r="AV90" s="461">
        <f t="shared" si="842"/>
        <v>2.9256637288408608E-2</v>
      </c>
      <c r="AW90" s="461">
        <f t="shared" si="842"/>
        <v>2.9256637288408608E-2</v>
      </c>
      <c r="AX90" s="461">
        <f t="shared" si="842"/>
        <v>2.9256637288408608E-2</v>
      </c>
      <c r="AY90" s="464">
        <f t="shared" si="842"/>
        <v>2.9256637288408608E-2</v>
      </c>
      <c r="AZ90" s="461">
        <f t="shared" si="842"/>
        <v>2.9256637288408608E-2</v>
      </c>
      <c r="BA90" s="461">
        <f t="shared" si="842"/>
        <v>2.9256637288408608E-2</v>
      </c>
      <c r="BB90" s="461">
        <f t="shared" si="842"/>
        <v>2.9256637288408608E-2</v>
      </c>
      <c r="BC90" s="461">
        <f t="shared" si="842"/>
        <v>2.9256637288408608E-2</v>
      </c>
      <c r="BD90" s="461">
        <f t="shared" si="842"/>
        <v>2.9256637288408608E-2</v>
      </c>
      <c r="BE90" s="461">
        <f t="shared" si="842"/>
        <v>2.9256637288408608E-2</v>
      </c>
      <c r="BF90" s="461">
        <f t="shared" si="842"/>
        <v>2.9256637288408608E-2</v>
      </c>
      <c r="BG90" s="461">
        <f t="shared" si="842"/>
        <v>2.9256637288408608E-2</v>
      </c>
      <c r="BH90" s="461">
        <f t="shared" si="842"/>
        <v>2.9256637288408608E-2</v>
      </c>
      <c r="BI90" s="461">
        <f t="shared" si="842"/>
        <v>2.9256637288408608E-2</v>
      </c>
      <c r="BJ90" s="461">
        <f t="shared" si="842"/>
        <v>2.9256637288408608E-2</v>
      </c>
      <c r="BK90" s="464">
        <f t="shared" si="842"/>
        <v>2.9256637288408608E-2</v>
      </c>
      <c r="BL90" s="461">
        <f t="shared" si="842"/>
        <v>2.9256637288408608E-2</v>
      </c>
      <c r="BM90" s="461">
        <f t="shared" si="842"/>
        <v>2.9256637288408608E-2</v>
      </c>
      <c r="BN90" s="461">
        <f t="shared" si="842"/>
        <v>2.9256637288408608E-2</v>
      </c>
      <c r="BO90" s="461">
        <f t="shared" si="842"/>
        <v>2.9256637288408608E-2</v>
      </c>
      <c r="BP90" s="461">
        <f t="shared" si="842"/>
        <v>2.9256637288408608E-2</v>
      </c>
      <c r="BQ90" s="461">
        <f t="shared" si="842"/>
        <v>2.9256637288408608E-2</v>
      </c>
      <c r="BR90" s="461">
        <f t="shared" si="842"/>
        <v>2.9256637288408608E-2</v>
      </c>
      <c r="BS90" s="461">
        <f t="shared" si="842"/>
        <v>2.9256637288408608E-2</v>
      </c>
      <c r="BT90" s="461">
        <f t="shared" si="842"/>
        <v>2.9256637288408608E-2</v>
      </c>
      <c r="BU90" s="461">
        <f t="shared" si="842"/>
        <v>2.9256637288408608E-2</v>
      </c>
      <c r="BV90" s="461">
        <f t="shared" si="842"/>
        <v>2.9256637288408608E-2</v>
      </c>
      <c r="BW90" s="464">
        <f t="shared" si="842"/>
        <v>2.9256637288408608E-2</v>
      </c>
      <c r="BX90" s="461">
        <f t="shared" si="842"/>
        <v>2.9256637288408608E-2</v>
      </c>
      <c r="BY90" s="461">
        <f t="shared" si="842"/>
        <v>2.9256637288408608E-2</v>
      </c>
      <c r="BZ90" s="461">
        <f t="shared" si="842"/>
        <v>2.9256637288408608E-2</v>
      </c>
      <c r="CA90" s="461">
        <f t="shared" si="842"/>
        <v>2.9256637288408608E-2</v>
      </c>
      <c r="CB90" s="461">
        <f t="shared" si="842"/>
        <v>2.9256637288408608E-2</v>
      </c>
      <c r="CC90" s="461">
        <f t="shared" si="842"/>
        <v>2.9256637288408608E-2</v>
      </c>
      <c r="CD90" s="461">
        <f t="shared" si="842"/>
        <v>2.9256637288408608E-2</v>
      </c>
      <c r="CE90" s="461">
        <f t="shared" si="842"/>
        <v>2.9256637288408608E-2</v>
      </c>
      <c r="CF90" s="461">
        <f t="shared" si="842"/>
        <v>2.9256637288408608E-2</v>
      </c>
      <c r="CG90" s="461">
        <f t="shared" si="842"/>
        <v>2.9256637288408608E-2</v>
      </c>
      <c r="CH90" s="461">
        <f t="shared" si="842"/>
        <v>2.9256637288408608E-2</v>
      </c>
      <c r="CI90" s="464">
        <f t="shared" si="842"/>
        <v>2.9256637288408608E-2</v>
      </c>
      <c r="CJ90" s="461">
        <f t="shared" si="842"/>
        <v>2.9256637288408608E-2</v>
      </c>
      <c r="CK90" s="461">
        <f t="shared" si="842"/>
        <v>2.9256637288408608E-2</v>
      </c>
      <c r="CL90" s="461">
        <f t="shared" si="842"/>
        <v>2.9256637288408608E-2</v>
      </c>
      <c r="CM90" s="461">
        <f t="shared" si="842"/>
        <v>2.9256637288408608E-2</v>
      </c>
      <c r="CN90" s="461">
        <f t="shared" si="842"/>
        <v>2.9256637288408608E-2</v>
      </c>
      <c r="CO90" s="461">
        <f t="shared" si="842"/>
        <v>2.9256637288408608E-2</v>
      </c>
      <c r="CP90" s="461">
        <f t="shared" si="842"/>
        <v>2.9256637288408608E-2</v>
      </c>
      <c r="CQ90" s="461">
        <f t="shared" si="842"/>
        <v>2.9256637288408608E-2</v>
      </c>
      <c r="CR90" s="461">
        <f t="shared" si="842"/>
        <v>2.9256637288408608E-2</v>
      </c>
      <c r="CS90" s="461">
        <f t="shared" si="842"/>
        <v>2.9256637288408608E-2</v>
      </c>
      <c r="CT90" s="461">
        <f t="shared" si="842"/>
        <v>2.9256637288408608E-2</v>
      </c>
      <c r="CU90" s="464">
        <f t="shared" si="842"/>
        <v>2.9256637288408608E-2</v>
      </c>
      <c r="CV90" s="461">
        <f t="shared" ref="CV90:DG90" si="843">+CU90</f>
        <v>2.9256637288408608E-2</v>
      </c>
      <c r="CW90" s="461">
        <f t="shared" si="843"/>
        <v>2.9256637288408608E-2</v>
      </c>
      <c r="CX90" s="461">
        <f t="shared" si="843"/>
        <v>2.9256637288408608E-2</v>
      </c>
      <c r="CY90" s="461">
        <f t="shared" si="843"/>
        <v>2.9256637288408608E-2</v>
      </c>
      <c r="CZ90" s="461">
        <f t="shared" si="843"/>
        <v>2.9256637288408608E-2</v>
      </c>
      <c r="DA90" s="461">
        <f t="shared" si="843"/>
        <v>2.9256637288408608E-2</v>
      </c>
      <c r="DB90" s="461">
        <f t="shared" si="843"/>
        <v>2.9256637288408608E-2</v>
      </c>
      <c r="DC90" s="461">
        <f t="shared" si="843"/>
        <v>2.9256637288408608E-2</v>
      </c>
      <c r="DD90" s="461">
        <f t="shared" si="843"/>
        <v>2.9256637288408608E-2</v>
      </c>
      <c r="DE90" s="461">
        <f t="shared" si="843"/>
        <v>2.9256637288408608E-2</v>
      </c>
      <c r="DF90" s="461">
        <f t="shared" si="843"/>
        <v>2.9256637288408608E-2</v>
      </c>
      <c r="DG90" s="461">
        <f t="shared" si="843"/>
        <v>2.9256637288408608E-2</v>
      </c>
    </row>
    <row r="91" spans="1:111" s="5" customFormat="1" x14ac:dyDescent="0.3">
      <c r="A91" s="458"/>
      <c r="B91" s="458"/>
      <c r="C91" s="459" t="s">
        <v>305</v>
      </c>
      <c r="D91" s="460"/>
      <c r="E91" s="461"/>
      <c r="F91" s="461"/>
      <c r="G91" s="461"/>
      <c r="H91" s="461"/>
      <c r="I91" s="461"/>
      <c r="J91" s="461"/>
      <c r="K91" s="461"/>
      <c r="L91" s="463">
        <f t="shared" ref="L91:AA91" si="844">L73+L78+L60+L68</f>
        <v>12</v>
      </c>
      <c r="M91" s="463">
        <f t="shared" si="844"/>
        <v>298.06</v>
      </c>
      <c r="N91" s="463">
        <f t="shared" si="844"/>
        <v>117.23</v>
      </c>
      <c r="O91" s="463">
        <f t="shared" si="844"/>
        <v>34.43</v>
      </c>
      <c r="P91" s="463">
        <f t="shared" si="844"/>
        <v>130.13</v>
      </c>
      <c r="Q91" s="463">
        <f t="shared" si="844"/>
        <v>48.76</v>
      </c>
      <c r="R91" s="463">
        <f t="shared" si="844"/>
        <v>75.36</v>
      </c>
      <c r="S91" s="463">
        <f t="shared" si="844"/>
        <v>165.85</v>
      </c>
      <c r="T91" s="463">
        <f t="shared" si="844"/>
        <v>125.88</v>
      </c>
      <c r="U91" s="463">
        <f t="shared" si="844"/>
        <v>183.48</v>
      </c>
      <c r="V91" s="463">
        <f t="shared" si="844"/>
        <v>29.2</v>
      </c>
      <c r="W91" s="463">
        <f t="shared" si="844"/>
        <v>45.76</v>
      </c>
      <c r="X91" s="463">
        <f t="shared" si="844"/>
        <v>289.22000000000003</v>
      </c>
      <c r="Y91" s="463">
        <f t="shared" si="844"/>
        <v>381.91</v>
      </c>
      <c r="Z91" s="463">
        <f t="shared" si="844"/>
        <v>57.91</v>
      </c>
      <c r="AA91" s="463">
        <f t="shared" si="844"/>
        <v>28.91</v>
      </c>
      <c r="AB91" s="463">
        <f t="shared" ref="AB91:AH91" si="845">AB73+AB78+AB62+AB68</f>
        <v>78.91</v>
      </c>
      <c r="AC91" s="463">
        <f t="shared" si="845"/>
        <v>1208.3500000000001</v>
      </c>
      <c r="AD91" s="463">
        <f t="shared" si="845"/>
        <v>87.94</v>
      </c>
      <c r="AE91" s="463">
        <f t="shared" si="845"/>
        <v>2416.5500000000002</v>
      </c>
      <c r="AF91" s="463">
        <f t="shared" si="845"/>
        <v>157.97</v>
      </c>
      <c r="AG91" s="463">
        <f t="shared" si="845"/>
        <v>975.68</v>
      </c>
      <c r="AH91" s="463">
        <f t="shared" si="845"/>
        <v>1882.73</v>
      </c>
      <c r="AI91" s="463">
        <f t="shared" ref="AI91:AJ91" si="846">AI73+AI78+AI62+AI68</f>
        <v>904.81</v>
      </c>
      <c r="AJ91" s="465">
        <f t="shared" si="846"/>
        <v>411.75</v>
      </c>
      <c r="AK91" s="572">
        <f t="shared" ref="AK91" si="847">AK73+AK78+AK62+AK68</f>
        <v>5780.5720833333335</v>
      </c>
      <c r="AL91" s="463">
        <f t="shared" ref="AL91:BP91" si="848">AL73+AL78+AL62+AL68</f>
        <v>837.60333333333324</v>
      </c>
      <c r="AM91" s="465">
        <f t="shared" si="848"/>
        <v>837.60333333333324</v>
      </c>
      <c r="AN91" s="463">
        <f t="shared" si="848"/>
        <v>1464.6266666666666</v>
      </c>
      <c r="AO91" s="463">
        <f t="shared" si="848"/>
        <v>1215.2615873015866</v>
      </c>
      <c r="AP91" s="463">
        <f t="shared" si="848"/>
        <v>464.62666666666667</v>
      </c>
      <c r="AQ91" s="463">
        <f t="shared" si="848"/>
        <v>1564.6266666666666</v>
      </c>
      <c r="AR91" s="463">
        <f t="shared" si="848"/>
        <v>892.10492753622975</v>
      </c>
      <c r="AS91" s="463">
        <f t="shared" si="848"/>
        <v>464.62666666666667</v>
      </c>
      <c r="AT91" s="463">
        <f t="shared" si="848"/>
        <v>2212.1266666666652</v>
      </c>
      <c r="AU91" s="463">
        <f t="shared" si="848"/>
        <v>4241.1218819776695</v>
      </c>
      <c r="AV91" s="463">
        <f t="shared" si="848"/>
        <v>1896.8545578231274</v>
      </c>
      <c r="AW91" s="463">
        <f t="shared" si="848"/>
        <v>6451.4327746212111</v>
      </c>
      <c r="AX91" s="463">
        <f t="shared" si="848"/>
        <v>464.62666666666667</v>
      </c>
      <c r="AY91" s="465">
        <f t="shared" si="848"/>
        <v>464.62666666666667</v>
      </c>
      <c r="AZ91" s="463">
        <f t="shared" si="848"/>
        <v>2019.0086666666668</v>
      </c>
      <c r="BA91" s="463">
        <f t="shared" si="848"/>
        <v>3774.6864444444382</v>
      </c>
      <c r="BB91" s="463">
        <f t="shared" si="848"/>
        <v>736.73961904761427</v>
      </c>
      <c r="BC91" s="463">
        <f t="shared" si="848"/>
        <v>4219.7716078431322</v>
      </c>
      <c r="BD91" s="463">
        <f t="shared" si="848"/>
        <v>3310.1651884057901</v>
      </c>
      <c r="BE91" s="463">
        <f t="shared" si="848"/>
        <v>554.9086666666667</v>
      </c>
      <c r="BF91" s="463">
        <f t="shared" si="848"/>
        <v>6105.5151212121136</v>
      </c>
      <c r="BG91" s="463">
        <f t="shared" si="848"/>
        <v>8509.1102216905783</v>
      </c>
      <c r="BH91" s="463">
        <f t="shared" si="848"/>
        <v>5131.4902993197175</v>
      </c>
      <c r="BI91" s="463">
        <f t="shared" si="848"/>
        <v>10985.657016666655</v>
      </c>
      <c r="BJ91" s="463">
        <f t="shared" si="848"/>
        <v>2838.2586666666598</v>
      </c>
      <c r="BK91" s="465">
        <f t="shared" si="848"/>
        <v>4075.3086666666563</v>
      </c>
      <c r="BL91" s="463">
        <f t="shared" si="848"/>
        <v>2806.8358766666674</v>
      </c>
      <c r="BM91" s="463">
        <f t="shared" si="848"/>
        <v>7670.9359555555402</v>
      </c>
      <c r="BN91" s="463">
        <f t="shared" si="848"/>
        <v>3860.1027809523703</v>
      </c>
      <c r="BO91" s="463">
        <f t="shared" si="848"/>
        <v>8561.4065223725374</v>
      </c>
      <c r="BP91" s="463">
        <f t="shared" si="848"/>
        <v>7061.46489275361</v>
      </c>
      <c r="BQ91" s="463">
        <f t="shared" ref="BQ91:CN91" si="849">BQ73+BQ78+BQ62+BQ68</f>
        <v>2065.4428999999914</v>
      </c>
      <c r="BR91" s="463">
        <f t="shared" si="849"/>
        <v>10708.689526766653</v>
      </c>
      <c r="BS91" s="463">
        <f t="shared" si="849"/>
        <v>15421.141803508752</v>
      </c>
      <c r="BT91" s="463">
        <f t="shared" si="849"/>
        <v>9677.6552299319592</v>
      </c>
      <c r="BU91" s="463">
        <f t="shared" si="849"/>
        <v>17156.928403458467</v>
      </c>
      <c r="BV91" s="463">
        <f t="shared" si="849"/>
        <v>6986.5770666666567</v>
      </c>
      <c r="BW91" s="465">
        <f t="shared" si="849"/>
        <v>8091.8070666666517</v>
      </c>
      <c r="BX91" s="463">
        <f t="shared" si="849"/>
        <v>6361.5065233876585</v>
      </c>
      <c r="BY91" s="463">
        <f t="shared" si="849"/>
        <v>14181.055813333307</v>
      </c>
      <c r="BZ91" s="463">
        <f t="shared" si="849"/>
        <v>7735.8570990476019</v>
      </c>
      <c r="CA91" s="463">
        <f t="shared" si="849"/>
        <v>12889.350029508947</v>
      </c>
      <c r="CB91" s="463">
        <f t="shared" si="849"/>
        <v>14071.437146666642</v>
      </c>
      <c r="CC91" s="463">
        <f t="shared" si="849"/>
        <v>5201.7856466666526</v>
      </c>
      <c r="CD91" s="463">
        <f t="shared" si="849"/>
        <v>16608.01193704451</v>
      </c>
      <c r="CE91" s="463">
        <f t="shared" si="849"/>
        <v>25352.179582073324</v>
      </c>
      <c r="CF91" s="463">
        <f t="shared" si="849"/>
        <v>14907.946003809502</v>
      </c>
      <c r="CG91" s="463">
        <f t="shared" si="849"/>
        <v>27850.751316082293</v>
      </c>
      <c r="CH91" s="463">
        <f t="shared" si="849"/>
        <v>12261.41514666665</v>
      </c>
      <c r="CI91" s="465">
        <f t="shared" si="849"/>
        <v>12122.521146666644</v>
      </c>
      <c r="CJ91" s="463">
        <f t="shared" si="849"/>
        <v>12691.508656296595</v>
      </c>
      <c r="CK91" s="463">
        <f t="shared" si="849"/>
        <v>20930.298918857105</v>
      </c>
      <c r="CL91" s="463">
        <f t="shared" si="849"/>
        <v>12460.556480761876</v>
      </c>
      <c r="CM91" s="463">
        <f t="shared" si="849"/>
        <v>21921.80552979861</v>
      </c>
      <c r="CN91" s="463">
        <f t="shared" si="849"/>
        <v>22217.71804266662</v>
      </c>
      <c r="CO91" s="463">
        <f t="shared" ref="CO91:DG91" si="850">CO73+CO78+CO62+CO68</f>
        <v>9099.1231926666405</v>
      </c>
      <c r="CP91" s="463">
        <f t="shared" si="850"/>
        <v>27277.409756158861</v>
      </c>
      <c r="CQ91" s="463">
        <f t="shared" si="850"/>
        <v>38075.788552714432</v>
      </c>
      <c r="CR91" s="463">
        <f t="shared" si="850"/>
        <v>22144.531190965943</v>
      </c>
      <c r="CS91" s="463">
        <f t="shared" si="850"/>
        <v>43718.343635235353</v>
      </c>
      <c r="CT91" s="463">
        <f t="shared" si="850"/>
        <v>19591.312242666627</v>
      </c>
      <c r="CU91" s="465">
        <f t="shared" si="850"/>
        <v>19436.235642666619</v>
      </c>
      <c r="CV91" s="463">
        <f t="shared" si="850"/>
        <v>20458.364692646777</v>
      </c>
      <c r="CW91" s="463">
        <f t="shared" si="850"/>
        <v>31657.224651834833</v>
      </c>
      <c r="CX91" s="463">
        <f t="shared" si="850"/>
        <v>18712.394357866611</v>
      </c>
      <c r="CY91" s="463">
        <f t="shared" si="850"/>
        <v>34881.954342124758</v>
      </c>
      <c r="CZ91" s="463">
        <f t="shared" si="850"/>
        <v>33412.309837866575</v>
      </c>
      <c r="DA91" s="463">
        <f t="shared" si="850"/>
        <v>14086.286197866617</v>
      </c>
      <c r="DB91" s="463">
        <f t="shared" si="850"/>
        <v>42571.610972914183</v>
      </c>
      <c r="DC91" s="463">
        <f t="shared" si="850"/>
        <v>53090.008671550735</v>
      </c>
      <c r="DD91" s="463">
        <f t="shared" si="850"/>
        <v>35265.124340723713</v>
      </c>
      <c r="DE91" s="463">
        <f t="shared" si="850"/>
        <v>64172.296403146203</v>
      </c>
      <c r="DF91" s="463">
        <f t="shared" si="850"/>
        <v>28206.427057866586</v>
      </c>
      <c r="DG91" s="463">
        <f t="shared" si="850"/>
        <v>31266.366157866567</v>
      </c>
    </row>
    <row r="92" spans="1:111" x14ac:dyDescent="0.3">
      <c r="B92" s="1" t="s">
        <v>12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J92" s="196"/>
      <c r="AM92" s="196"/>
      <c r="AY92" s="196"/>
      <c r="BK92" s="196"/>
      <c r="BW92" s="196"/>
      <c r="CI92" s="196"/>
      <c r="CU92" s="196"/>
    </row>
    <row r="93" spans="1:111" x14ac:dyDescent="0.3">
      <c r="B93" s="1" t="s">
        <v>13</v>
      </c>
      <c r="C93" s="1"/>
      <c r="D93" s="114">
        <f>0</f>
        <v>0</v>
      </c>
      <c r="E93" s="114">
        <f>0</f>
        <v>0</v>
      </c>
      <c r="F93" s="114">
        <f>0</f>
        <v>0</v>
      </c>
      <c r="G93" s="114">
        <f>0</f>
        <v>0</v>
      </c>
      <c r="H93" s="114">
        <f>0</f>
        <v>0</v>
      </c>
      <c r="I93" s="114">
        <f>0</f>
        <v>0</v>
      </c>
      <c r="J93" s="114">
        <f>0</f>
        <v>0</v>
      </c>
      <c r="K93" s="114">
        <v>0</v>
      </c>
      <c r="L93" s="114">
        <v>0</v>
      </c>
      <c r="M93" s="114">
        <v>0.02</v>
      </c>
      <c r="N93" s="114">
        <v>0.03</v>
      </c>
      <c r="O93" s="114">
        <v>0.01</v>
      </c>
      <c r="P93" s="114">
        <v>0</v>
      </c>
      <c r="Q93" s="114">
        <v>0</v>
      </c>
      <c r="R93" s="114">
        <v>0</v>
      </c>
      <c r="S93" s="114">
        <v>0.01</v>
      </c>
      <c r="T93" s="114">
        <v>0.01</v>
      </c>
      <c r="U93" s="114">
        <v>0.01</v>
      </c>
      <c r="V93" s="114">
        <v>0.03</v>
      </c>
      <c r="W93" s="114">
        <v>0.01</v>
      </c>
      <c r="X93" s="114">
        <v>0</v>
      </c>
      <c r="Y93" s="114">
        <v>0</v>
      </c>
      <c r="Z93" s="114">
        <v>0</v>
      </c>
      <c r="AA93" s="114">
        <v>0</v>
      </c>
      <c r="AB93" s="114">
        <v>0</v>
      </c>
      <c r="AC93" s="114">
        <f>AB93</f>
        <v>0</v>
      </c>
      <c r="AD93" s="114">
        <f>AC93</f>
        <v>0</v>
      </c>
      <c r="AE93" s="114">
        <f>AD93</f>
        <v>0</v>
      </c>
      <c r="AF93" s="114">
        <f>AE93</f>
        <v>0</v>
      </c>
      <c r="AG93" s="114">
        <v>25</v>
      </c>
      <c r="AH93" s="114">
        <v>0</v>
      </c>
      <c r="AI93" s="114">
        <v>0.43</v>
      </c>
      <c r="AJ93" s="197">
        <v>0.69</v>
      </c>
      <c r="AK93" s="322">
        <v>0</v>
      </c>
      <c r="AL93" s="114">
        <f t="shared" ref="AL93:CA93" si="851">AK93</f>
        <v>0</v>
      </c>
      <c r="AM93" s="197">
        <f t="shared" si="851"/>
        <v>0</v>
      </c>
      <c r="AN93" s="114">
        <f t="shared" si="851"/>
        <v>0</v>
      </c>
      <c r="AO93" s="114">
        <f t="shared" si="851"/>
        <v>0</v>
      </c>
      <c r="AP93" s="114">
        <f t="shared" si="851"/>
        <v>0</v>
      </c>
      <c r="AQ93" s="114">
        <f t="shared" si="851"/>
        <v>0</v>
      </c>
      <c r="AR93" s="114">
        <f t="shared" si="851"/>
        <v>0</v>
      </c>
      <c r="AS93" s="114">
        <f t="shared" si="851"/>
        <v>0</v>
      </c>
      <c r="AT93" s="114">
        <f t="shared" si="851"/>
        <v>0</v>
      </c>
      <c r="AU93" s="114">
        <f t="shared" si="851"/>
        <v>0</v>
      </c>
      <c r="AV93" s="114">
        <f t="shared" si="851"/>
        <v>0</v>
      </c>
      <c r="AW93" s="114">
        <f t="shared" si="851"/>
        <v>0</v>
      </c>
      <c r="AX93" s="114">
        <f t="shared" si="851"/>
        <v>0</v>
      </c>
      <c r="AY93" s="197">
        <f t="shared" si="851"/>
        <v>0</v>
      </c>
      <c r="AZ93" s="114">
        <f t="shared" si="851"/>
        <v>0</v>
      </c>
      <c r="BA93" s="114">
        <f t="shared" si="851"/>
        <v>0</v>
      </c>
      <c r="BB93" s="114">
        <f t="shared" si="851"/>
        <v>0</v>
      </c>
      <c r="BC93" s="114">
        <f t="shared" si="851"/>
        <v>0</v>
      </c>
      <c r="BD93" s="114">
        <f t="shared" si="851"/>
        <v>0</v>
      </c>
      <c r="BE93" s="114">
        <f t="shared" si="851"/>
        <v>0</v>
      </c>
      <c r="BF93" s="114">
        <f t="shared" si="851"/>
        <v>0</v>
      </c>
      <c r="BG93" s="114">
        <f t="shared" si="851"/>
        <v>0</v>
      </c>
      <c r="BH93" s="114">
        <f t="shared" si="851"/>
        <v>0</v>
      </c>
      <c r="BI93" s="114">
        <f t="shared" si="851"/>
        <v>0</v>
      </c>
      <c r="BJ93" s="114">
        <f t="shared" si="851"/>
        <v>0</v>
      </c>
      <c r="BK93" s="197">
        <f t="shared" si="851"/>
        <v>0</v>
      </c>
      <c r="BL93" s="114">
        <f t="shared" si="851"/>
        <v>0</v>
      </c>
      <c r="BM93" s="114">
        <f t="shared" si="851"/>
        <v>0</v>
      </c>
      <c r="BN93" s="114">
        <f t="shared" si="851"/>
        <v>0</v>
      </c>
      <c r="BO93" s="114">
        <f t="shared" si="851"/>
        <v>0</v>
      </c>
      <c r="BP93" s="114">
        <f t="shared" si="851"/>
        <v>0</v>
      </c>
      <c r="BQ93" s="114">
        <f t="shared" si="851"/>
        <v>0</v>
      </c>
      <c r="BR93" s="114">
        <f t="shared" si="851"/>
        <v>0</v>
      </c>
      <c r="BS93" s="114">
        <f t="shared" si="851"/>
        <v>0</v>
      </c>
      <c r="BT93" s="114">
        <f t="shared" si="851"/>
        <v>0</v>
      </c>
      <c r="BU93" s="114">
        <f t="shared" si="851"/>
        <v>0</v>
      </c>
      <c r="BV93" s="114">
        <f t="shared" si="851"/>
        <v>0</v>
      </c>
      <c r="BW93" s="197">
        <f t="shared" si="851"/>
        <v>0</v>
      </c>
      <c r="BX93" s="114">
        <f t="shared" si="851"/>
        <v>0</v>
      </c>
      <c r="BY93" s="114">
        <f t="shared" si="851"/>
        <v>0</v>
      </c>
      <c r="BZ93" s="114">
        <f t="shared" si="851"/>
        <v>0</v>
      </c>
      <c r="CA93" s="114">
        <f t="shared" si="851"/>
        <v>0</v>
      </c>
      <c r="CB93" s="114">
        <f t="shared" ref="CB93:DG93" si="852">CA93</f>
        <v>0</v>
      </c>
      <c r="CC93" s="114">
        <f t="shared" si="852"/>
        <v>0</v>
      </c>
      <c r="CD93" s="114">
        <f t="shared" si="852"/>
        <v>0</v>
      </c>
      <c r="CE93" s="114">
        <f t="shared" si="852"/>
        <v>0</v>
      </c>
      <c r="CF93" s="114">
        <f t="shared" si="852"/>
        <v>0</v>
      </c>
      <c r="CG93" s="114">
        <f t="shared" si="852"/>
        <v>0</v>
      </c>
      <c r="CH93" s="114">
        <f t="shared" si="852"/>
        <v>0</v>
      </c>
      <c r="CI93" s="197">
        <f t="shared" si="852"/>
        <v>0</v>
      </c>
      <c r="CJ93" s="114">
        <f t="shared" si="852"/>
        <v>0</v>
      </c>
      <c r="CK93" s="114">
        <f t="shared" si="852"/>
        <v>0</v>
      </c>
      <c r="CL93" s="114">
        <f t="shared" si="852"/>
        <v>0</v>
      </c>
      <c r="CM93" s="114">
        <f t="shared" si="852"/>
        <v>0</v>
      </c>
      <c r="CN93" s="114">
        <f t="shared" si="852"/>
        <v>0</v>
      </c>
      <c r="CO93" s="114">
        <f t="shared" si="852"/>
        <v>0</v>
      </c>
      <c r="CP93" s="114">
        <f t="shared" si="852"/>
        <v>0</v>
      </c>
      <c r="CQ93" s="114">
        <f t="shared" si="852"/>
        <v>0</v>
      </c>
      <c r="CR93" s="114">
        <f t="shared" si="852"/>
        <v>0</v>
      </c>
      <c r="CS93" s="114">
        <f t="shared" si="852"/>
        <v>0</v>
      </c>
      <c r="CT93" s="114">
        <f t="shared" si="852"/>
        <v>0</v>
      </c>
      <c r="CU93" s="197">
        <f t="shared" si="852"/>
        <v>0</v>
      </c>
      <c r="CV93" s="114">
        <f t="shared" si="852"/>
        <v>0</v>
      </c>
      <c r="CW93" s="114">
        <f t="shared" si="852"/>
        <v>0</v>
      </c>
      <c r="CX93" s="114">
        <f t="shared" si="852"/>
        <v>0</v>
      </c>
      <c r="CY93" s="114">
        <f t="shared" si="852"/>
        <v>0</v>
      </c>
      <c r="CZ93" s="114">
        <f t="shared" si="852"/>
        <v>0</v>
      </c>
      <c r="DA93" s="114">
        <f t="shared" si="852"/>
        <v>0</v>
      </c>
      <c r="DB93" s="114">
        <f t="shared" si="852"/>
        <v>0</v>
      </c>
      <c r="DC93" s="114">
        <f t="shared" si="852"/>
        <v>0</v>
      </c>
      <c r="DD93" s="114">
        <f t="shared" si="852"/>
        <v>0</v>
      </c>
      <c r="DE93" s="114">
        <f t="shared" si="852"/>
        <v>0</v>
      </c>
      <c r="DF93" s="114">
        <f t="shared" si="852"/>
        <v>0</v>
      </c>
      <c r="DG93" s="114">
        <f t="shared" si="852"/>
        <v>0</v>
      </c>
    </row>
    <row r="94" spans="1:111" x14ac:dyDescent="0.3">
      <c r="A94" s="5"/>
      <c r="B94" s="6" t="s">
        <v>14</v>
      </c>
      <c r="C94" s="6"/>
      <c r="D94" s="55">
        <f>D93</f>
        <v>0</v>
      </c>
      <c r="E94" s="55">
        <f t="shared" ref="E94:J94" si="853">E93</f>
        <v>0</v>
      </c>
      <c r="F94" s="55">
        <f t="shared" si="853"/>
        <v>0</v>
      </c>
      <c r="G94" s="55">
        <f t="shared" si="853"/>
        <v>0</v>
      </c>
      <c r="H94" s="55">
        <f t="shared" si="853"/>
        <v>0</v>
      </c>
      <c r="I94" s="55">
        <f t="shared" si="853"/>
        <v>0</v>
      </c>
      <c r="J94" s="55">
        <f t="shared" si="853"/>
        <v>0</v>
      </c>
      <c r="K94" s="55">
        <v>0</v>
      </c>
      <c r="L94" s="55">
        <v>0</v>
      </c>
      <c r="M94" s="54">
        <v>0.02</v>
      </c>
      <c r="N94" s="54">
        <f>N93</f>
        <v>0.03</v>
      </c>
      <c r="O94" s="54">
        <f t="shared" ref="O94:BZ94" si="854">O93</f>
        <v>0.01</v>
      </c>
      <c r="P94" s="54">
        <f t="shared" ref="P94:W94" si="855">P93</f>
        <v>0</v>
      </c>
      <c r="Q94" s="54">
        <f t="shared" si="855"/>
        <v>0</v>
      </c>
      <c r="R94" s="54">
        <f t="shared" si="855"/>
        <v>0</v>
      </c>
      <c r="S94" s="54">
        <f t="shared" si="855"/>
        <v>0.01</v>
      </c>
      <c r="T94" s="54">
        <f t="shared" si="855"/>
        <v>0.01</v>
      </c>
      <c r="U94" s="54">
        <f t="shared" si="855"/>
        <v>0.01</v>
      </c>
      <c r="V94" s="54">
        <f t="shared" si="855"/>
        <v>0.03</v>
      </c>
      <c r="W94" s="54">
        <f t="shared" si="855"/>
        <v>0.01</v>
      </c>
      <c r="X94" s="54">
        <f t="shared" ref="X94:Y94" si="856">X93</f>
        <v>0</v>
      </c>
      <c r="Y94" s="54">
        <f t="shared" si="856"/>
        <v>0</v>
      </c>
      <c r="Z94" s="54">
        <f t="shared" ref="Z94" si="857">Z93</f>
        <v>0</v>
      </c>
      <c r="AA94" s="54">
        <f t="shared" ref="AA94:AB94" si="858">AA93</f>
        <v>0</v>
      </c>
      <c r="AB94" s="54">
        <f t="shared" si="858"/>
        <v>0</v>
      </c>
      <c r="AC94" s="54">
        <f t="shared" ref="AC94:AD94" si="859">AC93</f>
        <v>0</v>
      </c>
      <c r="AD94" s="54">
        <f t="shared" si="859"/>
        <v>0</v>
      </c>
      <c r="AE94" s="54">
        <f t="shared" ref="AE94" si="860">AE93</f>
        <v>0</v>
      </c>
      <c r="AF94" s="54">
        <f t="shared" ref="AF94:AG94" si="861">AF93</f>
        <v>0</v>
      </c>
      <c r="AG94" s="54">
        <f t="shared" si="861"/>
        <v>25</v>
      </c>
      <c r="AH94" s="54">
        <f t="shared" ref="AH94" si="862">AH93</f>
        <v>0</v>
      </c>
      <c r="AI94" s="54">
        <f t="shared" ref="AI94:AJ94" si="863">AI93</f>
        <v>0.43</v>
      </c>
      <c r="AJ94" s="374">
        <f t="shared" si="863"/>
        <v>0.69</v>
      </c>
      <c r="AK94" s="54">
        <f t="shared" ref="AK94" si="864">AK93</f>
        <v>0</v>
      </c>
      <c r="AL94" s="54">
        <f t="shared" si="854"/>
        <v>0</v>
      </c>
      <c r="AM94" s="374">
        <f t="shared" si="854"/>
        <v>0</v>
      </c>
      <c r="AN94" s="54">
        <f t="shared" si="854"/>
        <v>0</v>
      </c>
      <c r="AO94" s="54">
        <f t="shared" si="854"/>
        <v>0</v>
      </c>
      <c r="AP94" s="54">
        <f t="shared" si="854"/>
        <v>0</v>
      </c>
      <c r="AQ94" s="54">
        <f t="shared" si="854"/>
        <v>0</v>
      </c>
      <c r="AR94" s="54">
        <f t="shared" si="854"/>
        <v>0</v>
      </c>
      <c r="AS94" s="54">
        <f t="shared" si="854"/>
        <v>0</v>
      </c>
      <c r="AT94" s="54">
        <f t="shared" si="854"/>
        <v>0</v>
      </c>
      <c r="AU94" s="54">
        <f t="shared" si="854"/>
        <v>0</v>
      </c>
      <c r="AV94" s="54">
        <f t="shared" si="854"/>
        <v>0</v>
      </c>
      <c r="AW94" s="54">
        <f t="shared" si="854"/>
        <v>0</v>
      </c>
      <c r="AX94" s="54">
        <f t="shared" si="854"/>
        <v>0</v>
      </c>
      <c r="AY94" s="374">
        <f t="shared" si="854"/>
        <v>0</v>
      </c>
      <c r="AZ94" s="54">
        <f t="shared" si="854"/>
        <v>0</v>
      </c>
      <c r="BA94" s="54">
        <f t="shared" si="854"/>
        <v>0</v>
      </c>
      <c r="BB94" s="54">
        <f t="shared" si="854"/>
        <v>0</v>
      </c>
      <c r="BC94" s="54">
        <f t="shared" si="854"/>
        <v>0</v>
      </c>
      <c r="BD94" s="54">
        <f t="shared" si="854"/>
        <v>0</v>
      </c>
      <c r="BE94" s="54">
        <f t="shared" si="854"/>
        <v>0</v>
      </c>
      <c r="BF94" s="54">
        <f t="shared" si="854"/>
        <v>0</v>
      </c>
      <c r="BG94" s="54">
        <f t="shared" si="854"/>
        <v>0</v>
      </c>
      <c r="BH94" s="54">
        <f t="shared" si="854"/>
        <v>0</v>
      </c>
      <c r="BI94" s="54">
        <f t="shared" si="854"/>
        <v>0</v>
      </c>
      <c r="BJ94" s="54">
        <f t="shared" si="854"/>
        <v>0</v>
      </c>
      <c r="BK94" s="374">
        <f t="shared" si="854"/>
        <v>0</v>
      </c>
      <c r="BL94" s="54">
        <f t="shared" si="854"/>
        <v>0</v>
      </c>
      <c r="BM94" s="54">
        <f t="shared" si="854"/>
        <v>0</v>
      </c>
      <c r="BN94" s="54">
        <f t="shared" si="854"/>
        <v>0</v>
      </c>
      <c r="BO94" s="54">
        <f t="shared" si="854"/>
        <v>0</v>
      </c>
      <c r="BP94" s="54">
        <f t="shared" si="854"/>
        <v>0</v>
      </c>
      <c r="BQ94" s="54">
        <f t="shared" si="854"/>
        <v>0</v>
      </c>
      <c r="BR94" s="54">
        <f t="shared" si="854"/>
        <v>0</v>
      </c>
      <c r="BS94" s="54">
        <f t="shared" si="854"/>
        <v>0</v>
      </c>
      <c r="BT94" s="54">
        <f t="shared" si="854"/>
        <v>0</v>
      </c>
      <c r="BU94" s="54">
        <f t="shared" si="854"/>
        <v>0</v>
      </c>
      <c r="BV94" s="54">
        <f t="shared" si="854"/>
        <v>0</v>
      </c>
      <c r="BW94" s="374">
        <f t="shared" si="854"/>
        <v>0</v>
      </c>
      <c r="BX94" s="54">
        <f t="shared" si="854"/>
        <v>0</v>
      </c>
      <c r="BY94" s="54">
        <f t="shared" si="854"/>
        <v>0</v>
      </c>
      <c r="BZ94" s="54">
        <f t="shared" si="854"/>
        <v>0</v>
      </c>
      <c r="CA94" s="54">
        <f t="shared" ref="CA94:DG94" si="865">CA93</f>
        <v>0</v>
      </c>
      <c r="CB94" s="54">
        <f t="shared" si="865"/>
        <v>0</v>
      </c>
      <c r="CC94" s="54">
        <f t="shared" si="865"/>
        <v>0</v>
      </c>
      <c r="CD94" s="54">
        <f t="shared" si="865"/>
        <v>0</v>
      </c>
      <c r="CE94" s="54">
        <f t="shared" si="865"/>
        <v>0</v>
      </c>
      <c r="CF94" s="54">
        <f t="shared" si="865"/>
        <v>0</v>
      </c>
      <c r="CG94" s="54">
        <f t="shared" si="865"/>
        <v>0</v>
      </c>
      <c r="CH94" s="54">
        <f t="shared" si="865"/>
        <v>0</v>
      </c>
      <c r="CI94" s="374">
        <f t="shared" si="865"/>
        <v>0</v>
      </c>
      <c r="CJ94" s="54">
        <f t="shared" si="865"/>
        <v>0</v>
      </c>
      <c r="CK94" s="54">
        <f t="shared" si="865"/>
        <v>0</v>
      </c>
      <c r="CL94" s="54">
        <f t="shared" si="865"/>
        <v>0</v>
      </c>
      <c r="CM94" s="54">
        <f t="shared" si="865"/>
        <v>0</v>
      </c>
      <c r="CN94" s="54">
        <f t="shared" si="865"/>
        <v>0</v>
      </c>
      <c r="CO94" s="54">
        <f t="shared" si="865"/>
        <v>0</v>
      </c>
      <c r="CP94" s="54">
        <f t="shared" si="865"/>
        <v>0</v>
      </c>
      <c r="CQ94" s="54">
        <f t="shared" si="865"/>
        <v>0</v>
      </c>
      <c r="CR94" s="54">
        <f t="shared" si="865"/>
        <v>0</v>
      </c>
      <c r="CS94" s="54">
        <f t="shared" si="865"/>
        <v>0</v>
      </c>
      <c r="CT94" s="54">
        <f t="shared" si="865"/>
        <v>0</v>
      </c>
      <c r="CU94" s="374">
        <f t="shared" si="865"/>
        <v>0</v>
      </c>
      <c r="CV94" s="54">
        <f t="shared" si="865"/>
        <v>0</v>
      </c>
      <c r="CW94" s="54">
        <f t="shared" si="865"/>
        <v>0</v>
      </c>
      <c r="CX94" s="54">
        <f t="shared" si="865"/>
        <v>0</v>
      </c>
      <c r="CY94" s="54">
        <f t="shared" si="865"/>
        <v>0</v>
      </c>
      <c r="CZ94" s="54">
        <f t="shared" si="865"/>
        <v>0</v>
      </c>
      <c r="DA94" s="54">
        <f t="shared" si="865"/>
        <v>0</v>
      </c>
      <c r="DB94" s="54">
        <f t="shared" si="865"/>
        <v>0</v>
      </c>
      <c r="DC94" s="54">
        <f t="shared" si="865"/>
        <v>0</v>
      </c>
      <c r="DD94" s="54">
        <f t="shared" si="865"/>
        <v>0</v>
      </c>
      <c r="DE94" s="54">
        <f t="shared" si="865"/>
        <v>0</v>
      </c>
      <c r="DF94" s="54">
        <f t="shared" si="865"/>
        <v>0</v>
      </c>
      <c r="DG94" s="54">
        <f t="shared" si="865"/>
        <v>0</v>
      </c>
    </row>
    <row r="95" spans="1:111" x14ac:dyDescent="0.3">
      <c r="B95" s="1" t="s">
        <v>348</v>
      </c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J95" s="196"/>
      <c r="AM95" s="196"/>
      <c r="AY95" s="196"/>
      <c r="BK95" s="196"/>
      <c r="BW95" s="196"/>
      <c r="CI95" s="196"/>
      <c r="CU95" s="196"/>
    </row>
    <row r="96" spans="1:111" x14ac:dyDescent="0.3">
      <c r="B96" s="1" t="s">
        <v>349</v>
      </c>
      <c r="C96" s="1"/>
      <c r="D96" s="114">
        <f>0</f>
        <v>0</v>
      </c>
      <c r="E96" s="114">
        <f>0</f>
        <v>0</v>
      </c>
      <c r="F96" s="114">
        <f>0</f>
        <v>0</v>
      </c>
      <c r="G96" s="114">
        <f>0</f>
        <v>0</v>
      </c>
      <c r="H96" s="114">
        <f>0</f>
        <v>0</v>
      </c>
      <c r="I96" s="114">
        <f>0</f>
        <v>0</v>
      </c>
      <c r="J96" s="114">
        <f>0</f>
        <v>0</v>
      </c>
      <c r="K96" s="114">
        <v>0</v>
      </c>
      <c r="L96" s="114">
        <v>0</v>
      </c>
      <c r="M96" s="114">
        <v>0</v>
      </c>
      <c r="N96" s="114">
        <v>0</v>
      </c>
      <c r="O96" s="114">
        <v>0</v>
      </c>
      <c r="P96" s="114">
        <v>0</v>
      </c>
      <c r="Q96" s="114">
        <v>0</v>
      </c>
      <c r="R96" s="114">
        <v>0</v>
      </c>
      <c r="S96" s="114">
        <v>0</v>
      </c>
      <c r="T96" s="114">
        <v>0</v>
      </c>
      <c r="U96" s="114">
        <v>0</v>
      </c>
      <c r="V96" s="114">
        <v>0</v>
      </c>
      <c r="W96" s="114">
        <v>0</v>
      </c>
      <c r="X96" s="114">
        <v>0</v>
      </c>
      <c r="Y96" s="114">
        <v>0</v>
      </c>
      <c r="Z96" s="114">
        <v>0</v>
      </c>
      <c r="AA96" s="114">
        <v>0</v>
      </c>
      <c r="AB96" s="114">
        <v>0</v>
      </c>
      <c r="AC96" s="114">
        <f>AB96</f>
        <v>0</v>
      </c>
      <c r="AD96" s="114">
        <f>AC96</f>
        <v>0</v>
      </c>
      <c r="AE96" s="114">
        <f>AD96</f>
        <v>0</v>
      </c>
      <c r="AF96" s="114">
        <f>AE96</f>
        <v>0</v>
      </c>
      <c r="AG96" s="114">
        <v>715.26</v>
      </c>
      <c r="AH96" s="114">
        <v>715.26</v>
      </c>
      <c r="AI96" s="114">
        <v>639.62</v>
      </c>
      <c r="AJ96" s="197">
        <v>639.62</v>
      </c>
      <c r="AK96" s="322">
        <f>+AJ96</f>
        <v>639.62</v>
      </c>
      <c r="AL96" s="114">
        <f t="shared" ref="AL96" si="866">AK96</f>
        <v>639.62</v>
      </c>
      <c r="AM96" s="197">
        <f t="shared" ref="AM96" si="867">AL96</f>
        <v>639.62</v>
      </c>
      <c r="AN96" s="114">
        <f t="shared" ref="AN96" si="868">AM96</f>
        <v>639.62</v>
      </c>
      <c r="AO96" s="114">
        <f t="shared" ref="AO96" si="869">AN96</f>
        <v>639.62</v>
      </c>
      <c r="AP96" s="114">
        <f t="shared" ref="AP96" si="870">AO96</f>
        <v>639.62</v>
      </c>
      <c r="AQ96" s="114">
        <f t="shared" ref="AQ96" si="871">AP96</f>
        <v>639.62</v>
      </c>
      <c r="AR96" s="114">
        <f t="shared" ref="AR96" si="872">AQ96</f>
        <v>639.62</v>
      </c>
      <c r="AS96" s="114">
        <f t="shared" ref="AS96" si="873">AR96</f>
        <v>639.62</v>
      </c>
      <c r="AT96" s="114">
        <f t="shared" ref="AT96" si="874">AS96</f>
        <v>639.62</v>
      </c>
      <c r="AU96" s="114">
        <f t="shared" ref="AU96" si="875">AT96</f>
        <v>639.62</v>
      </c>
      <c r="AV96" s="114">
        <f t="shared" ref="AV96" si="876">AU96</f>
        <v>639.62</v>
      </c>
      <c r="AW96" s="114">
        <f t="shared" ref="AW96" si="877">AV96</f>
        <v>639.62</v>
      </c>
      <c r="AX96" s="114">
        <f t="shared" ref="AX96" si="878">AW96</f>
        <v>639.62</v>
      </c>
      <c r="AY96" s="197">
        <f t="shared" ref="AY96" si="879">AX96</f>
        <v>639.62</v>
      </c>
      <c r="AZ96" s="114">
        <f t="shared" ref="AZ96" si="880">AY96</f>
        <v>639.62</v>
      </c>
      <c r="BA96" s="114">
        <f t="shared" ref="BA96" si="881">AZ96</f>
        <v>639.62</v>
      </c>
      <c r="BB96" s="114">
        <f t="shared" ref="BB96" si="882">BA96</f>
        <v>639.62</v>
      </c>
      <c r="BC96" s="114">
        <f t="shared" ref="BC96" si="883">BB96</f>
        <v>639.62</v>
      </c>
      <c r="BD96" s="114">
        <f t="shared" ref="BD96" si="884">BC96</f>
        <v>639.62</v>
      </c>
      <c r="BE96" s="114">
        <f t="shared" ref="BE96" si="885">BD96</f>
        <v>639.62</v>
      </c>
      <c r="BF96" s="114">
        <f t="shared" ref="BF96" si="886">BE96</f>
        <v>639.62</v>
      </c>
      <c r="BG96" s="114">
        <f t="shared" ref="BG96" si="887">BF96</f>
        <v>639.62</v>
      </c>
      <c r="BH96" s="114">
        <f t="shared" ref="BH96" si="888">BG96</f>
        <v>639.62</v>
      </c>
      <c r="BI96" s="114">
        <f t="shared" ref="BI96" si="889">BH96</f>
        <v>639.62</v>
      </c>
      <c r="BJ96" s="114">
        <f t="shared" ref="BJ96" si="890">BI96</f>
        <v>639.62</v>
      </c>
      <c r="BK96" s="197">
        <f t="shared" ref="BK96" si="891">BJ96</f>
        <v>639.62</v>
      </c>
      <c r="BL96" s="114">
        <f t="shared" ref="BL96" si="892">BK96</f>
        <v>639.62</v>
      </c>
      <c r="BM96" s="114">
        <f t="shared" ref="BM96" si="893">BL96</f>
        <v>639.62</v>
      </c>
      <c r="BN96" s="114">
        <f t="shared" ref="BN96" si="894">BM96</f>
        <v>639.62</v>
      </c>
      <c r="BO96" s="114">
        <f t="shared" ref="BO96" si="895">BN96</f>
        <v>639.62</v>
      </c>
      <c r="BP96" s="114">
        <f t="shared" ref="BP96" si="896">BO96</f>
        <v>639.62</v>
      </c>
      <c r="BQ96" s="114">
        <f t="shared" ref="BQ96" si="897">BP96</f>
        <v>639.62</v>
      </c>
      <c r="BR96" s="114">
        <f t="shared" ref="BR96" si="898">BQ96</f>
        <v>639.62</v>
      </c>
      <c r="BS96" s="114">
        <f t="shared" ref="BS96" si="899">BR96</f>
        <v>639.62</v>
      </c>
      <c r="BT96" s="114">
        <f t="shared" ref="BT96" si="900">BS96</f>
        <v>639.62</v>
      </c>
      <c r="BU96" s="114">
        <f t="shared" ref="BU96" si="901">BT96</f>
        <v>639.62</v>
      </c>
      <c r="BV96" s="114">
        <f t="shared" ref="BV96" si="902">BU96</f>
        <v>639.62</v>
      </c>
      <c r="BW96" s="197">
        <f t="shared" ref="BW96" si="903">BV96</f>
        <v>639.62</v>
      </c>
      <c r="BX96" s="114">
        <f t="shared" ref="BX96" si="904">BW96</f>
        <v>639.62</v>
      </c>
      <c r="BY96" s="114">
        <f t="shared" ref="BY96" si="905">BX96</f>
        <v>639.62</v>
      </c>
      <c r="BZ96" s="114">
        <f t="shared" ref="BZ96" si="906">BY96</f>
        <v>639.62</v>
      </c>
      <c r="CA96" s="114">
        <f t="shared" ref="CA96" si="907">BZ96</f>
        <v>639.62</v>
      </c>
      <c r="CB96" s="114">
        <f t="shared" ref="CB96" si="908">CA96</f>
        <v>639.62</v>
      </c>
      <c r="CC96" s="114">
        <f t="shared" ref="CC96" si="909">CB96</f>
        <v>639.62</v>
      </c>
      <c r="CD96" s="114">
        <f t="shared" ref="CD96" si="910">CC96</f>
        <v>639.62</v>
      </c>
      <c r="CE96" s="114">
        <f t="shared" ref="CE96" si="911">CD96</f>
        <v>639.62</v>
      </c>
      <c r="CF96" s="114">
        <f t="shared" ref="CF96" si="912">CE96</f>
        <v>639.62</v>
      </c>
      <c r="CG96" s="114">
        <f t="shared" ref="CG96" si="913">CF96</f>
        <v>639.62</v>
      </c>
      <c r="CH96" s="114">
        <f t="shared" ref="CH96" si="914">CG96</f>
        <v>639.62</v>
      </c>
      <c r="CI96" s="197">
        <f t="shared" ref="CI96" si="915">CH96</f>
        <v>639.62</v>
      </c>
      <c r="CJ96" s="114">
        <f t="shared" ref="CJ96" si="916">CI96</f>
        <v>639.62</v>
      </c>
      <c r="CK96" s="114">
        <f t="shared" ref="CK96" si="917">CJ96</f>
        <v>639.62</v>
      </c>
      <c r="CL96" s="114">
        <f t="shared" ref="CL96" si="918">CK96</f>
        <v>639.62</v>
      </c>
      <c r="CM96" s="114">
        <f t="shared" ref="CM96" si="919">CL96</f>
        <v>639.62</v>
      </c>
      <c r="CN96" s="114">
        <f t="shared" ref="CN96" si="920">CM96</f>
        <v>639.62</v>
      </c>
      <c r="CO96" s="114">
        <f t="shared" ref="CO96" si="921">CN96</f>
        <v>639.62</v>
      </c>
      <c r="CP96" s="114">
        <f t="shared" ref="CP96" si="922">CO96</f>
        <v>639.62</v>
      </c>
      <c r="CQ96" s="114">
        <f t="shared" ref="CQ96" si="923">CP96</f>
        <v>639.62</v>
      </c>
      <c r="CR96" s="114">
        <f t="shared" ref="CR96" si="924">CQ96</f>
        <v>639.62</v>
      </c>
      <c r="CS96" s="114">
        <f t="shared" ref="CS96" si="925">CR96</f>
        <v>639.62</v>
      </c>
      <c r="CT96" s="114">
        <f t="shared" ref="CT96" si="926">CS96</f>
        <v>639.62</v>
      </c>
      <c r="CU96" s="197">
        <f t="shared" ref="CU96" si="927">CT96</f>
        <v>639.62</v>
      </c>
      <c r="CV96" s="114">
        <f t="shared" ref="CV96" si="928">CU96</f>
        <v>639.62</v>
      </c>
      <c r="CW96" s="114">
        <f t="shared" ref="CW96" si="929">CV96</f>
        <v>639.62</v>
      </c>
      <c r="CX96" s="114">
        <f t="shared" ref="CX96" si="930">CW96</f>
        <v>639.62</v>
      </c>
      <c r="CY96" s="114">
        <f t="shared" ref="CY96" si="931">CX96</f>
        <v>639.62</v>
      </c>
      <c r="CZ96" s="114">
        <f t="shared" ref="CZ96" si="932">CY96</f>
        <v>639.62</v>
      </c>
      <c r="DA96" s="114">
        <f t="shared" ref="DA96" si="933">CZ96</f>
        <v>639.62</v>
      </c>
      <c r="DB96" s="114">
        <f t="shared" ref="DB96" si="934">DA96</f>
        <v>639.62</v>
      </c>
      <c r="DC96" s="114">
        <f t="shared" ref="DC96" si="935">DB96</f>
        <v>639.62</v>
      </c>
      <c r="DD96" s="114">
        <f t="shared" ref="DD96" si="936">DC96</f>
        <v>639.62</v>
      </c>
      <c r="DE96" s="114">
        <f t="shared" ref="DE96" si="937">DD96</f>
        <v>639.62</v>
      </c>
      <c r="DF96" s="114">
        <f t="shared" ref="DF96" si="938">DE96</f>
        <v>639.62</v>
      </c>
      <c r="DG96" s="114">
        <f t="shared" ref="DG96" si="939">DF96</f>
        <v>639.62</v>
      </c>
    </row>
    <row r="97" spans="1:111" x14ac:dyDescent="0.3">
      <c r="A97" s="5"/>
      <c r="B97" s="6" t="s">
        <v>350</v>
      </c>
      <c r="C97" s="6"/>
      <c r="D97" s="55">
        <f>D96</f>
        <v>0</v>
      </c>
      <c r="E97" s="55">
        <f t="shared" ref="E97:J97" si="940">E96</f>
        <v>0</v>
      </c>
      <c r="F97" s="55">
        <f t="shared" si="940"/>
        <v>0</v>
      </c>
      <c r="G97" s="55">
        <f t="shared" si="940"/>
        <v>0</v>
      </c>
      <c r="H97" s="55">
        <f t="shared" si="940"/>
        <v>0</v>
      </c>
      <c r="I97" s="55">
        <f t="shared" si="940"/>
        <v>0</v>
      </c>
      <c r="J97" s="55">
        <f t="shared" si="940"/>
        <v>0</v>
      </c>
      <c r="K97" s="55">
        <v>0</v>
      </c>
      <c r="L97" s="55">
        <v>0</v>
      </c>
      <c r="M97" s="54">
        <v>0</v>
      </c>
      <c r="N97" s="54">
        <f>N96</f>
        <v>0</v>
      </c>
      <c r="O97" s="54">
        <f t="shared" ref="O97:BZ97" si="941">O96</f>
        <v>0</v>
      </c>
      <c r="P97" s="54">
        <f t="shared" si="941"/>
        <v>0</v>
      </c>
      <c r="Q97" s="54">
        <f t="shared" si="941"/>
        <v>0</v>
      </c>
      <c r="R97" s="54">
        <f t="shared" si="941"/>
        <v>0</v>
      </c>
      <c r="S97" s="54">
        <f t="shared" si="941"/>
        <v>0</v>
      </c>
      <c r="T97" s="54">
        <f t="shared" si="941"/>
        <v>0</v>
      </c>
      <c r="U97" s="54">
        <f t="shared" si="941"/>
        <v>0</v>
      </c>
      <c r="V97" s="54">
        <f t="shared" si="941"/>
        <v>0</v>
      </c>
      <c r="W97" s="54">
        <f t="shared" si="941"/>
        <v>0</v>
      </c>
      <c r="X97" s="54">
        <f t="shared" si="941"/>
        <v>0</v>
      </c>
      <c r="Y97" s="54">
        <f t="shared" si="941"/>
        <v>0</v>
      </c>
      <c r="Z97" s="54">
        <f t="shared" si="941"/>
        <v>0</v>
      </c>
      <c r="AA97" s="54">
        <f t="shared" si="941"/>
        <v>0</v>
      </c>
      <c r="AB97" s="54">
        <f t="shared" si="941"/>
        <v>0</v>
      </c>
      <c r="AC97" s="54">
        <f t="shared" si="941"/>
        <v>0</v>
      </c>
      <c r="AD97" s="54">
        <f t="shared" si="941"/>
        <v>0</v>
      </c>
      <c r="AE97" s="54">
        <f t="shared" si="941"/>
        <v>0</v>
      </c>
      <c r="AF97" s="54">
        <f t="shared" si="941"/>
        <v>0</v>
      </c>
      <c r="AG97" s="54">
        <f t="shared" si="941"/>
        <v>715.26</v>
      </c>
      <c r="AH97" s="54">
        <f t="shared" si="941"/>
        <v>715.26</v>
      </c>
      <c r="AI97" s="54">
        <f t="shared" si="941"/>
        <v>639.62</v>
      </c>
      <c r="AJ97" s="374">
        <f t="shared" ref="AJ97" si="942">AJ96</f>
        <v>639.62</v>
      </c>
      <c r="AK97" s="54">
        <f t="shared" ref="AK97" si="943">AK96</f>
        <v>639.62</v>
      </c>
      <c r="AL97" s="54">
        <f t="shared" si="941"/>
        <v>639.62</v>
      </c>
      <c r="AM97" s="374">
        <f t="shared" si="941"/>
        <v>639.62</v>
      </c>
      <c r="AN97" s="54">
        <f t="shared" si="941"/>
        <v>639.62</v>
      </c>
      <c r="AO97" s="54">
        <f t="shared" si="941"/>
        <v>639.62</v>
      </c>
      <c r="AP97" s="54">
        <f t="shared" si="941"/>
        <v>639.62</v>
      </c>
      <c r="AQ97" s="54">
        <f t="shared" si="941"/>
        <v>639.62</v>
      </c>
      <c r="AR97" s="54">
        <f t="shared" si="941"/>
        <v>639.62</v>
      </c>
      <c r="AS97" s="54">
        <f t="shared" si="941"/>
        <v>639.62</v>
      </c>
      <c r="AT97" s="54">
        <f t="shared" si="941"/>
        <v>639.62</v>
      </c>
      <c r="AU97" s="54">
        <f t="shared" si="941"/>
        <v>639.62</v>
      </c>
      <c r="AV97" s="54">
        <f t="shared" si="941"/>
        <v>639.62</v>
      </c>
      <c r="AW97" s="54">
        <f t="shared" si="941"/>
        <v>639.62</v>
      </c>
      <c r="AX97" s="54">
        <f t="shared" si="941"/>
        <v>639.62</v>
      </c>
      <c r="AY97" s="374">
        <f t="shared" si="941"/>
        <v>639.62</v>
      </c>
      <c r="AZ97" s="54">
        <f t="shared" si="941"/>
        <v>639.62</v>
      </c>
      <c r="BA97" s="54">
        <f t="shared" si="941"/>
        <v>639.62</v>
      </c>
      <c r="BB97" s="54">
        <f t="shared" si="941"/>
        <v>639.62</v>
      </c>
      <c r="BC97" s="54">
        <f t="shared" si="941"/>
        <v>639.62</v>
      </c>
      <c r="BD97" s="54">
        <f t="shared" si="941"/>
        <v>639.62</v>
      </c>
      <c r="BE97" s="54">
        <f t="shared" si="941"/>
        <v>639.62</v>
      </c>
      <c r="BF97" s="54">
        <f t="shared" si="941"/>
        <v>639.62</v>
      </c>
      <c r="BG97" s="54">
        <f t="shared" si="941"/>
        <v>639.62</v>
      </c>
      <c r="BH97" s="54">
        <f t="shared" si="941"/>
        <v>639.62</v>
      </c>
      <c r="BI97" s="54">
        <f t="shared" si="941"/>
        <v>639.62</v>
      </c>
      <c r="BJ97" s="54">
        <f t="shared" si="941"/>
        <v>639.62</v>
      </c>
      <c r="BK97" s="374">
        <f t="shared" si="941"/>
        <v>639.62</v>
      </c>
      <c r="BL97" s="54">
        <f t="shared" si="941"/>
        <v>639.62</v>
      </c>
      <c r="BM97" s="54">
        <f t="shared" si="941"/>
        <v>639.62</v>
      </c>
      <c r="BN97" s="54">
        <f t="shared" si="941"/>
        <v>639.62</v>
      </c>
      <c r="BO97" s="54">
        <f t="shared" si="941"/>
        <v>639.62</v>
      </c>
      <c r="BP97" s="54">
        <f t="shared" si="941"/>
        <v>639.62</v>
      </c>
      <c r="BQ97" s="54">
        <f t="shared" si="941"/>
        <v>639.62</v>
      </c>
      <c r="BR97" s="54">
        <f t="shared" si="941"/>
        <v>639.62</v>
      </c>
      <c r="BS97" s="54">
        <f t="shared" si="941"/>
        <v>639.62</v>
      </c>
      <c r="BT97" s="54">
        <f t="shared" si="941"/>
        <v>639.62</v>
      </c>
      <c r="BU97" s="54">
        <f t="shared" si="941"/>
        <v>639.62</v>
      </c>
      <c r="BV97" s="54">
        <f t="shared" si="941"/>
        <v>639.62</v>
      </c>
      <c r="BW97" s="374">
        <f t="shared" si="941"/>
        <v>639.62</v>
      </c>
      <c r="BX97" s="54">
        <f t="shared" si="941"/>
        <v>639.62</v>
      </c>
      <c r="BY97" s="54">
        <f t="shared" si="941"/>
        <v>639.62</v>
      </c>
      <c r="BZ97" s="54">
        <f t="shared" si="941"/>
        <v>639.62</v>
      </c>
      <c r="CA97" s="54">
        <f t="shared" ref="CA97:DG97" si="944">CA96</f>
        <v>639.62</v>
      </c>
      <c r="CB97" s="54">
        <f t="shared" si="944"/>
        <v>639.62</v>
      </c>
      <c r="CC97" s="54">
        <f t="shared" si="944"/>
        <v>639.62</v>
      </c>
      <c r="CD97" s="54">
        <f t="shared" si="944"/>
        <v>639.62</v>
      </c>
      <c r="CE97" s="54">
        <f t="shared" si="944"/>
        <v>639.62</v>
      </c>
      <c r="CF97" s="54">
        <f t="shared" si="944"/>
        <v>639.62</v>
      </c>
      <c r="CG97" s="54">
        <f t="shared" si="944"/>
        <v>639.62</v>
      </c>
      <c r="CH97" s="54">
        <f t="shared" si="944"/>
        <v>639.62</v>
      </c>
      <c r="CI97" s="374">
        <f t="shared" si="944"/>
        <v>639.62</v>
      </c>
      <c r="CJ97" s="54">
        <f t="shared" si="944"/>
        <v>639.62</v>
      </c>
      <c r="CK97" s="54">
        <f t="shared" si="944"/>
        <v>639.62</v>
      </c>
      <c r="CL97" s="54">
        <f t="shared" si="944"/>
        <v>639.62</v>
      </c>
      <c r="CM97" s="54">
        <f t="shared" si="944"/>
        <v>639.62</v>
      </c>
      <c r="CN97" s="54">
        <f t="shared" si="944"/>
        <v>639.62</v>
      </c>
      <c r="CO97" s="54">
        <f t="shared" si="944"/>
        <v>639.62</v>
      </c>
      <c r="CP97" s="54">
        <f t="shared" si="944"/>
        <v>639.62</v>
      </c>
      <c r="CQ97" s="54">
        <f t="shared" si="944"/>
        <v>639.62</v>
      </c>
      <c r="CR97" s="54">
        <f t="shared" si="944"/>
        <v>639.62</v>
      </c>
      <c r="CS97" s="54">
        <f t="shared" si="944"/>
        <v>639.62</v>
      </c>
      <c r="CT97" s="54">
        <f t="shared" si="944"/>
        <v>639.62</v>
      </c>
      <c r="CU97" s="374">
        <f t="shared" si="944"/>
        <v>639.62</v>
      </c>
      <c r="CV97" s="54">
        <f t="shared" si="944"/>
        <v>639.62</v>
      </c>
      <c r="CW97" s="54">
        <f t="shared" si="944"/>
        <v>639.62</v>
      </c>
      <c r="CX97" s="54">
        <f t="shared" si="944"/>
        <v>639.62</v>
      </c>
      <c r="CY97" s="54">
        <f t="shared" si="944"/>
        <v>639.62</v>
      </c>
      <c r="CZ97" s="54">
        <f t="shared" si="944"/>
        <v>639.62</v>
      </c>
      <c r="DA97" s="54">
        <f t="shared" si="944"/>
        <v>639.62</v>
      </c>
      <c r="DB97" s="54">
        <f t="shared" si="944"/>
        <v>639.62</v>
      </c>
      <c r="DC97" s="54">
        <f t="shared" si="944"/>
        <v>639.62</v>
      </c>
      <c r="DD97" s="54">
        <f t="shared" si="944"/>
        <v>639.62</v>
      </c>
      <c r="DE97" s="54">
        <f t="shared" si="944"/>
        <v>639.62</v>
      </c>
      <c r="DF97" s="54">
        <f t="shared" si="944"/>
        <v>639.62</v>
      </c>
      <c r="DG97" s="54">
        <f t="shared" si="944"/>
        <v>639.62</v>
      </c>
    </row>
    <row r="98" spans="1:111" x14ac:dyDescent="0.3">
      <c r="A98" s="5"/>
      <c r="B98" s="6" t="s">
        <v>15</v>
      </c>
      <c r="C98" s="6"/>
      <c r="D98" s="55">
        <f t="shared" ref="D98:L98" si="945">D94</f>
        <v>0</v>
      </c>
      <c r="E98" s="55">
        <f t="shared" si="945"/>
        <v>0</v>
      </c>
      <c r="F98" s="55">
        <f t="shared" si="945"/>
        <v>0</v>
      </c>
      <c r="G98" s="55">
        <f t="shared" si="945"/>
        <v>0</v>
      </c>
      <c r="H98" s="55">
        <f t="shared" si="945"/>
        <v>0</v>
      </c>
      <c r="I98" s="55">
        <f t="shared" si="945"/>
        <v>0</v>
      </c>
      <c r="J98" s="55">
        <f t="shared" si="945"/>
        <v>0</v>
      </c>
      <c r="K98" s="55">
        <f t="shared" si="945"/>
        <v>0</v>
      </c>
      <c r="L98" s="55">
        <f t="shared" si="945"/>
        <v>0</v>
      </c>
      <c r="M98" s="54">
        <f>M94-M97</f>
        <v>0.02</v>
      </c>
      <c r="N98" s="54">
        <f t="shared" ref="N98:BY98" si="946">N94-N97</f>
        <v>0.03</v>
      </c>
      <c r="O98" s="54">
        <f t="shared" si="946"/>
        <v>0.01</v>
      </c>
      <c r="P98" s="54">
        <f t="shared" si="946"/>
        <v>0</v>
      </c>
      <c r="Q98" s="54">
        <f t="shared" si="946"/>
        <v>0</v>
      </c>
      <c r="R98" s="54">
        <f t="shared" si="946"/>
        <v>0</v>
      </c>
      <c r="S98" s="54">
        <f t="shared" si="946"/>
        <v>0.01</v>
      </c>
      <c r="T98" s="54">
        <f t="shared" si="946"/>
        <v>0.01</v>
      </c>
      <c r="U98" s="54">
        <f t="shared" si="946"/>
        <v>0.01</v>
      </c>
      <c r="V98" s="54">
        <f t="shared" si="946"/>
        <v>0.03</v>
      </c>
      <c r="W98" s="54">
        <f t="shared" si="946"/>
        <v>0.01</v>
      </c>
      <c r="X98" s="54">
        <f t="shared" si="946"/>
        <v>0</v>
      </c>
      <c r="Y98" s="54">
        <f t="shared" si="946"/>
        <v>0</v>
      </c>
      <c r="Z98" s="54">
        <f t="shared" si="946"/>
        <v>0</v>
      </c>
      <c r="AA98" s="54">
        <f t="shared" si="946"/>
        <v>0</v>
      </c>
      <c r="AB98" s="54">
        <f t="shared" si="946"/>
        <v>0</v>
      </c>
      <c r="AC98" s="54">
        <f t="shared" si="946"/>
        <v>0</v>
      </c>
      <c r="AD98" s="54">
        <f t="shared" si="946"/>
        <v>0</v>
      </c>
      <c r="AE98" s="54">
        <f t="shared" si="946"/>
        <v>0</v>
      </c>
      <c r="AF98" s="54">
        <f t="shared" si="946"/>
        <v>0</v>
      </c>
      <c r="AG98" s="54">
        <f t="shared" si="946"/>
        <v>-690.26</v>
      </c>
      <c r="AH98" s="54">
        <f t="shared" si="946"/>
        <v>-715.26</v>
      </c>
      <c r="AI98" s="54">
        <f t="shared" si="946"/>
        <v>-639.19000000000005</v>
      </c>
      <c r="AJ98" s="374">
        <f t="shared" ref="AJ98" si="947">AJ94-AJ97</f>
        <v>-638.92999999999995</v>
      </c>
      <c r="AK98" s="54">
        <f t="shared" ref="AK98" si="948">AK94-AK97</f>
        <v>-639.62</v>
      </c>
      <c r="AL98" s="54">
        <f t="shared" si="946"/>
        <v>-639.62</v>
      </c>
      <c r="AM98" s="374">
        <f t="shared" si="946"/>
        <v>-639.62</v>
      </c>
      <c r="AN98" s="54">
        <f t="shared" si="946"/>
        <v>-639.62</v>
      </c>
      <c r="AO98" s="54">
        <f t="shared" si="946"/>
        <v>-639.62</v>
      </c>
      <c r="AP98" s="54">
        <f t="shared" si="946"/>
        <v>-639.62</v>
      </c>
      <c r="AQ98" s="54">
        <f t="shared" si="946"/>
        <v>-639.62</v>
      </c>
      <c r="AR98" s="54">
        <f t="shared" si="946"/>
        <v>-639.62</v>
      </c>
      <c r="AS98" s="54">
        <f t="shared" si="946"/>
        <v>-639.62</v>
      </c>
      <c r="AT98" s="54">
        <f t="shared" si="946"/>
        <v>-639.62</v>
      </c>
      <c r="AU98" s="54">
        <f t="shared" si="946"/>
        <v>-639.62</v>
      </c>
      <c r="AV98" s="54">
        <f t="shared" si="946"/>
        <v>-639.62</v>
      </c>
      <c r="AW98" s="54">
        <f t="shared" si="946"/>
        <v>-639.62</v>
      </c>
      <c r="AX98" s="54">
        <f t="shared" si="946"/>
        <v>-639.62</v>
      </c>
      <c r="AY98" s="374">
        <f t="shared" si="946"/>
        <v>-639.62</v>
      </c>
      <c r="AZ98" s="54">
        <f t="shared" si="946"/>
        <v>-639.62</v>
      </c>
      <c r="BA98" s="54">
        <f t="shared" si="946"/>
        <v>-639.62</v>
      </c>
      <c r="BB98" s="54">
        <f t="shared" si="946"/>
        <v>-639.62</v>
      </c>
      <c r="BC98" s="54">
        <f t="shared" si="946"/>
        <v>-639.62</v>
      </c>
      <c r="BD98" s="54">
        <f t="shared" si="946"/>
        <v>-639.62</v>
      </c>
      <c r="BE98" s="54">
        <f t="shared" si="946"/>
        <v>-639.62</v>
      </c>
      <c r="BF98" s="54">
        <f t="shared" si="946"/>
        <v>-639.62</v>
      </c>
      <c r="BG98" s="54">
        <f t="shared" si="946"/>
        <v>-639.62</v>
      </c>
      <c r="BH98" s="54">
        <f t="shared" si="946"/>
        <v>-639.62</v>
      </c>
      <c r="BI98" s="54">
        <f t="shared" si="946"/>
        <v>-639.62</v>
      </c>
      <c r="BJ98" s="54">
        <f t="shared" si="946"/>
        <v>-639.62</v>
      </c>
      <c r="BK98" s="374">
        <f t="shared" si="946"/>
        <v>-639.62</v>
      </c>
      <c r="BL98" s="54">
        <f t="shared" si="946"/>
        <v>-639.62</v>
      </c>
      <c r="BM98" s="54">
        <f t="shared" si="946"/>
        <v>-639.62</v>
      </c>
      <c r="BN98" s="54">
        <f t="shared" si="946"/>
        <v>-639.62</v>
      </c>
      <c r="BO98" s="54">
        <f t="shared" si="946"/>
        <v>-639.62</v>
      </c>
      <c r="BP98" s="54">
        <f t="shared" si="946"/>
        <v>-639.62</v>
      </c>
      <c r="BQ98" s="54">
        <f t="shared" si="946"/>
        <v>-639.62</v>
      </c>
      <c r="BR98" s="54">
        <f t="shared" si="946"/>
        <v>-639.62</v>
      </c>
      <c r="BS98" s="54">
        <f t="shared" si="946"/>
        <v>-639.62</v>
      </c>
      <c r="BT98" s="54">
        <f t="shared" si="946"/>
        <v>-639.62</v>
      </c>
      <c r="BU98" s="54">
        <f t="shared" si="946"/>
        <v>-639.62</v>
      </c>
      <c r="BV98" s="54">
        <f t="shared" si="946"/>
        <v>-639.62</v>
      </c>
      <c r="BW98" s="374">
        <f t="shared" si="946"/>
        <v>-639.62</v>
      </c>
      <c r="BX98" s="54">
        <f t="shared" si="946"/>
        <v>-639.62</v>
      </c>
      <c r="BY98" s="54">
        <f t="shared" si="946"/>
        <v>-639.62</v>
      </c>
      <c r="BZ98" s="54">
        <f t="shared" ref="BZ98:DG98" si="949">BZ94-BZ97</f>
        <v>-639.62</v>
      </c>
      <c r="CA98" s="54">
        <f t="shared" si="949"/>
        <v>-639.62</v>
      </c>
      <c r="CB98" s="54">
        <f t="shared" si="949"/>
        <v>-639.62</v>
      </c>
      <c r="CC98" s="54">
        <f t="shared" si="949"/>
        <v>-639.62</v>
      </c>
      <c r="CD98" s="54">
        <f t="shared" si="949"/>
        <v>-639.62</v>
      </c>
      <c r="CE98" s="54">
        <f t="shared" si="949"/>
        <v>-639.62</v>
      </c>
      <c r="CF98" s="54">
        <f t="shared" si="949"/>
        <v>-639.62</v>
      </c>
      <c r="CG98" s="54">
        <f t="shared" si="949"/>
        <v>-639.62</v>
      </c>
      <c r="CH98" s="54">
        <f t="shared" si="949"/>
        <v>-639.62</v>
      </c>
      <c r="CI98" s="374">
        <f t="shared" si="949"/>
        <v>-639.62</v>
      </c>
      <c r="CJ98" s="54">
        <f t="shared" si="949"/>
        <v>-639.62</v>
      </c>
      <c r="CK98" s="54">
        <f t="shared" si="949"/>
        <v>-639.62</v>
      </c>
      <c r="CL98" s="54">
        <f t="shared" si="949"/>
        <v>-639.62</v>
      </c>
      <c r="CM98" s="54">
        <f t="shared" si="949"/>
        <v>-639.62</v>
      </c>
      <c r="CN98" s="54">
        <f t="shared" si="949"/>
        <v>-639.62</v>
      </c>
      <c r="CO98" s="54">
        <f t="shared" si="949"/>
        <v>-639.62</v>
      </c>
      <c r="CP98" s="54">
        <f t="shared" si="949"/>
        <v>-639.62</v>
      </c>
      <c r="CQ98" s="54">
        <f t="shared" si="949"/>
        <v>-639.62</v>
      </c>
      <c r="CR98" s="54">
        <f t="shared" si="949"/>
        <v>-639.62</v>
      </c>
      <c r="CS98" s="54">
        <f t="shared" si="949"/>
        <v>-639.62</v>
      </c>
      <c r="CT98" s="54">
        <f t="shared" si="949"/>
        <v>-639.62</v>
      </c>
      <c r="CU98" s="374">
        <f t="shared" si="949"/>
        <v>-639.62</v>
      </c>
      <c r="CV98" s="54">
        <f t="shared" si="949"/>
        <v>-639.62</v>
      </c>
      <c r="CW98" s="54">
        <f t="shared" si="949"/>
        <v>-639.62</v>
      </c>
      <c r="CX98" s="54">
        <f t="shared" si="949"/>
        <v>-639.62</v>
      </c>
      <c r="CY98" s="54">
        <f t="shared" si="949"/>
        <v>-639.62</v>
      </c>
      <c r="CZ98" s="54">
        <f t="shared" si="949"/>
        <v>-639.62</v>
      </c>
      <c r="DA98" s="54">
        <f t="shared" si="949"/>
        <v>-639.62</v>
      </c>
      <c r="DB98" s="54">
        <f t="shared" si="949"/>
        <v>-639.62</v>
      </c>
      <c r="DC98" s="54">
        <f t="shared" si="949"/>
        <v>-639.62</v>
      </c>
      <c r="DD98" s="54">
        <f t="shared" si="949"/>
        <v>-639.62</v>
      </c>
      <c r="DE98" s="54">
        <f t="shared" si="949"/>
        <v>-639.62</v>
      </c>
      <c r="DF98" s="54">
        <f t="shared" si="949"/>
        <v>-639.62</v>
      </c>
      <c r="DG98" s="54">
        <f t="shared" si="949"/>
        <v>-639.62</v>
      </c>
    </row>
    <row r="99" spans="1:111" s="3" customFormat="1" x14ac:dyDescent="0.3">
      <c r="B99" s="4" t="s">
        <v>16</v>
      </c>
      <c r="C99" s="4"/>
      <c r="D99" s="55">
        <f t="shared" ref="D99:O99" si="950">D88+D98</f>
        <v>0</v>
      </c>
      <c r="E99" s="55">
        <f t="shared" si="950"/>
        <v>0</v>
      </c>
      <c r="F99" s="55">
        <f t="shared" si="950"/>
        <v>0</v>
      </c>
      <c r="G99" s="55">
        <f t="shared" si="950"/>
        <v>0</v>
      </c>
      <c r="H99" s="55">
        <f t="shared" si="950"/>
        <v>0</v>
      </c>
      <c r="I99" s="55">
        <f t="shared" si="950"/>
        <v>0</v>
      </c>
      <c r="J99" s="55">
        <f t="shared" si="950"/>
        <v>0</v>
      </c>
      <c r="K99" s="55">
        <f t="shared" si="950"/>
        <v>375</v>
      </c>
      <c r="L99" s="55">
        <f t="shared" si="950"/>
        <v>1048</v>
      </c>
      <c r="M99" s="55">
        <f t="shared" si="950"/>
        <v>1968.3600000000001</v>
      </c>
      <c r="N99" s="55">
        <f t="shared" si="950"/>
        <v>1617.8</v>
      </c>
      <c r="O99" s="55">
        <f t="shared" si="950"/>
        <v>1870.41</v>
      </c>
      <c r="P99" s="55">
        <f t="shared" ref="P99:W99" si="951">P88+P98</f>
        <v>1310.8600000000001</v>
      </c>
      <c r="Q99" s="55">
        <f t="shared" si="951"/>
        <v>1101.99</v>
      </c>
      <c r="R99" s="55">
        <f t="shared" si="951"/>
        <v>1101.3900000000001</v>
      </c>
      <c r="S99" s="55">
        <f t="shared" si="951"/>
        <v>1684.5800000000002</v>
      </c>
      <c r="T99" s="55">
        <f t="shared" si="951"/>
        <v>1935.9399999999998</v>
      </c>
      <c r="U99" s="55">
        <f t="shared" si="951"/>
        <v>1396.18</v>
      </c>
      <c r="V99" s="55">
        <f t="shared" si="951"/>
        <v>2402.77</v>
      </c>
      <c r="W99" s="55">
        <f t="shared" si="951"/>
        <v>6226.72</v>
      </c>
      <c r="X99" s="55">
        <f t="shared" ref="X99:Y99" si="952">X88+X98</f>
        <v>7109.73</v>
      </c>
      <c r="Y99" s="55">
        <f t="shared" si="952"/>
        <v>6848.9000000000005</v>
      </c>
      <c r="Z99" s="55">
        <f t="shared" ref="Z99" si="953">Z88+Z98</f>
        <v>4031.6899999999996</v>
      </c>
      <c r="AA99" s="55">
        <f t="shared" ref="AA99:AB99" si="954">AA88+AA98</f>
        <v>1347.03</v>
      </c>
      <c r="AB99" s="55">
        <f t="shared" si="954"/>
        <v>2584.7600000000002</v>
      </c>
      <c r="AC99" s="55">
        <f t="shared" ref="AC99:AD99" si="955">AC88+AC98</f>
        <v>2742.04</v>
      </c>
      <c r="AD99" s="55">
        <f t="shared" si="955"/>
        <v>2536.4700000000003</v>
      </c>
      <c r="AE99" s="55">
        <f t="shared" ref="AE99" si="956">AE88+AE98</f>
        <v>1235.1999999999998</v>
      </c>
      <c r="AF99" s="55">
        <f t="shared" ref="AF99:AG99" si="957">AF88+AF98</f>
        <v>4730.13</v>
      </c>
      <c r="AG99" s="55">
        <f t="shared" si="957"/>
        <v>2038.5800000000002</v>
      </c>
      <c r="AH99" s="55">
        <f t="shared" ref="AH99" si="958">AH88+AH98</f>
        <v>5598.8700000000008</v>
      </c>
      <c r="AI99" s="55">
        <f t="shared" ref="AI99:AJ99" si="959">AI88+AI98</f>
        <v>11135.75</v>
      </c>
      <c r="AJ99" s="360">
        <f t="shared" si="959"/>
        <v>7800.8600000000006</v>
      </c>
      <c r="AK99" s="55">
        <f t="shared" ref="AK99" si="960">AK88+AK98</f>
        <v>4141.0567337445846</v>
      </c>
      <c r="AL99" s="55">
        <f t="shared" ref="AL99:BP99" si="961">AL88+AL98</f>
        <v>2582.3901166414753</v>
      </c>
      <c r="AM99" s="360">
        <f t="shared" si="961"/>
        <v>2377.2404265834593</v>
      </c>
      <c r="AN99" s="55">
        <f t="shared" si="961"/>
        <v>714.20014111463922</v>
      </c>
      <c r="AO99" s="55">
        <f t="shared" si="961"/>
        <v>4862.3678339012577</v>
      </c>
      <c r="AP99" s="55">
        <f t="shared" si="961"/>
        <v>2644.4853465922561</v>
      </c>
      <c r="AQ99" s="55">
        <f t="shared" si="961"/>
        <v>3166.1912891278143</v>
      </c>
      <c r="AR99" s="55">
        <f t="shared" si="961"/>
        <v>4812.6190376270142</v>
      </c>
      <c r="AS99" s="55">
        <f t="shared" si="961"/>
        <v>1892.9558611977145</v>
      </c>
      <c r="AT99" s="55">
        <f t="shared" si="961"/>
        <v>3889.4635360039729</v>
      </c>
      <c r="AU99" s="55">
        <f t="shared" si="961"/>
        <v>5939.3301360324494</v>
      </c>
      <c r="AV99" s="55">
        <f t="shared" si="961"/>
        <v>5943.018499262872</v>
      </c>
      <c r="AW99" s="55">
        <f t="shared" si="961"/>
        <v>4684.2705292458659</v>
      </c>
      <c r="AX99" s="55">
        <f t="shared" si="961"/>
        <v>3623.7730392984431</v>
      </c>
      <c r="AY99" s="360">
        <f t="shared" si="961"/>
        <v>4698.2844409212748</v>
      </c>
      <c r="AZ99" s="55">
        <f t="shared" si="961"/>
        <v>1095.3690206816573</v>
      </c>
      <c r="BA99" s="55">
        <f t="shared" si="961"/>
        <v>5180.9462726150769</v>
      </c>
      <c r="BB99" s="55">
        <f t="shared" si="961"/>
        <v>4721.0032981258091</v>
      </c>
      <c r="BC99" s="55">
        <f t="shared" si="961"/>
        <v>3200.8800240253768</v>
      </c>
      <c r="BD99" s="55">
        <f t="shared" si="961"/>
        <v>5109.1006578533998</v>
      </c>
      <c r="BE99" s="55">
        <f t="shared" si="961"/>
        <v>3974.2540046452086</v>
      </c>
      <c r="BF99" s="55">
        <f t="shared" si="961"/>
        <v>3976.1039863299047</v>
      </c>
      <c r="BG99" s="55">
        <f t="shared" si="961"/>
        <v>6780.7912482681868</v>
      </c>
      <c r="BH99" s="55">
        <f t="shared" si="961"/>
        <v>6769.5212493487579</v>
      </c>
      <c r="BI99" s="55">
        <f t="shared" si="961"/>
        <v>4840.0902182998252</v>
      </c>
      <c r="BJ99" s="55">
        <f t="shared" si="961"/>
        <v>5256.8217250894859</v>
      </c>
      <c r="BK99" s="360">
        <f t="shared" si="961"/>
        <v>5192.1350385725927</v>
      </c>
      <c r="BL99" s="55">
        <f t="shared" si="961"/>
        <v>2137.40980907629</v>
      </c>
      <c r="BM99" s="55">
        <f t="shared" si="961"/>
        <v>5699.8405149944429</v>
      </c>
      <c r="BN99" s="55">
        <f t="shared" si="961"/>
        <v>5132.1228002704192</v>
      </c>
      <c r="BO99" s="55">
        <f t="shared" si="961"/>
        <v>2911.164774730888</v>
      </c>
      <c r="BP99" s="55">
        <f t="shared" si="961"/>
        <v>5606.0453838706817</v>
      </c>
      <c r="BQ99" s="55">
        <f t="shared" ref="BQ99:DG99" si="962">BQ88+BQ98</f>
        <v>5174.7216305030834</v>
      </c>
      <c r="BR99" s="55">
        <f t="shared" si="962"/>
        <v>3882.2821268022353</v>
      </c>
      <c r="BS99" s="55">
        <f t="shared" si="962"/>
        <v>8189.8630596235371</v>
      </c>
      <c r="BT99" s="55">
        <f t="shared" si="962"/>
        <v>7955.0995079927061</v>
      </c>
      <c r="BU99" s="55">
        <f t="shared" si="962"/>
        <v>4991.9564612259583</v>
      </c>
      <c r="BV99" s="55">
        <f t="shared" si="962"/>
        <v>5926.7888717841633</v>
      </c>
      <c r="BW99" s="360">
        <f t="shared" si="962"/>
        <v>5715.5047873349604</v>
      </c>
      <c r="BX99" s="55">
        <f t="shared" si="962"/>
        <v>1579.1869660411685</v>
      </c>
      <c r="BY99" s="55">
        <f t="shared" si="962"/>
        <v>6626.3047443895002</v>
      </c>
      <c r="BZ99" s="55">
        <f t="shared" si="962"/>
        <v>5647.470797062002</v>
      </c>
      <c r="CA99" s="55">
        <f t="shared" si="962"/>
        <v>2190.8241128357386</v>
      </c>
      <c r="CB99" s="55">
        <f t="shared" si="962"/>
        <v>6619.1553253527618</v>
      </c>
      <c r="CC99" s="55">
        <f t="shared" si="962"/>
        <v>5700.8892387045307</v>
      </c>
      <c r="CD99" s="55">
        <f t="shared" si="962"/>
        <v>3588.6384987078218</v>
      </c>
      <c r="CE99" s="55">
        <f t="shared" si="962"/>
        <v>10245.755900075008</v>
      </c>
      <c r="CF99" s="55">
        <f t="shared" si="962"/>
        <v>9312.159964666107</v>
      </c>
      <c r="CG99" s="55">
        <f t="shared" si="962"/>
        <v>5623.7949205496989</v>
      </c>
      <c r="CH99" s="55">
        <f t="shared" si="962"/>
        <v>6787.9390060258875</v>
      </c>
      <c r="CI99" s="360">
        <f t="shared" si="962"/>
        <v>6216.0023278475728</v>
      </c>
      <c r="CJ99" s="55">
        <f t="shared" si="962"/>
        <v>778.12631552386654</v>
      </c>
      <c r="CK99" s="55">
        <f t="shared" si="962"/>
        <v>7562.0582097514007</v>
      </c>
      <c r="CL99" s="55">
        <f t="shared" si="962"/>
        <v>6278.6023784523486</v>
      </c>
      <c r="CM99" s="55">
        <f t="shared" si="962"/>
        <v>1613.8668431866836</v>
      </c>
      <c r="CN99" s="55">
        <f t="shared" si="962"/>
        <v>7790.7431856804369</v>
      </c>
      <c r="CO99" s="55">
        <f t="shared" si="962"/>
        <v>6361.477933480287</v>
      </c>
      <c r="CP99" s="55">
        <f t="shared" si="962"/>
        <v>3663.8438897002334</v>
      </c>
      <c r="CQ99" s="55">
        <f t="shared" si="962"/>
        <v>12892.668518851477</v>
      </c>
      <c r="CR99" s="55">
        <f t="shared" si="962"/>
        <v>11220.604179556829</v>
      </c>
      <c r="CS99" s="55">
        <f t="shared" si="962"/>
        <v>6638.5388243008483</v>
      </c>
      <c r="CT99" s="55">
        <f t="shared" si="962"/>
        <v>8013.987616915615</v>
      </c>
      <c r="CU99" s="360">
        <f t="shared" si="962"/>
        <v>7216.9543080018411</v>
      </c>
      <c r="CV99" s="55">
        <f t="shared" si="962"/>
        <v>-604.60099962411289</v>
      </c>
      <c r="CW99" s="55">
        <f t="shared" si="962"/>
        <v>9120.1001576395774</v>
      </c>
      <c r="CX99" s="55">
        <f t="shared" si="962"/>
        <v>7136.2671383074949</v>
      </c>
      <c r="CY99" s="55">
        <f t="shared" si="962"/>
        <v>774.12175560852745</v>
      </c>
      <c r="CZ99" s="55">
        <f t="shared" si="962"/>
        <v>9432.4265484859479</v>
      </c>
      <c r="DA99" s="55">
        <f t="shared" si="962"/>
        <v>7221.9241925514889</v>
      </c>
      <c r="DB99" s="55">
        <f t="shared" si="962"/>
        <v>3750.0744542068087</v>
      </c>
      <c r="DC99" s="55">
        <f t="shared" si="962"/>
        <v>16012.290016842167</v>
      </c>
      <c r="DD99" s="55">
        <f t="shared" si="962"/>
        <v>14804.322792816931</v>
      </c>
      <c r="DE99" s="55">
        <f t="shared" si="962"/>
        <v>7547.6075837004928</v>
      </c>
      <c r="DF99" s="55">
        <f t="shared" si="962"/>
        <v>9450.4220563650088</v>
      </c>
      <c r="DG99" s="55">
        <f t="shared" si="962"/>
        <v>8911.6870677845091</v>
      </c>
    </row>
    <row r="100" spans="1:111" x14ac:dyDescent="0.3">
      <c r="B100" s="1"/>
      <c r="C100" s="1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361"/>
      <c r="AK100" s="57"/>
      <c r="AL100" s="57"/>
      <c r="AM100" s="361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361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361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361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361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361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</row>
    <row r="101" spans="1:111" x14ac:dyDescent="0.3">
      <c r="A101" s="29"/>
      <c r="B101" s="66"/>
      <c r="C101" s="66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375"/>
      <c r="AK101" s="67"/>
      <c r="AL101" s="67"/>
      <c r="AM101" s="375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375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375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375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375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375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</row>
    <row r="102" spans="1:111" s="5" customFormat="1" x14ac:dyDescent="0.3">
      <c r="A102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/>
      <c r="O102" s="2"/>
      <c r="P102" s="2"/>
      <c r="Q102" s="2"/>
      <c r="R102" s="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 s="196"/>
      <c r="AK102"/>
      <c r="AL102"/>
      <c r="AM102" s="196"/>
      <c r="AN102"/>
      <c r="AO102"/>
      <c r="AP102"/>
      <c r="AQ102"/>
      <c r="AR102"/>
      <c r="AS102"/>
      <c r="AT102"/>
      <c r="AU102"/>
      <c r="AV102"/>
      <c r="AW102"/>
      <c r="AX102"/>
      <c r="AY102" s="196"/>
      <c r="AZ102"/>
      <c r="BA102"/>
      <c r="BB102"/>
      <c r="BC102"/>
      <c r="BD102"/>
      <c r="BE102"/>
      <c r="BF102"/>
      <c r="BG102"/>
      <c r="BH102"/>
      <c r="BI102"/>
      <c r="BJ102"/>
      <c r="BK102" s="196"/>
      <c r="BL102"/>
      <c r="BM102"/>
      <c r="BN102"/>
      <c r="BO102"/>
      <c r="BP102"/>
      <c r="BQ102"/>
      <c r="BR102"/>
      <c r="BS102"/>
      <c r="BT102"/>
      <c r="BU102"/>
      <c r="BV102"/>
      <c r="BW102" s="196"/>
      <c r="BX102"/>
      <c r="BY102"/>
      <c r="BZ102"/>
      <c r="CA102"/>
      <c r="CB102"/>
      <c r="CC102"/>
      <c r="CD102"/>
      <c r="CE102"/>
      <c r="CF102"/>
      <c r="CG102"/>
      <c r="CH102"/>
      <c r="CI102" s="196"/>
      <c r="CJ102"/>
      <c r="CK102"/>
      <c r="CL102"/>
      <c r="CM102"/>
      <c r="CN102"/>
      <c r="CO102"/>
      <c r="CP102"/>
      <c r="CQ102"/>
      <c r="CR102"/>
      <c r="CS102"/>
      <c r="CT102"/>
      <c r="CU102" s="196"/>
      <c r="CV102"/>
      <c r="CW102"/>
      <c r="CX102"/>
      <c r="CY102"/>
      <c r="CZ102"/>
      <c r="DA102"/>
      <c r="DB102"/>
      <c r="DC102"/>
      <c r="DD102"/>
      <c r="DE102"/>
      <c r="DF102"/>
      <c r="DG102"/>
    </row>
    <row r="103" spans="1:111" s="64" customFormat="1" x14ac:dyDescent="0.3">
      <c r="A103"/>
      <c r="B103" s="1" t="s">
        <v>17</v>
      </c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/>
      <c r="O103" s="2"/>
      <c r="P103" s="2"/>
      <c r="Q103" s="2"/>
      <c r="R103" s="2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 s="196"/>
      <c r="AK103"/>
      <c r="AL103"/>
      <c r="AM103" s="196"/>
      <c r="AN103"/>
      <c r="AO103"/>
      <c r="AP103"/>
      <c r="AQ103"/>
      <c r="AR103"/>
      <c r="AS103"/>
      <c r="AT103"/>
      <c r="AU103"/>
      <c r="AV103"/>
      <c r="AW103"/>
      <c r="AX103"/>
      <c r="AY103" s="196"/>
      <c r="AZ103"/>
      <c r="BA103"/>
      <c r="BB103"/>
      <c r="BC103"/>
      <c r="BD103"/>
      <c r="BE103"/>
      <c r="BF103"/>
      <c r="BG103"/>
      <c r="BH103"/>
      <c r="BI103"/>
      <c r="BJ103"/>
      <c r="BK103" s="196"/>
      <c r="BL103"/>
      <c r="BM103"/>
      <c r="BN103"/>
      <c r="BO103"/>
      <c r="BP103"/>
      <c r="BQ103"/>
      <c r="BR103"/>
      <c r="BS103"/>
      <c r="BT103"/>
      <c r="BU103"/>
      <c r="BV103"/>
      <c r="BW103" s="196"/>
      <c r="BX103"/>
      <c r="BY103"/>
      <c r="BZ103"/>
      <c r="CA103"/>
      <c r="CB103"/>
      <c r="CC103"/>
      <c r="CD103"/>
      <c r="CE103"/>
      <c r="CF103"/>
      <c r="CG103"/>
      <c r="CH103"/>
      <c r="CI103" s="196"/>
      <c r="CJ103"/>
      <c r="CK103"/>
      <c r="CL103"/>
      <c r="CM103"/>
      <c r="CN103"/>
      <c r="CO103"/>
      <c r="CP103"/>
      <c r="CQ103"/>
      <c r="CR103"/>
      <c r="CS103"/>
      <c r="CT103"/>
      <c r="CU103" s="196"/>
      <c r="CV103"/>
      <c r="CW103"/>
      <c r="CX103"/>
      <c r="CY103"/>
      <c r="CZ103"/>
      <c r="DA103"/>
      <c r="DB103"/>
      <c r="DC103"/>
      <c r="DD103"/>
      <c r="DE103"/>
      <c r="DF103"/>
      <c r="DG103"/>
    </row>
    <row r="104" spans="1:111" x14ac:dyDescent="0.3">
      <c r="B104" s="1" t="s">
        <v>18</v>
      </c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O104" s="2"/>
      <c r="P104" s="2"/>
      <c r="Q104" s="2"/>
      <c r="R104" s="2"/>
      <c r="AJ104" s="196"/>
      <c r="AM104" s="196"/>
      <c r="AY104" s="196"/>
      <c r="BK104" s="196"/>
      <c r="BW104" s="196"/>
      <c r="CI104" s="196"/>
      <c r="CU104" s="196"/>
    </row>
    <row r="105" spans="1:111" x14ac:dyDescent="0.3">
      <c r="B105" s="1" t="s">
        <v>19</v>
      </c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O105" s="2"/>
      <c r="P105" s="2"/>
      <c r="Q105" s="2"/>
      <c r="R105" s="2"/>
      <c r="AJ105" s="196"/>
      <c r="AM105" s="196"/>
      <c r="AY105" s="196"/>
      <c r="BK105" s="196"/>
      <c r="BW105" s="196"/>
      <c r="CI105" s="196"/>
      <c r="CU105" s="196"/>
    </row>
    <row r="106" spans="1:111" s="3" customFormat="1" x14ac:dyDescent="0.3">
      <c r="A106"/>
      <c r="B106" s="1" t="s">
        <v>20</v>
      </c>
      <c r="C106" s="1"/>
      <c r="D106" s="114">
        <f>0</f>
        <v>0</v>
      </c>
      <c r="E106" s="114">
        <f>0</f>
        <v>0</v>
      </c>
      <c r="F106" s="114">
        <f>0</f>
        <v>0</v>
      </c>
      <c r="G106" s="114">
        <f>0</f>
        <v>0</v>
      </c>
      <c r="H106" s="114">
        <f>0</f>
        <v>0</v>
      </c>
      <c r="I106" s="114">
        <f>0</f>
        <v>0</v>
      </c>
      <c r="J106" s="112">
        <v>0</v>
      </c>
      <c r="K106" s="112">
        <v>250</v>
      </c>
      <c r="L106" s="112">
        <v>473</v>
      </c>
      <c r="M106" s="114">
        <v>2717.22</v>
      </c>
      <c r="N106">
        <v>857.37</v>
      </c>
      <c r="O106">
        <v>-60.91</v>
      </c>
      <c r="P106" s="114">
        <v>114.95</v>
      </c>
      <c r="Q106" s="114">
        <v>182.94</v>
      </c>
      <c r="R106" s="114">
        <v>51.39</v>
      </c>
      <c r="S106" s="114">
        <v>320.41000000000003</v>
      </c>
      <c r="T106" s="114">
        <v>175.2</v>
      </c>
      <c r="U106" s="114">
        <v>328.56</v>
      </c>
      <c r="V106" s="114">
        <v>261.7</v>
      </c>
      <c r="W106" s="114">
        <v>148.44</v>
      </c>
      <c r="X106" s="114">
        <v>286.17</v>
      </c>
      <c r="Y106" s="114">
        <v>648.29</v>
      </c>
      <c r="Z106" s="114">
        <v>622.49</v>
      </c>
      <c r="AA106" s="114">
        <v>192.02</v>
      </c>
      <c r="AB106" s="114">
        <v>286.77999999999997</v>
      </c>
      <c r="AC106" s="114">
        <v>546.32000000000005</v>
      </c>
      <c r="AD106" s="114">
        <v>222.79</v>
      </c>
      <c r="AE106" s="114">
        <v>1387.99</v>
      </c>
      <c r="AF106" s="114">
        <v>1058.0899999999999</v>
      </c>
      <c r="AG106" s="114">
        <v>871.9</v>
      </c>
      <c r="AH106" s="114">
        <v>1738.98</v>
      </c>
      <c r="AI106" s="114">
        <v>272.18</v>
      </c>
      <c r="AJ106" s="197">
        <v>1986.83</v>
      </c>
      <c r="AK106"/>
      <c r="AL106"/>
      <c r="AM106" s="196"/>
      <c r="AN106"/>
      <c r="AO106"/>
      <c r="AP106"/>
      <c r="AQ106"/>
      <c r="AR106"/>
      <c r="AS106"/>
      <c r="AT106"/>
      <c r="AU106"/>
      <c r="AV106"/>
      <c r="AW106"/>
      <c r="AX106"/>
      <c r="AY106" s="196"/>
      <c r="AZ106"/>
      <c r="BA106"/>
      <c r="BB106"/>
      <c r="BC106"/>
      <c r="BD106"/>
      <c r="BE106"/>
      <c r="BF106"/>
      <c r="BG106"/>
      <c r="BH106"/>
      <c r="BI106"/>
      <c r="BJ106"/>
      <c r="BK106" s="196"/>
      <c r="BL106"/>
      <c r="BM106"/>
      <c r="BN106"/>
      <c r="BO106"/>
      <c r="BP106"/>
      <c r="BQ106"/>
      <c r="BR106"/>
      <c r="BS106"/>
      <c r="BT106"/>
      <c r="BU106"/>
      <c r="BV106"/>
      <c r="BW106" s="196"/>
      <c r="BX106"/>
      <c r="BY106"/>
      <c r="BZ106"/>
      <c r="CA106"/>
      <c r="CB106"/>
      <c r="CC106"/>
      <c r="CD106"/>
      <c r="CE106"/>
      <c r="CF106"/>
      <c r="CG106"/>
      <c r="CH106"/>
      <c r="CI106" s="196"/>
      <c r="CJ106"/>
      <c r="CK106"/>
      <c r="CL106"/>
      <c r="CM106"/>
      <c r="CN106"/>
      <c r="CO106"/>
      <c r="CP106"/>
      <c r="CQ106"/>
      <c r="CR106"/>
      <c r="CS106"/>
      <c r="CT106"/>
      <c r="CU106" s="196"/>
      <c r="CV106"/>
      <c r="CW106"/>
      <c r="CX106"/>
      <c r="CY106"/>
      <c r="CZ106"/>
      <c r="DA106"/>
      <c r="DB106"/>
      <c r="DC106"/>
      <c r="DD106"/>
      <c r="DE106"/>
      <c r="DF106"/>
      <c r="DG106"/>
    </row>
    <row r="107" spans="1:111" x14ac:dyDescent="0.3">
      <c r="B107" s="1" t="s">
        <v>21</v>
      </c>
      <c r="C107" s="1"/>
      <c r="D107" s="114">
        <f>0</f>
        <v>0</v>
      </c>
      <c r="E107" s="114">
        <f>0</f>
        <v>0</v>
      </c>
      <c r="F107" s="114">
        <f>0</f>
        <v>0</v>
      </c>
      <c r="G107" s="114">
        <f>0</f>
        <v>0</v>
      </c>
      <c r="H107" s="114">
        <f>0</f>
        <v>0</v>
      </c>
      <c r="I107" s="114">
        <f>0</f>
        <v>0</v>
      </c>
      <c r="J107" s="112">
        <v>0</v>
      </c>
      <c r="K107" s="112">
        <v>0</v>
      </c>
      <c r="L107" s="112">
        <v>0</v>
      </c>
      <c r="M107" s="114">
        <v>50</v>
      </c>
      <c r="N107">
        <v>0</v>
      </c>
      <c r="O107">
        <v>0</v>
      </c>
      <c r="P107" s="114">
        <v>50</v>
      </c>
      <c r="Q107" s="114">
        <v>25</v>
      </c>
      <c r="R107" s="114">
        <v>21</v>
      </c>
      <c r="S107" s="114">
        <v>70</v>
      </c>
      <c r="T107" s="114">
        <v>70</v>
      </c>
      <c r="U107" s="114">
        <v>50</v>
      </c>
      <c r="V107" s="114">
        <v>100</v>
      </c>
      <c r="W107" s="114">
        <v>350</v>
      </c>
      <c r="X107" s="114">
        <v>450</v>
      </c>
      <c r="Y107" s="114">
        <v>0</v>
      </c>
      <c r="Z107" s="114">
        <v>100</v>
      </c>
      <c r="AA107" s="114">
        <v>800</v>
      </c>
      <c r="AB107" s="114">
        <v>1000</v>
      </c>
      <c r="AC107" s="114">
        <v>0</v>
      </c>
      <c r="AD107" s="114">
        <v>0</v>
      </c>
      <c r="AE107" s="114">
        <v>0</v>
      </c>
      <c r="AF107" s="114">
        <v>300</v>
      </c>
      <c r="AG107" s="114">
        <v>823.8</v>
      </c>
      <c r="AH107" s="114">
        <v>1500</v>
      </c>
      <c r="AI107" s="114">
        <v>3000.42</v>
      </c>
      <c r="AJ107" s="197">
        <v>2500.69</v>
      </c>
      <c r="AM107" s="196"/>
      <c r="AY107" s="196"/>
      <c r="BK107" s="196"/>
      <c r="BW107" s="196"/>
      <c r="CI107" s="196"/>
      <c r="CU107" s="196"/>
    </row>
    <row r="108" spans="1:111" x14ac:dyDescent="0.3">
      <c r="B108" s="1" t="s">
        <v>22</v>
      </c>
      <c r="C108" s="1"/>
      <c r="D108" s="114">
        <f>0</f>
        <v>0</v>
      </c>
      <c r="E108" s="114">
        <f>0</f>
        <v>0</v>
      </c>
      <c r="F108" s="114">
        <f>0</f>
        <v>0</v>
      </c>
      <c r="G108" s="114">
        <f>0</f>
        <v>0</v>
      </c>
      <c r="H108" s="114">
        <f>0</f>
        <v>0</v>
      </c>
      <c r="I108" s="114">
        <f>0</f>
        <v>0</v>
      </c>
      <c r="J108" s="112">
        <v>0</v>
      </c>
      <c r="K108" s="112">
        <v>5</v>
      </c>
      <c r="L108" s="112">
        <v>5</v>
      </c>
      <c r="M108" s="114">
        <v>105.01</v>
      </c>
      <c r="N108">
        <v>5.03</v>
      </c>
      <c r="O108">
        <v>5.01</v>
      </c>
      <c r="P108" s="114">
        <v>5.01</v>
      </c>
      <c r="Q108" s="114">
        <v>5.01</v>
      </c>
      <c r="R108" s="114">
        <v>55</v>
      </c>
      <c r="S108" s="114">
        <v>5.01</v>
      </c>
      <c r="T108" s="114">
        <v>55.01</v>
      </c>
      <c r="U108" s="114">
        <v>55.01</v>
      </c>
      <c r="V108" s="114">
        <v>205.03</v>
      </c>
      <c r="W108" s="114">
        <v>5.01</v>
      </c>
      <c r="X108" s="114">
        <v>5.01</v>
      </c>
      <c r="Y108" s="114">
        <v>5.01</v>
      </c>
      <c r="Z108" s="114">
        <v>5</v>
      </c>
      <c r="AA108" s="114">
        <v>5</v>
      </c>
      <c r="AB108" s="114">
        <v>5</v>
      </c>
      <c r="AC108" s="114">
        <v>5</v>
      </c>
      <c r="AD108" s="114">
        <v>5</v>
      </c>
      <c r="AE108" s="114">
        <v>5</v>
      </c>
      <c r="AF108" s="114">
        <v>5</v>
      </c>
      <c r="AG108" s="114">
        <v>5</v>
      </c>
      <c r="AH108" s="114">
        <v>5</v>
      </c>
      <c r="AI108" s="114">
        <v>5</v>
      </c>
      <c r="AJ108" s="197">
        <v>5</v>
      </c>
      <c r="AM108" s="196"/>
      <c r="AY108" s="196"/>
      <c r="BK108" s="196"/>
      <c r="BW108" s="196"/>
      <c r="CI108" s="196"/>
      <c r="CU108" s="196"/>
    </row>
    <row r="109" spans="1:111" x14ac:dyDescent="0.3">
      <c r="B109" s="1" t="s">
        <v>23</v>
      </c>
      <c r="C109" s="1"/>
      <c r="D109" s="114">
        <f>0</f>
        <v>0</v>
      </c>
      <c r="E109" s="114">
        <f>0</f>
        <v>0</v>
      </c>
      <c r="F109" s="114">
        <f>0</f>
        <v>0</v>
      </c>
      <c r="G109" s="114">
        <f>0</f>
        <v>0</v>
      </c>
      <c r="H109" s="114">
        <f>0</f>
        <v>0</v>
      </c>
      <c r="I109" s="114">
        <f>0</f>
        <v>0</v>
      </c>
      <c r="J109" s="112">
        <v>0</v>
      </c>
      <c r="K109" s="112">
        <v>0</v>
      </c>
      <c r="L109" s="112">
        <v>0</v>
      </c>
      <c r="M109" s="114">
        <v>-1851.87</v>
      </c>
      <c r="N109">
        <v>0</v>
      </c>
      <c r="O109">
        <v>0</v>
      </c>
      <c r="P109" s="114">
        <v>0</v>
      </c>
      <c r="Q109" s="114">
        <v>0</v>
      </c>
      <c r="R109" s="114">
        <v>0</v>
      </c>
      <c r="S109" s="114">
        <v>0</v>
      </c>
      <c r="T109" s="114">
        <v>0</v>
      </c>
      <c r="U109" s="114">
        <v>0</v>
      </c>
      <c r="V109" s="114">
        <v>0</v>
      </c>
      <c r="W109" s="114">
        <v>0</v>
      </c>
      <c r="X109" s="114">
        <v>0</v>
      </c>
      <c r="Y109" s="114">
        <v>0</v>
      </c>
      <c r="Z109" s="114">
        <v>0</v>
      </c>
      <c r="AA109" s="114">
        <v>0</v>
      </c>
      <c r="AB109" s="114">
        <v>0</v>
      </c>
      <c r="AC109" s="114">
        <v>0</v>
      </c>
      <c r="AD109" s="114">
        <v>0</v>
      </c>
      <c r="AE109" s="114">
        <v>0</v>
      </c>
      <c r="AF109" s="114">
        <v>0</v>
      </c>
      <c r="AG109" s="114">
        <v>0</v>
      </c>
      <c r="AH109" s="114">
        <v>0</v>
      </c>
      <c r="AI109" s="114">
        <v>0</v>
      </c>
      <c r="AJ109" s="197">
        <v>0</v>
      </c>
      <c r="AM109" s="196"/>
      <c r="AY109" s="196"/>
      <c r="BK109" s="196"/>
      <c r="BW109" s="196"/>
      <c r="CI109" s="196"/>
      <c r="CU109" s="196"/>
    </row>
    <row r="110" spans="1:111" x14ac:dyDescent="0.3">
      <c r="B110" s="1" t="s">
        <v>290</v>
      </c>
      <c r="C110" s="1"/>
      <c r="D110" s="114"/>
      <c r="E110" s="114"/>
      <c r="F110" s="114"/>
      <c r="G110" s="114"/>
      <c r="H110" s="114"/>
      <c r="I110" s="114"/>
      <c r="J110" s="112"/>
      <c r="K110" s="112"/>
      <c r="L110" s="112"/>
      <c r="M110" s="114"/>
      <c r="P110" s="114"/>
      <c r="Q110" s="114">
        <v>0</v>
      </c>
      <c r="R110" s="114">
        <v>0</v>
      </c>
      <c r="S110" s="114">
        <v>0</v>
      </c>
      <c r="T110" s="114">
        <v>0</v>
      </c>
      <c r="U110" s="114">
        <v>0</v>
      </c>
      <c r="V110" s="114">
        <v>0</v>
      </c>
      <c r="W110" s="114">
        <v>0</v>
      </c>
      <c r="X110" s="114">
        <v>0</v>
      </c>
      <c r="Y110" s="114">
        <v>0</v>
      </c>
      <c r="Z110" s="114">
        <v>0</v>
      </c>
      <c r="AA110" s="114">
        <v>0</v>
      </c>
      <c r="AB110" s="114"/>
      <c r="AC110" s="114">
        <v>0</v>
      </c>
      <c r="AD110" s="114">
        <v>-50</v>
      </c>
      <c r="AE110" s="114">
        <v>-50</v>
      </c>
      <c r="AF110" s="114">
        <v>-85</v>
      </c>
      <c r="AG110" s="114">
        <v>-85</v>
      </c>
      <c r="AH110" s="114">
        <v>-85</v>
      </c>
      <c r="AI110" s="114">
        <v>-85</v>
      </c>
      <c r="AJ110" s="197">
        <v>-85</v>
      </c>
      <c r="AM110" s="196"/>
      <c r="AY110" s="196"/>
      <c r="BK110" s="196"/>
      <c r="BW110" s="196"/>
      <c r="CI110" s="196"/>
      <c r="CU110" s="196"/>
    </row>
    <row r="111" spans="1:111" x14ac:dyDescent="0.3">
      <c r="A111" s="3"/>
      <c r="B111" s="4" t="s">
        <v>24</v>
      </c>
      <c r="C111" s="4"/>
      <c r="D111" s="55">
        <f t="shared" ref="D111:I111" si="963">(((D106)+(D107))+(D108))+(D109)</f>
        <v>0</v>
      </c>
      <c r="E111" s="55">
        <f t="shared" si="963"/>
        <v>0</v>
      </c>
      <c r="F111" s="55">
        <f t="shared" si="963"/>
        <v>0</v>
      </c>
      <c r="G111" s="55">
        <f t="shared" si="963"/>
        <v>0</v>
      </c>
      <c r="H111" s="55">
        <f t="shared" si="963"/>
        <v>0</v>
      </c>
      <c r="I111" s="55">
        <f t="shared" si="963"/>
        <v>0</v>
      </c>
      <c r="J111" s="55">
        <f>SUM(J106:J109)</f>
        <v>0</v>
      </c>
      <c r="K111" s="55">
        <f t="shared" ref="K111:P111" si="964">SUM(K106:K109)</f>
        <v>255</v>
      </c>
      <c r="L111" s="55">
        <f t="shared" si="964"/>
        <v>478</v>
      </c>
      <c r="M111" s="55">
        <f t="shared" si="964"/>
        <v>1020.3600000000001</v>
      </c>
      <c r="N111" s="55">
        <f t="shared" si="964"/>
        <v>862.4</v>
      </c>
      <c r="O111" s="55">
        <f t="shared" si="964"/>
        <v>-55.9</v>
      </c>
      <c r="P111" s="55">
        <f t="shared" si="964"/>
        <v>169.95999999999998</v>
      </c>
      <c r="Q111" s="55">
        <f t="shared" ref="Q111:W111" si="965">SUM(Q106:Q109)</f>
        <v>212.95</v>
      </c>
      <c r="R111" s="55">
        <f t="shared" si="965"/>
        <v>127.39</v>
      </c>
      <c r="S111" s="55">
        <f t="shared" si="965"/>
        <v>395.42</v>
      </c>
      <c r="T111" s="55">
        <f t="shared" si="965"/>
        <v>300.20999999999998</v>
      </c>
      <c r="U111" s="55">
        <f t="shared" si="965"/>
        <v>433.57</v>
      </c>
      <c r="V111" s="55">
        <f t="shared" si="965"/>
        <v>566.73</v>
      </c>
      <c r="W111" s="55">
        <f t="shared" si="965"/>
        <v>503.45</v>
      </c>
      <c r="X111" s="55">
        <f t="shared" ref="X111" si="966">SUM(X106:X109)</f>
        <v>741.18000000000006</v>
      </c>
      <c r="Y111" s="55">
        <f>SUM(Y106:Y110)</f>
        <v>653.29999999999995</v>
      </c>
      <c r="Z111" s="55">
        <f t="shared" ref="Z111:AD111" si="967">SUM(Z106:Z110)</f>
        <v>727.49</v>
      </c>
      <c r="AA111" s="55">
        <f t="shared" si="967"/>
        <v>997.02</v>
      </c>
      <c r="AB111" s="55">
        <f t="shared" si="967"/>
        <v>1291.78</v>
      </c>
      <c r="AC111" s="55">
        <f t="shared" si="967"/>
        <v>551.32000000000005</v>
      </c>
      <c r="AD111" s="55">
        <f t="shared" si="967"/>
        <v>177.79</v>
      </c>
      <c r="AE111" s="55">
        <f t="shared" ref="AE111" si="968">SUM(AE106:AE110)</f>
        <v>1342.99</v>
      </c>
      <c r="AF111" s="55">
        <f t="shared" ref="AF111:AG111" si="969">SUM(AF106:AF110)</f>
        <v>1278.0899999999999</v>
      </c>
      <c r="AG111" s="55">
        <f t="shared" si="969"/>
        <v>1615.6999999999998</v>
      </c>
      <c r="AH111" s="55">
        <f t="shared" ref="AH111" si="970">SUM(AH106:AH110)</f>
        <v>3158.98</v>
      </c>
      <c r="AI111" s="55">
        <f t="shared" ref="AI111:AJ111" si="971">SUM(AI106:AI110)</f>
        <v>3192.6</v>
      </c>
      <c r="AJ111" s="360">
        <f t="shared" si="971"/>
        <v>4407.5200000000004</v>
      </c>
      <c r="AK111" s="55">
        <f t="shared" ref="AK111:BB111" si="972">AJ111+AK146</f>
        <v>4951.6341477980113</v>
      </c>
      <c r="AL111" s="55">
        <f t="shared" si="972"/>
        <v>7266.6966606837323</v>
      </c>
      <c r="AM111" s="360">
        <f t="shared" si="972"/>
        <v>8028.4721598922488</v>
      </c>
      <c r="AN111" s="55">
        <f t="shared" si="972"/>
        <v>8452.6443440954554</v>
      </c>
      <c r="AO111" s="55">
        <f t="shared" si="972"/>
        <v>9023.2010487513671</v>
      </c>
      <c r="AP111" s="55">
        <f t="shared" si="972"/>
        <v>10519.837764456093</v>
      </c>
      <c r="AQ111" s="55">
        <f t="shared" si="972"/>
        <v>11049.94856704276</v>
      </c>
      <c r="AR111" s="55">
        <f t="shared" si="972"/>
        <v>12298.537251108817</v>
      </c>
      <c r="AS111" s="55">
        <f t="shared" si="972"/>
        <v>13659.417446611578</v>
      </c>
      <c r="AT111" s="55">
        <f t="shared" si="972"/>
        <v>13903.701369497969</v>
      </c>
      <c r="AU111" s="55">
        <f t="shared" si="972"/>
        <v>14754.687747212725</v>
      </c>
      <c r="AV111" s="55">
        <f t="shared" si="972"/>
        <v>17092.115354065663</v>
      </c>
      <c r="AW111" s="55">
        <f t="shared" si="972"/>
        <v>17681.022056487524</v>
      </c>
      <c r="AX111" s="55">
        <f t="shared" si="972"/>
        <v>20473.314812292985</v>
      </c>
      <c r="AY111" s="360">
        <f t="shared" si="972"/>
        <v>21628.230534774113</v>
      </c>
      <c r="AZ111" s="55">
        <f t="shared" si="972"/>
        <v>22406.635362514888</v>
      </c>
      <c r="BA111" s="55">
        <f t="shared" si="972"/>
        <v>22612.566337135533</v>
      </c>
      <c r="BB111" s="55">
        <f t="shared" si="972"/>
        <v>24857.57555630352</v>
      </c>
      <c r="BC111" s="55">
        <f t="shared" ref="BC111:CH111" si="973">BB111+BC146</f>
        <v>25317.256371726882</v>
      </c>
      <c r="BD111" s="55">
        <f t="shared" si="973"/>
        <v>26648.935757432257</v>
      </c>
      <c r="BE111" s="55">
        <f t="shared" si="973"/>
        <v>28762.842055829893</v>
      </c>
      <c r="BF111" s="55">
        <f t="shared" si="973"/>
        <v>28604.6665451894</v>
      </c>
      <c r="BG111" s="55">
        <f t="shared" si="973"/>
        <v>29440.512757612501</v>
      </c>
      <c r="BH111" s="55">
        <f t="shared" si="973"/>
        <v>32274.253479292376</v>
      </c>
      <c r="BI111" s="55">
        <f t="shared" si="973"/>
        <v>32760.907937183118</v>
      </c>
      <c r="BJ111" s="55">
        <f t="shared" si="973"/>
        <v>36205.015409272732</v>
      </c>
      <c r="BK111" s="360">
        <f t="shared" si="973"/>
        <v>37484.903566796958</v>
      </c>
      <c r="BL111" s="55">
        <f t="shared" si="973"/>
        <v>39114.826480331714</v>
      </c>
      <c r="BM111" s="55">
        <f t="shared" si="973"/>
        <v>38863.93093310752</v>
      </c>
      <c r="BN111" s="55">
        <f t="shared" si="973"/>
        <v>41440.919251899133</v>
      </c>
      <c r="BO111" s="55">
        <f t="shared" si="973"/>
        <v>41691.096066971506</v>
      </c>
      <c r="BP111" s="55">
        <f t="shared" si="973"/>
        <v>43125.346270637267</v>
      </c>
      <c r="BQ111" s="55">
        <f t="shared" si="973"/>
        <v>45963.591171406129</v>
      </c>
      <c r="BR111" s="55">
        <f t="shared" si="973"/>
        <v>45351.209935986102</v>
      </c>
      <c r="BS111" s="55">
        <f t="shared" si="973"/>
        <v>45706.71056351046</v>
      </c>
      <c r="BT111" s="55">
        <f t="shared" si="973"/>
        <v>49509.587231152938</v>
      </c>
      <c r="BU111" s="55">
        <f t="shared" si="973"/>
        <v>49901.690389796167</v>
      </c>
      <c r="BV111" s="55">
        <f t="shared" si="973"/>
        <v>53903.312475524042</v>
      </c>
      <c r="BW111" s="360">
        <f t="shared" si="973"/>
        <v>55406.173266640501</v>
      </c>
      <c r="BX111" s="55">
        <f t="shared" si="973"/>
        <v>57234.29125919284</v>
      </c>
      <c r="BY111" s="55">
        <f t="shared" si="973"/>
        <v>56209.392898629718</v>
      </c>
      <c r="BZ111" s="55">
        <f t="shared" si="973"/>
        <v>59662.510865272809</v>
      </c>
      <c r="CA111" s="55">
        <f t="shared" si="973"/>
        <v>59882.209528167623</v>
      </c>
      <c r="CB111" s="55">
        <f t="shared" si="973"/>
        <v>60574.292269433943</v>
      </c>
      <c r="CC111" s="55">
        <f t="shared" si="973"/>
        <v>64603.479395894938</v>
      </c>
      <c r="CD111" s="55">
        <f t="shared" si="973"/>
        <v>63442.636175484826</v>
      </c>
      <c r="CE111" s="55">
        <f t="shared" si="973"/>
        <v>62903.080036388303</v>
      </c>
      <c r="CF111" s="55">
        <f t="shared" si="973"/>
        <v>68392.32494103552</v>
      </c>
      <c r="CG111" s="55">
        <f t="shared" si="973"/>
        <v>67851.395212627074</v>
      </c>
      <c r="CH111" s="55">
        <f t="shared" si="973"/>
        <v>73340.882163849237</v>
      </c>
      <c r="CI111" s="360">
        <f t="shared" ref="CI111:DG111" si="974">CH111+CI146</f>
        <v>75374.090464115463</v>
      </c>
      <c r="CJ111" s="55">
        <f t="shared" si="974"/>
        <v>76725.511474618383</v>
      </c>
      <c r="CK111" s="55">
        <f t="shared" si="974"/>
        <v>75470.533868818966</v>
      </c>
      <c r="CL111" s="55">
        <f t="shared" si="974"/>
        <v>79664.809353899807</v>
      </c>
      <c r="CM111" s="55">
        <f t="shared" si="974"/>
        <v>78977.058142679467</v>
      </c>
      <c r="CN111" s="55">
        <f t="shared" si="974"/>
        <v>79816.307331612654</v>
      </c>
      <c r="CO111" s="55">
        <f t="shared" si="974"/>
        <v>85171.380560330086</v>
      </c>
      <c r="CP111" s="55">
        <f t="shared" si="974"/>
        <v>82567.372358474066</v>
      </c>
      <c r="CQ111" s="55">
        <f t="shared" si="974"/>
        <v>81725.933056589754</v>
      </c>
      <c r="CR111" s="55">
        <f t="shared" si="974"/>
        <v>89262.633794723719</v>
      </c>
      <c r="CS111" s="55">
        <f t="shared" si="974"/>
        <v>87193.030654866438</v>
      </c>
      <c r="CT111" s="55">
        <f t="shared" si="974"/>
        <v>95022.992490087068</v>
      </c>
      <c r="CU111" s="360">
        <f t="shared" si="974"/>
        <v>97413.649444304989</v>
      </c>
      <c r="CV111" s="55">
        <f t="shared" si="974"/>
        <v>98807.628740616288</v>
      </c>
      <c r="CW111" s="55">
        <f t="shared" si="974"/>
        <v>96622.056895656337</v>
      </c>
      <c r="CX111" s="55">
        <f t="shared" si="974"/>
        <v>102299.78549561252</v>
      </c>
      <c r="CY111" s="55">
        <f t="shared" si="974"/>
        <v>100172.94500751409</v>
      </c>
      <c r="CZ111" s="55">
        <f t="shared" si="974"/>
        <v>101335.09736471967</v>
      </c>
      <c r="DA111" s="55">
        <f t="shared" si="974"/>
        <v>108604.03557542631</v>
      </c>
      <c r="DB111" s="55">
        <f t="shared" si="974"/>
        <v>103767.41244984268</v>
      </c>
      <c r="DC111" s="55">
        <f t="shared" si="974"/>
        <v>103209.53104468725</v>
      </c>
      <c r="DD111" s="55">
        <f t="shared" si="974"/>
        <v>112160.02674844679</v>
      </c>
      <c r="DE111" s="55">
        <f t="shared" si="974"/>
        <v>109259.41846388229</v>
      </c>
      <c r="DF111" s="55">
        <f t="shared" si="974"/>
        <v>120200.18641290921</v>
      </c>
      <c r="DG111" s="55">
        <f t="shared" si="974"/>
        <v>122276.37737596569</v>
      </c>
    </row>
    <row r="112" spans="1:111" x14ac:dyDescent="0.3">
      <c r="B112" s="1" t="s">
        <v>25</v>
      </c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AJ112" s="196"/>
      <c r="AM112" s="196"/>
      <c r="AY112" s="196"/>
      <c r="BK112" s="196"/>
      <c r="BW112" s="196"/>
      <c r="CI112" s="196"/>
      <c r="CU112" s="196"/>
    </row>
    <row r="113" spans="1:111" x14ac:dyDescent="0.3">
      <c r="B113" s="1" t="s">
        <v>26</v>
      </c>
      <c r="C113" s="1"/>
      <c r="D113" s="114">
        <f>0</f>
        <v>0</v>
      </c>
      <c r="E113" s="114">
        <f>0</f>
        <v>0</v>
      </c>
      <c r="F113" s="114">
        <f>0</f>
        <v>0</v>
      </c>
      <c r="G113" s="114">
        <f>0</f>
        <v>0</v>
      </c>
      <c r="H113" s="114">
        <f>0</f>
        <v>0</v>
      </c>
      <c r="I113" s="114">
        <f>0</f>
        <v>0</v>
      </c>
      <c r="J113" s="112">
        <v>0</v>
      </c>
      <c r="K113" s="112">
        <v>375</v>
      </c>
      <c r="L113" s="112">
        <v>1200</v>
      </c>
      <c r="M113" s="112">
        <v>2365</v>
      </c>
      <c r="N113" s="114">
        <v>960</v>
      </c>
      <c r="O113" s="114">
        <v>900</v>
      </c>
      <c r="P113" s="114">
        <v>60</v>
      </c>
      <c r="Q113" s="114">
        <v>69</v>
      </c>
      <c r="R113" s="114">
        <v>75</v>
      </c>
      <c r="S113" s="114">
        <v>187.5</v>
      </c>
      <c r="T113" s="114">
        <v>35.93</v>
      </c>
      <c r="U113" s="114">
        <v>390</v>
      </c>
      <c r="V113" s="114">
        <v>270</v>
      </c>
      <c r="W113" s="114">
        <v>90</v>
      </c>
      <c r="X113" s="114">
        <v>1112</v>
      </c>
      <c r="Y113" s="114">
        <v>300</v>
      </c>
      <c r="Z113" s="114">
        <v>160</v>
      </c>
      <c r="AA113" s="114">
        <v>60</v>
      </c>
      <c r="AB113" s="114">
        <v>240</v>
      </c>
      <c r="AC113" s="114">
        <v>435</v>
      </c>
      <c r="AD113" s="114">
        <v>75</v>
      </c>
      <c r="AE113" s="114">
        <v>457.5</v>
      </c>
      <c r="AF113" s="114">
        <v>995</v>
      </c>
      <c r="AG113" s="114">
        <v>725.01</v>
      </c>
      <c r="AH113" s="114">
        <v>2460.0100000000002</v>
      </c>
      <c r="AI113" s="114">
        <v>3316.89</v>
      </c>
      <c r="AJ113" s="197">
        <v>3147.5</v>
      </c>
      <c r="AK113" s="114">
        <f t="shared" ref="AK113" si="975">(AK115*AK14)/30.4333</f>
        <v>2843.9128723253643</v>
      </c>
      <c r="AL113" s="112">
        <f t="shared" ref="AL113:BN113" si="976">(AL115*AL14)/30.4333</f>
        <v>1303.5673944320881</v>
      </c>
      <c r="AM113" s="197">
        <f t="shared" si="976"/>
        <v>1254.9640231986023</v>
      </c>
      <c r="AN113" s="112">
        <f t="shared" si="976"/>
        <v>1045.0518813297831</v>
      </c>
      <c r="AO113" s="112">
        <f t="shared" si="976"/>
        <v>1933.2055268442418</v>
      </c>
      <c r="AP113" s="112">
        <f t="shared" si="976"/>
        <v>1229.9144151171861</v>
      </c>
      <c r="AQ113" s="112">
        <f t="shared" si="976"/>
        <v>1649.6609992688673</v>
      </c>
      <c r="AR113" s="112">
        <f t="shared" si="976"/>
        <v>1844.8580264909176</v>
      </c>
      <c r="AS113" s="112">
        <f t="shared" si="976"/>
        <v>1051.8645893474686</v>
      </c>
      <c r="AT113" s="112">
        <f t="shared" si="976"/>
        <v>1974.4197272622653</v>
      </c>
      <c r="AU113" s="112">
        <f t="shared" si="976"/>
        <v>2905.2323903572428</v>
      </c>
      <c r="AV113" s="112">
        <f t="shared" si="976"/>
        <v>2350.7103332831625</v>
      </c>
      <c r="AW113" s="112">
        <f t="shared" si="976"/>
        <v>3167.0847896350656</v>
      </c>
      <c r="AX113" s="112">
        <f t="shared" si="976"/>
        <v>1461.923945619144</v>
      </c>
      <c r="AY113" s="197">
        <f t="shared" si="976"/>
        <v>1716.4935554144029</v>
      </c>
      <c r="AZ113" s="112">
        <f t="shared" si="976"/>
        <v>1266.6994338781235</v>
      </c>
      <c r="BA113" s="112">
        <f t="shared" si="976"/>
        <v>2615.0523410420064</v>
      </c>
      <c r="BB113" s="112">
        <f t="shared" si="976"/>
        <v>1786.3441113117631</v>
      </c>
      <c r="BC113" s="112">
        <f t="shared" si="976"/>
        <v>2286.927303096018</v>
      </c>
      <c r="BD113" s="112">
        <f t="shared" si="976"/>
        <v>2487.9781147466661</v>
      </c>
      <c r="BE113" s="112">
        <f t="shared" si="976"/>
        <v>1566.3480177425897</v>
      </c>
      <c r="BF113" s="112">
        <f t="shared" si="976"/>
        <v>2917.35472428206</v>
      </c>
      <c r="BG113" s="112">
        <f t="shared" si="976"/>
        <v>4115.7458863394249</v>
      </c>
      <c r="BH113" s="112">
        <f t="shared" si="976"/>
        <v>3312.8615394641756</v>
      </c>
      <c r="BI113" s="112">
        <f t="shared" si="976"/>
        <v>4278.2341470633719</v>
      </c>
      <c r="BJ113" s="112">
        <f t="shared" si="976"/>
        <v>2411.1731925006138</v>
      </c>
      <c r="BK113" s="197">
        <f t="shared" si="976"/>
        <v>2688.9255465481606</v>
      </c>
      <c r="BL113" s="112">
        <f t="shared" si="976"/>
        <v>1700.2255757362868</v>
      </c>
      <c r="BM113" s="112">
        <f t="shared" si="976"/>
        <v>3661.0732774588078</v>
      </c>
      <c r="BN113" s="112">
        <f t="shared" si="976"/>
        <v>2623.7217987483336</v>
      </c>
      <c r="BO113" s="112">
        <f t="shared" ref="BO113:CT113" si="977">(BO115*BO14)/30.4333</f>
        <v>3246.8944160952146</v>
      </c>
      <c r="BP113" s="112">
        <f t="shared" si="977"/>
        <v>3494.4578275906429</v>
      </c>
      <c r="BQ113" s="112">
        <f t="shared" si="977"/>
        <v>2208.6294159727163</v>
      </c>
      <c r="BR113" s="112">
        <f t="shared" si="977"/>
        <v>3985.6952894334222</v>
      </c>
      <c r="BS113" s="112">
        <f t="shared" si="977"/>
        <v>6087.1535797961233</v>
      </c>
      <c r="BT113" s="112">
        <f t="shared" si="977"/>
        <v>4670.8067645514711</v>
      </c>
      <c r="BU113" s="112">
        <f t="shared" si="977"/>
        <v>5776.2905442760248</v>
      </c>
      <c r="BV113" s="112">
        <f t="shared" si="977"/>
        <v>3552.7051200834076</v>
      </c>
      <c r="BW113" s="197">
        <f t="shared" si="977"/>
        <v>3764.495765167424</v>
      </c>
      <c r="BX113" s="112">
        <f t="shared" si="977"/>
        <v>2410.133862427439</v>
      </c>
      <c r="BY113" s="112">
        <f t="shared" si="977"/>
        <v>5422.9236463074149</v>
      </c>
      <c r="BZ113" s="112">
        <f t="shared" si="977"/>
        <v>3664.0469187829121</v>
      </c>
      <c r="CA113" s="112">
        <f t="shared" si="977"/>
        <v>4101.5954897388237</v>
      </c>
      <c r="CB113" s="112">
        <f t="shared" si="977"/>
        <v>5395.2593460783428</v>
      </c>
      <c r="CC113" s="112">
        <f t="shared" si="977"/>
        <v>3076.3389912287107</v>
      </c>
      <c r="CD113" s="112">
        <f t="shared" si="977"/>
        <v>5313.7737612511755</v>
      </c>
      <c r="CE113" s="112">
        <f t="shared" si="977"/>
        <v>8927.0566703701952</v>
      </c>
      <c r="CF113" s="112">
        <f t="shared" si="977"/>
        <v>6231.4597551228126</v>
      </c>
      <c r="CG113" s="112">
        <f t="shared" si="977"/>
        <v>8459.5279596961755</v>
      </c>
      <c r="CH113" s="112">
        <f t="shared" si="977"/>
        <v>5006.422710281784</v>
      </c>
      <c r="CI113" s="197">
        <f t="shared" si="977"/>
        <v>4838.0151083698292</v>
      </c>
      <c r="CJ113" s="112">
        <f t="shared" si="977"/>
        <v>3720.0319925240733</v>
      </c>
      <c r="CK113" s="112">
        <f t="shared" si="977"/>
        <v>7243.6270612489234</v>
      </c>
      <c r="CL113" s="112">
        <f t="shared" si="977"/>
        <v>4932.9322897038001</v>
      </c>
      <c r="CM113" s="112">
        <f t="shared" si="977"/>
        <v>6104.8435538801159</v>
      </c>
      <c r="CN113" s="112">
        <f t="shared" si="977"/>
        <v>7602.8173206510392</v>
      </c>
      <c r="CO113" s="112">
        <f t="shared" si="977"/>
        <v>4156.1874719776742</v>
      </c>
      <c r="CP113" s="112">
        <f t="shared" si="977"/>
        <v>7859.3488407437962</v>
      </c>
      <c r="CQ113" s="112">
        <f t="shared" si="977"/>
        <v>12568.588698283576</v>
      </c>
      <c r="CR113" s="112">
        <f t="shared" si="977"/>
        <v>8398.0692140166648</v>
      </c>
      <c r="CS113" s="112">
        <f t="shared" si="977"/>
        <v>12459.234001164181</v>
      </c>
      <c r="CT113" s="112">
        <f t="shared" si="977"/>
        <v>7033.4684510182524</v>
      </c>
      <c r="CU113" s="197">
        <f t="shared" ref="CU113:DG113" si="978">(CU115*CU14)/30.4333</f>
        <v>6807.8977892008743</v>
      </c>
      <c r="CV113" s="112">
        <f t="shared" si="978"/>
        <v>5232.5381930023623</v>
      </c>
      <c r="CW113" s="112">
        <f t="shared" si="978"/>
        <v>10154.140085254188</v>
      </c>
      <c r="CX113" s="112">
        <f t="shared" si="978"/>
        <v>6617.2916267902301</v>
      </c>
      <c r="CY113" s="112">
        <f t="shared" si="978"/>
        <v>8976.3686415712291</v>
      </c>
      <c r="CZ113" s="112">
        <f t="shared" si="978"/>
        <v>10643.944248911448</v>
      </c>
      <c r="DA113" s="112">
        <f t="shared" si="978"/>
        <v>5541.5832959702266</v>
      </c>
      <c r="DB113" s="112">
        <f t="shared" si="978"/>
        <v>11503.228757815908</v>
      </c>
      <c r="DC113" s="112">
        <f t="shared" si="978"/>
        <v>16864.797168024015</v>
      </c>
      <c r="DD113" s="112">
        <f t="shared" si="978"/>
        <v>12355.598302109553</v>
      </c>
      <c r="DE113" s="112">
        <f t="shared" si="978"/>
        <v>17520.488861784168</v>
      </c>
      <c r="DF113" s="112">
        <f t="shared" si="978"/>
        <v>9414.8475296667766</v>
      </c>
      <c r="DG113" s="112">
        <f t="shared" si="978"/>
        <v>10012.162686945629</v>
      </c>
    </row>
    <row r="114" spans="1:111" x14ac:dyDescent="0.3">
      <c r="A114" s="5"/>
      <c r="B114" s="6" t="s">
        <v>27</v>
      </c>
      <c r="C114" s="6"/>
      <c r="D114" s="54">
        <f>D113</f>
        <v>0</v>
      </c>
      <c r="E114" s="54">
        <f t="shared" ref="E114:M114" si="979">E113</f>
        <v>0</v>
      </c>
      <c r="F114" s="54">
        <f t="shared" si="979"/>
        <v>0</v>
      </c>
      <c r="G114" s="54">
        <f t="shared" si="979"/>
        <v>0</v>
      </c>
      <c r="H114" s="54">
        <f t="shared" si="979"/>
        <v>0</v>
      </c>
      <c r="I114" s="54">
        <f t="shared" si="979"/>
        <v>0</v>
      </c>
      <c r="J114" s="54">
        <f t="shared" si="979"/>
        <v>0</v>
      </c>
      <c r="K114" s="54">
        <f t="shared" si="979"/>
        <v>375</v>
      </c>
      <c r="L114" s="54">
        <f t="shared" si="979"/>
        <v>1200</v>
      </c>
      <c r="M114" s="54">
        <f t="shared" si="979"/>
        <v>2365</v>
      </c>
      <c r="N114" s="54">
        <f>N113</f>
        <v>960</v>
      </c>
      <c r="O114" s="54">
        <f>O113</f>
        <v>900</v>
      </c>
      <c r="P114" s="54">
        <f t="shared" ref="P114:BZ114" si="980">P113</f>
        <v>60</v>
      </c>
      <c r="Q114" s="54">
        <f t="shared" ref="Q114:W114" si="981">Q113</f>
        <v>69</v>
      </c>
      <c r="R114" s="54">
        <f t="shared" si="981"/>
        <v>75</v>
      </c>
      <c r="S114" s="54">
        <f t="shared" si="981"/>
        <v>187.5</v>
      </c>
      <c r="T114" s="54">
        <f t="shared" si="981"/>
        <v>35.93</v>
      </c>
      <c r="U114" s="54">
        <f t="shared" si="981"/>
        <v>390</v>
      </c>
      <c r="V114" s="54">
        <f t="shared" si="981"/>
        <v>270</v>
      </c>
      <c r="W114" s="54">
        <f t="shared" si="981"/>
        <v>90</v>
      </c>
      <c r="X114" s="54">
        <f t="shared" ref="X114:Y114" si="982">X113</f>
        <v>1112</v>
      </c>
      <c r="Y114" s="54">
        <f t="shared" si="982"/>
        <v>300</v>
      </c>
      <c r="Z114" s="54">
        <f t="shared" ref="Z114:AA114" si="983">Z113</f>
        <v>160</v>
      </c>
      <c r="AA114" s="54">
        <f t="shared" si="983"/>
        <v>60</v>
      </c>
      <c r="AB114" s="54">
        <f t="shared" ref="AB114" si="984">AB113</f>
        <v>240</v>
      </c>
      <c r="AC114" s="54">
        <f t="shared" ref="AC114:AD114" si="985">AC113</f>
        <v>435</v>
      </c>
      <c r="AD114" s="54">
        <f t="shared" si="985"/>
        <v>75</v>
      </c>
      <c r="AE114" s="54">
        <f t="shared" ref="AE114" si="986">AE113</f>
        <v>457.5</v>
      </c>
      <c r="AF114" s="54">
        <f t="shared" ref="AF114:AG114" si="987">AF113</f>
        <v>995</v>
      </c>
      <c r="AG114" s="54">
        <f t="shared" si="987"/>
        <v>725.01</v>
      </c>
      <c r="AH114" s="54">
        <f t="shared" ref="AH114" si="988">AH113</f>
        <v>2460.0100000000002</v>
      </c>
      <c r="AI114" s="54">
        <f t="shared" ref="AI114:AJ114" si="989">AI113</f>
        <v>3316.89</v>
      </c>
      <c r="AJ114" s="374">
        <f t="shared" si="989"/>
        <v>3147.5</v>
      </c>
      <c r="AK114" s="54">
        <f t="shared" ref="AK114" si="990">AK113</f>
        <v>2843.9128723253643</v>
      </c>
      <c r="AL114" s="54">
        <f t="shared" si="980"/>
        <v>1303.5673944320881</v>
      </c>
      <c r="AM114" s="374">
        <f t="shared" si="980"/>
        <v>1254.9640231986023</v>
      </c>
      <c r="AN114" s="54">
        <f t="shared" si="980"/>
        <v>1045.0518813297831</v>
      </c>
      <c r="AO114" s="54">
        <f t="shared" si="980"/>
        <v>1933.2055268442418</v>
      </c>
      <c r="AP114" s="54">
        <f t="shared" si="980"/>
        <v>1229.9144151171861</v>
      </c>
      <c r="AQ114" s="54">
        <f t="shared" si="980"/>
        <v>1649.6609992688673</v>
      </c>
      <c r="AR114" s="54">
        <f t="shared" si="980"/>
        <v>1844.8580264909176</v>
      </c>
      <c r="AS114" s="54">
        <f t="shared" si="980"/>
        <v>1051.8645893474686</v>
      </c>
      <c r="AT114" s="54">
        <f t="shared" si="980"/>
        <v>1974.4197272622653</v>
      </c>
      <c r="AU114" s="54">
        <f t="shared" si="980"/>
        <v>2905.2323903572428</v>
      </c>
      <c r="AV114" s="54">
        <f t="shared" si="980"/>
        <v>2350.7103332831625</v>
      </c>
      <c r="AW114" s="54">
        <f t="shared" si="980"/>
        <v>3167.0847896350656</v>
      </c>
      <c r="AX114" s="54">
        <f t="shared" si="980"/>
        <v>1461.923945619144</v>
      </c>
      <c r="AY114" s="374">
        <f t="shared" si="980"/>
        <v>1716.4935554144029</v>
      </c>
      <c r="AZ114" s="54">
        <f t="shared" si="980"/>
        <v>1266.6994338781235</v>
      </c>
      <c r="BA114" s="54">
        <f t="shared" si="980"/>
        <v>2615.0523410420064</v>
      </c>
      <c r="BB114" s="54">
        <f t="shared" si="980"/>
        <v>1786.3441113117631</v>
      </c>
      <c r="BC114" s="54">
        <f t="shared" si="980"/>
        <v>2286.927303096018</v>
      </c>
      <c r="BD114" s="54">
        <f t="shared" si="980"/>
        <v>2487.9781147466661</v>
      </c>
      <c r="BE114" s="54">
        <f t="shared" si="980"/>
        <v>1566.3480177425897</v>
      </c>
      <c r="BF114" s="54">
        <f t="shared" si="980"/>
        <v>2917.35472428206</v>
      </c>
      <c r="BG114" s="54">
        <f t="shared" si="980"/>
        <v>4115.7458863394249</v>
      </c>
      <c r="BH114" s="54">
        <f t="shared" si="980"/>
        <v>3312.8615394641756</v>
      </c>
      <c r="BI114" s="54">
        <f t="shared" si="980"/>
        <v>4278.2341470633719</v>
      </c>
      <c r="BJ114" s="54">
        <f t="shared" si="980"/>
        <v>2411.1731925006138</v>
      </c>
      <c r="BK114" s="374">
        <f t="shared" si="980"/>
        <v>2688.9255465481606</v>
      </c>
      <c r="BL114" s="54">
        <f t="shared" si="980"/>
        <v>1700.2255757362868</v>
      </c>
      <c r="BM114" s="54">
        <f t="shared" si="980"/>
        <v>3661.0732774588078</v>
      </c>
      <c r="BN114" s="54">
        <f t="shared" si="980"/>
        <v>2623.7217987483336</v>
      </c>
      <c r="BO114" s="54">
        <f t="shared" si="980"/>
        <v>3246.8944160952146</v>
      </c>
      <c r="BP114" s="54">
        <f t="shared" si="980"/>
        <v>3494.4578275906429</v>
      </c>
      <c r="BQ114" s="54">
        <f t="shared" si="980"/>
        <v>2208.6294159727163</v>
      </c>
      <c r="BR114" s="54">
        <f t="shared" si="980"/>
        <v>3985.6952894334222</v>
      </c>
      <c r="BS114" s="54">
        <f t="shared" si="980"/>
        <v>6087.1535797961233</v>
      </c>
      <c r="BT114" s="54">
        <f t="shared" si="980"/>
        <v>4670.8067645514711</v>
      </c>
      <c r="BU114" s="54">
        <f t="shared" si="980"/>
        <v>5776.2905442760248</v>
      </c>
      <c r="BV114" s="54">
        <f t="shared" si="980"/>
        <v>3552.7051200834076</v>
      </c>
      <c r="BW114" s="374">
        <f t="shared" si="980"/>
        <v>3764.495765167424</v>
      </c>
      <c r="BX114" s="54">
        <f t="shared" si="980"/>
        <v>2410.133862427439</v>
      </c>
      <c r="BY114" s="54">
        <f t="shared" si="980"/>
        <v>5422.9236463074149</v>
      </c>
      <c r="BZ114" s="54">
        <f t="shared" si="980"/>
        <v>3664.0469187829121</v>
      </c>
      <c r="CA114" s="54">
        <f t="shared" ref="CA114:DG114" si="991">CA113</f>
        <v>4101.5954897388237</v>
      </c>
      <c r="CB114" s="54">
        <f t="shared" si="991"/>
        <v>5395.2593460783428</v>
      </c>
      <c r="CC114" s="54">
        <f t="shared" si="991"/>
        <v>3076.3389912287107</v>
      </c>
      <c r="CD114" s="54">
        <f t="shared" si="991"/>
        <v>5313.7737612511755</v>
      </c>
      <c r="CE114" s="54">
        <f t="shared" si="991"/>
        <v>8927.0566703701952</v>
      </c>
      <c r="CF114" s="54">
        <f t="shared" si="991"/>
        <v>6231.4597551228126</v>
      </c>
      <c r="CG114" s="54">
        <f t="shared" si="991"/>
        <v>8459.5279596961755</v>
      </c>
      <c r="CH114" s="54">
        <f t="shared" si="991"/>
        <v>5006.422710281784</v>
      </c>
      <c r="CI114" s="374">
        <f t="shared" si="991"/>
        <v>4838.0151083698292</v>
      </c>
      <c r="CJ114" s="54">
        <f t="shared" si="991"/>
        <v>3720.0319925240733</v>
      </c>
      <c r="CK114" s="54">
        <f t="shared" si="991"/>
        <v>7243.6270612489234</v>
      </c>
      <c r="CL114" s="54">
        <f t="shared" si="991"/>
        <v>4932.9322897038001</v>
      </c>
      <c r="CM114" s="54">
        <f t="shared" si="991"/>
        <v>6104.8435538801159</v>
      </c>
      <c r="CN114" s="54">
        <f t="shared" si="991"/>
        <v>7602.8173206510392</v>
      </c>
      <c r="CO114" s="54">
        <f t="shared" si="991"/>
        <v>4156.1874719776742</v>
      </c>
      <c r="CP114" s="54">
        <f t="shared" si="991"/>
        <v>7859.3488407437962</v>
      </c>
      <c r="CQ114" s="54">
        <f t="shared" si="991"/>
        <v>12568.588698283576</v>
      </c>
      <c r="CR114" s="54">
        <f t="shared" si="991"/>
        <v>8398.0692140166648</v>
      </c>
      <c r="CS114" s="54">
        <f t="shared" si="991"/>
        <v>12459.234001164181</v>
      </c>
      <c r="CT114" s="54">
        <f t="shared" si="991"/>
        <v>7033.4684510182524</v>
      </c>
      <c r="CU114" s="374">
        <f t="shared" si="991"/>
        <v>6807.8977892008743</v>
      </c>
      <c r="CV114" s="54">
        <f t="shared" si="991"/>
        <v>5232.5381930023623</v>
      </c>
      <c r="CW114" s="54">
        <f t="shared" si="991"/>
        <v>10154.140085254188</v>
      </c>
      <c r="CX114" s="54">
        <f t="shared" si="991"/>
        <v>6617.2916267902301</v>
      </c>
      <c r="CY114" s="54">
        <f t="shared" si="991"/>
        <v>8976.3686415712291</v>
      </c>
      <c r="CZ114" s="54">
        <f t="shared" si="991"/>
        <v>10643.944248911448</v>
      </c>
      <c r="DA114" s="54">
        <f t="shared" si="991"/>
        <v>5541.5832959702266</v>
      </c>
      <c r="DB114" s="54">
        <f t="shared" si="991"/>
        <v>11503.228757815908</v>
      </c>
      <c r="DC114" s="54">
        <f t="shared" si="991"/>
        <v>16864.797168024015</v>
      </c>
      <c r="DD114" s="54">
        <f t="shared" si="991"/>
        <v>12355.598302109553</v>
      </c>
      <c r="DE114" s="54">
        <f t="shared" si="991"/>
        <v>17520.488861784168</v>
      </c>
      <c r="DF114" s="54">
        <f t="shared" si="991"/>
        <v>9414.8475296667766</v>
      </c>
      <c r="DG114" s="54">
        <f t="shared" si="991"/>
        <v>10012.162686945629</v>
      </c>
    </row>
    <row r="115" spans="1:111" x14ac:dyDescent="0.3">
      <c r="A115" s="64"/>
      <c r="B115" s="61"/>
      <c r="C115" s="62" t="s">
        <v>164</v>
      </c>
      <c r="D115" s="63">
        <v>0</v>
      </c>
      <c r="E115" s="63">
        <f t="shared" ref="E115:AJ115" si="992">IFERROR(AVERAGE(D113:E113)/(E14/30.4333), 0)</f>
        <v>0</v>
      </c>
      <c r="F115" s="63">
        <f t="shared" si="992"/>
        <v>0</v>
      </c>
      <c r="G115" s="63">
        <f t="shared" si="992"/>
        <v>0</v>
      </c>
      <c r="H115" s="63">
        <f t="shared" si="992"/>
        <v>0</v>
      </c>
      <c r="I115" s="63">
        <f t="shared" si="992"/>
        <v>0</v>
      </c>
      <c r="J115" s="63">
        <f t="shared" si="992"/>
        <v>0</v>
      </c>
      <c r="K115" s="63">
        <f t="shared" si="992"/>
        <v>15.21665</v>
      </c>
      <c r="L115" s="63">
        <f t="shared" si="992"/>
        <v>22.294161627906973</v>
      </c>
      <c r="M115" s="63">
        <f t="shared" si="992"/>
        <v>14.408328618857903</v>
      </c>
      <c r="N115" s="63">
        <f t="shared" si="992"/>
        <v>24.208306818181818</v>
      </c>
      <c r="O115" s="63">
        <f t="shared" si="992"/>
        <v>13.9252</v>
      </c>
      <c r="P115" s="63">
        <f t="shared" si="992"/>
        <v>9.4489511575107201</v>
      </c>
      <c r="Q115" s="63">
        <f t="shared" si="992"/>
        <v>1.5631677085407125</v>
      </c>
      <c r="R115" s="63">
        <f t="shared" si="992"/>
        <v>1.8157842137973896</v>
      </c>
      <c r="S115" s="63">
        <f t="shared" si="992"/>
        <v>2.0406407574294603</v>
      </c>
      <c r="T115" s="63">
        <f t="shared" si="992"/>
        <v>1.3670895881669367</v>
      </c>
      <c r="U115" s="63">
        <f t="shared" si="992"/>
        <v>3.1717395430721873</v>
      </c>
      <c r="V115" s="63">
        <f t="shared" si="992"/>
        <v>3.5418758596367481</v>
      </c>
      <c r="W115" s="63">
        <f t="shared" si="992"/>
        <v>0.77387443386177612</v>
      </c>
      <c r="X115" s="63">
        <f t="shared" si="992"/>
        <v>2.0888790887256752</v>
      </c>
      <c r="Y115" s="63">
        <f t="shared" si="992"/>
        <v>2.6213933485189171</v>
      </c>
      <c r="Z115" s="63">
        <f t="shared" si="992"/>
        <v>1.4174744639660437</v>
      </c>
      <c r="AA115" s="63">
        <f t="shared" si="992"/>
        <v>1.5610459314525529</v>
      </c>
      <c r="AB115" s="63">
        <f t="shared" si="992"/>
        <v>1.5206512325116588</v>
      </c>
      <c r="AC115" s="63">
        <f t="shared" si="992"/>
        <v>2.3571402753872635</v>
      </c>
      <c r="AD115" s="63">
        <f t="shared" si="992"/>
        <v>2.2303467452220147</v>
      </c>
      <c r="AE115" s="63">
        <f t="shared" si="992"/>
        <v>2.0166416438526631</v>
      </c>
      <c r="AF115" s="63">
        <f t="shared" si="992"/>
        <v>4.077833560574752</v>
      </c>
      <c r="AG115" s="63">
        <f t="shared" si="992"/>
        <v>6.0750256870523121</v>
      </c>
      <c r="AH115" s="63">
        <f t="shared" si="992"/>
        <v>5.3488492392027709</v>
      </c>
      <c r="AI115" s="63">
        <f t="shared" si="992"/>
        <v>6.2294270947456134</v>
      </c>
      <c r="AJ115" s="376">
        <f t="shared" si="992"/>
        <v>9.9385056927001756</v>
      </c>
      <c r="AK115" s="322">
        <v>7</v>
      </c>
      <c r="AL115" s="63">
        <f t="shared" ref="AL115:CA115" si="993">AK115</f>
        <v>7</v>
      </c>
      <c r="AM115" s="376">
        <f t="shared" si="993"/>
        <v>7</v>
      </c>
      <c r="AN115" s="63">
        <f t="shared" si="993"/>
        <v>7</v>
      </c>
      <c r="AO115" s="63">
        <f t="shared" si="993"/>
        <v>7</v>
      </c>
      <c r="AP115" s="63">
        <f t="shared" si="993"/>
        <v>7</v>
      </c>
      <c r="AQ115" s="63">
        <f t="shared" si="993"/>
        <v>7</v>
      </c>
      <c r="AR115" s="63">
        <f t="shared" si="993"/>
        <v>7</v>
      </c>
      <c r="AS115" s="63">
        <f t="shared" si="993"/>
        <v>7</v>
      </c>
      <c r="AT115" s="63">
        <f t="shared" si="993"/>
        <v>7</v>
      </c>
      <c r="AU115" s="63">
        <f t="shared" si="993"/>
        <v>7</v>
      </c>
      <c r="AV115" s="63">
        <f t="shared" si="993"/>
        <v>7</v>
      </c>
      <c r="AW115" s="63">
        <f t="shared" si="993"/>
        <v>7</v>
      </c>
      <c r="AX115" s="63">
        <f t="shared" si="993"/>
        <v>7</v>
      </c>
      <c r="AY115" s="376">
        <f t="shared" si="993"/>
        <v>7</v>
      </c>
      <c r="AZ115" s="63">
        <f t="shared" si="993"/>
        <v>7</v>
      </c>
      <c r="BA115" s="63">
        <f t="shared" si="993"/>
        <v>7</v>
      </c>
      <c r="BB115" s="63">
        <f t="shared" si="993"/>
        <v>7</v>
      </c>
      <c r="BC115" s="63">
        <f t="shared" si="993"/>
        <v>7</v>
      </c>
      <c r="BD115" s="63">
        <f t="shared" si="993"/>
        <v>7</v>
      </c>
      <c r="BE115" s="63">
        <f t="shared" si="993"/>
        <v>7</v>
      </c>
      <c r="BF115" s="63">
        <f t="shared" si="993"/>
        <v>7</v>
      </c>
      <c r="BG115" s="63">
        <f t="shared" si="993"/>
        <v>7</v>
      </c>
      <c r="BH115" s="63">
        <f t="shared" si="993"/>
        <v>7</v>
      </c>
      <c r="BI115" s="63">
        <f t="shared" si="993"/>
        <v>7</v>
      </c>
      <c r="BJ115" s="63">
        <f t="shared" si="993"/>
        <v>7</v>
      </c>
      <c r="BK115" s="376">
        <f t="shared" si="993"/>
        <v>7</v>
      </c>
      <c r="BL115" s="63">
        <f t="shared" si="993"/>
        <v>7</v>
      </c>
      <c r="BM115" s="63">
        <f t="shared" si="993"/>
        <v>7</v>
      </c>
      <c r="BN115" s="63">
        <f t="shared" si="993"/>
        <v>7</v>
      </c>
      <c r="BO115" s="63">
        <f t="shared" si="993"/>
        <v>7</v>
      </c>
      <c r="BP115" s="63">
        <f t="shared" si="993"/>
        <v>7</v>
      </c>
      <c r="BQ115" s="63">
        <f t="shared" si="993"/>
        <v>7</v>
      </c>
      <c r="BR115" s="63">
        <f t="shared" si="993"/>
        <v>7</v>
      </c>
      <c r="BS115" s="63">
        <f t="shared" si="993"/>
        <v>7</v>
      </c>
      <c r="BT115" s="63">
        <f t="shared" si="993"/>
        <v>7</v>
      </c>
      <c r="BU115" s="63">
        <f t="shared" si="993"/>
        <v>7</v>
      </c>
      <c r="BV115" s="63">
        <f t="shared" si="993"/>
        <v>7</v>
      </c>
      <c r="BW115" s="376">
        <f t="shared" si="993"/>
        <v>7</v>
      </c>
      <c r="BX115" s="63">
        <f t="shared" si="993"/>
        <v>7</v>
      </c>
      <c r="BY115" s="63">
        <f t="shared" si="993"/>
        <v>7</v>
      </c>
      <c r="BZ115" s="63">
        <f t="shared" si="993"/>
        <v>7</v>
      </c>
      <c r="CA115" s="63">
        <f t="shared" si="993"/>
        <v>7</v>
      </c>
      <c r="CB115" s="63">
        <f t="shared" ref="CB115:DG115" si="994">CA115</f>
        <v>7</v>
      </c>
      <c r="CC115" s="63">
        <f t="shared" si="994"/>
        <v>7</v>
      </c>
      <c r="CD115" s="63">
        <f t="shared" si="994"/>
        <v>7</v>
      </c>
      <c r="CE115" s="63">
        <f t="shared" si="994"/>
        <v>7</v>
      </c>
      <c r="CF115" s="63">
        <f t="shared" si="994"/>
        <v>7</v>
      </c>
      <c r="CG115" s="63">
        <f t="shared" si="994"/>
        <v>7</v>
      </c>
      <c r="CH115" s="63">
        <f t="shared" si="994"/>
        <v>7</v>
      </c>
      <c r="CI115" s="376">
        <f t="shared" si="994"/>
        <v>7</v>
      </c>
      <c r="CJ115" s="63">
        <f t="shared" si="994"/>
        <v>7</v>
      </c>
      <c r="CK115" s="63">
        <f t="shared" si="994"/>
        <v>7</v>
      </c>
      <c r="CL115" s="63">
        <f t="shared" si="994"/>
        <v>7</v>
      </c>
      <c r="CM115" s="63">
        <f t="shared" si="994"/>
        <v>7</v>
      </c>
      <c r="CN115" s="63">
        <f t="shared" si="994"/>
        <v>7</v>
      </c>
      <c r="CO115" s="63">
        <f t="shared" si="994"/>
        <v>7</v>
      </c>
      <c r="CP115" s="63">
        <f t="shared" si="994"/>
        <v>7</v>
      </c>
      <c r="CQ115" s="63">
        <f t="shared" si="994"/>
        <v>7</v>
      </c>
      <c r="CR115" s="63">
        <f t="shared" si="994"/>
        <v>7</v>
      </c>
      <c r="CS115" s="63">
        <f t="shared" si="994"/>
        <v>7</v>
      </c>
      <c r="CT115" s="63">
        <f t="shared" si="994"/>
        <v>7</v>
      </c>
      <c r="CU115" s="376">
        <f t="shared" si="994"/>
        <v>7</v>
      </c>
      <c r="CV115" s="63">
        <f t="shared" si="994"/>
        <v>7</v>
      </c>
      <c r="CW115" s="63">
        <f t="shared" si="994"/>
        <v>7</v>
      </c>
      <c r="CX115" s="63">
        <f t="shared" si="994"/>
        <v>7</v>
      </c>
      <c r="CY115" s="63">
        <f t="shared" si="994"/>
        <v>7</v>
      </c>
      <c r="CZ115" s="63">
        <f t="shared" si="994"/>
        <v>7</v>
      </c>
      <c r="DA115" s="63">
        <f t="shared" si="994"/>
        <v>7</v>
      </c>
      <c r="DB115" s="63">
        <f t="shared" si="994"/>
        <v>7</v>
      </c>
      <c r="DC115" s="63">
        <f t="shared" si="994"/>
        <v>7</v>
      </c>
      <c r="DD115" s="63">
        <f t="shared" si="994"/>
        <v>7</v>
      </c>
      <c r="DE115" s="63">
        <f t="shared" si="994"/>
        <v>7</v>
      </c>
      <c r="DF115" s="63">
        <f t="shared" si="994"/>
        <v>7</v>
      </c>
      <c r="DG115" s="63">
        <f t="shared" si="994"/>
        <v>7</v>
      </c>
    </row>
    <row r="116" spans="1:111" x14ac:dyDescent="0.3">
      <c r="B116" s="1" t="s">
        <v>221</v>
      </c>
      <c r="C116" s="1"/>
      <c r="D116" s="57"/>
      <c r="E116" s="57"/>
      <c r="F116" s="57"/>
      <c r="G116" s="57"/>
      <c r="H116" s="57"/>
      <c r="I116" s="57"/>
      <c r="J116" s="57"/>
      <c r="K116" s="57"/>
      <c r="L116" s="57"/>
      <c r="M116" s="57" t="s">
        <v>163</v>
      </c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377"/>
      <c r="AK116" s="51"/>
      <c r="AM116" s="196"/>
      <c r="AY116" s="196"/>
      <c r="BK116" s="196"/>
      <c r="BW116" s="196"/>
      <c r="CI116" s="196"/>
      <c r="CU116" s="196"/>
    </row>
    <row r="117" spans="1:111" x14ac:dyDescent="0.3">
      <c r="B117" s="1" t="s">
        <v>222</v>
      </c>
      <c r="C117" s="1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O117" s="51"/>
      <c r="P117" s="114">
        <v>0</v>
      </c>
      <c r="Q117" s="114">
        <v>0</v>
      </c>
      <c r="R117" s="114">
        <v>-44.05</v>
      </c>
      <c r="S117" s="114">
        <v>0</v>
      </c>
      <c r="T117" s="114">
        <v>0</v>
      </c>
      <c r="U117" s="114">
        <v>0</v>
      </c>
      <c r="V117" s="114">
        <v>0</v>
      </c>
      <c r="W117" s="114">
        <v>0</v>
      </c>
      <c r="X117" s="114">
        <v>0</v>
      </c>
      <c r="Y117" s="114">
        <v>0</v>
      </c>
      <c r="Z117" s="114">
        <v>0</v>
      </c>
      <c r="AA117" s="114">
        <v>0</v>
      </c>
      <c r="AB117" s="114">
        <v>0</v>
      </c>
      <c r="AC117" s="114">
        <v>0</v>
      </c>
      <c r="AD117" s="114">
        <v>0</v>
      </c>
      <c r="AE117" s="114">
        <v>0</v>
      </c>
      <c r="AF117" s="114">
        <v>0</v>
      </c>
      <c r="AG117" s="114">
        <v>0</v>
      </c>
      <c r="AH117" s="114">
        <v>0</v>
      </c>
      <c r="AI117" s="114">
        <v>0</v>
      </c>
      <c r="AJ117" s="197">
        <v>0</v>
      </c>
      <c r="AK117" s="232">
        <f>AJ117</f>
        <v>0</v>
      </c>
      <c r="AL117" s="114">
        <f t="shared" ref="AL117:CI117" si="995">AK117</f>
        <v>0</v>
      </c>
      <c r="AM117" s="197">
        <f t="shared" si="995"/>
        <v>0</v>
      </c>
      <c r="AN117" s="114">
        <f t="shared" si="995"/>
        <v>0</v>
      </c>
      <c r="AO117" s="114">
        <f t="shared" si="995"/>
        <v>0</v>
      </c>
      <c r="AP117" s="114">
        <f t="shared" si="995"/>
        <v>0</v>
      </c>
      <c r="AQ117" s="114">
        <f t="shared" si="995"/>
        <v>0</v>
      </c>
      <c r="AR117" s="114">
        <f t="shared" si="995"/>
        <v>0</v>
      </c>
      <c r="AS117" s="114">
        <f t="shared" si="995"/>
        <v>0</v>
      </c>
      <c r="AT117" s="114">
        <f t="shared" si="995"/>
        <v>0</v>
      </c>
      <c r="AU117" s="114">
        <f t="shared" si="995"/>
        <v>0</v>
      </c>
      <c r="AV117" s="114">
        <f t="shared" si="995"/>
        <v>0</v>
      </c>
      <c r="AW117" s="114">
        <f t="shared" si="995"/>
        <v>0</v>
      </c>
      <c r="AX117" s="114">
        <f t="shared" si="995"/>
        <v>0</v>
      </c>
      <c r="AY117" s="197">
        <f t="shared" si="995"/>
        <v>0</v>
      </c>
      <c r="AZ117" s="114">
        <f t="shared" si="995"/>
        <v>0</v>
      </c>
      <c r="BA117" s="114">
        <f t="shared" si="995"/>
        <v>0</v>
      </c>
      <c r="BB117" s="114">
        <f t="shared" si="995"/>
        <v>0</v>
      </c>
      <c r="BC117" s="114">
        <f t="shared" si="995"/>
        <v>0</v>
      </c>
      <c r="BD117" s="114">
        <f t="shared" si="995"/>
        <v>0</v>
      </c>
      <c r="BE117" s="114">
        <f t="shared" si="995"/>
        <v>0</v>
      </c>
      <c r="BF117" s="114">
        <f t="shared" si="995"/>
        <v>0</v>
      </c>
      <c r="BG117" s="114">
        <f t="shared" si="995"/>
        <v>0</v>
      </c>
      <c r="BH117" s="114">
        <f t="shared" si="995"/>
        <v>0</v>
      </c>
      <c r="BI117" s="114">
        <f t="shared" si="995"/>
        <v>0</v>
      </c>
      <c r="BJ117" s="114">
        <f t="shared" si="995"/>
        <v>0</v>
      </c>
      <c r="BK117" s="197">
        <f t="shared" si="995"/>
        <v>0</v>
      </c>
      <c r="BL117" s="114">
        <f t="shared" si="995"/>
        <v>0</v>
      </c>
      <c r="BM117" s="114">
        <f t="shared" si="995"/>
        <v>0</v>
      </c>
      <c r="BN117" s="114">
        <f t="shared" si="995"/>
        <v>0</v>
      </c>
      <c r="BO117" s="114">
        <f t="shared" si="995"/>
        <v>0</v>
      </c>
      <c r="BP117" s="114">
        <f t="shared" si="995"/>
        <v>0</v>
      </c>
      <c r="BQ117" s="114">
        <f t="shared" si="995"/>
        <v>0</v>
      </c>
      <c r="BR117" s="114">
        <f t="shared" si="995"/>
        <v>0</v>
      </c>
      <c r="BS117" s="114">
        <f t="shared" si="995"/>
        <v>0</v>
      </c>
      <c r="BT117" s="114">
        <f t="shared" si="995"/>
        <v>0</v>
      </c>
      <c r="BU117" s="114">
        <f t="shared" si="995"/>
        <v>0</v>
      </c>
      <c r="BV117" s="114">
        <f t="shared" si="995"/>
        <v>0</v>
      </c>
      <c r="BW117" s="197">
        <f t="shared" si="995"/>
        <v>0</v>
      </c>
      <c r="BX117" s="114">
        <f t="shared" si="995"/>
        <v>0</v>
      </c>
      <c r="BY117" s="114">
        <f t="shared" si="995"/>
        <v>0</v>
      </c>
      <c r="BZ117" s="114">
        <f t="shared" si="995"/>
        <v>0</v>
      </c>
      <c r="CA117" s="114">
        <f t="shared" si="995"/>
        <v>0</v>
      </c>
      <c r="CB117" s="114">
        <f t="shared" si="995"/>
        <v>0</v>
      </c>
      <c r="CC117" s="114">
        <f t="shared" si="995"/>
        <v>0</v>
      </c>
      <c r="CD117" s="114">
        <f t="shared" si="995"/>
        <v>0</v>
      </c>
      <c r="CE117" s="114">
        <f t="shared" si="995"/>
        <v>0</v>
      </c>
      <c r="CF117" s="114">
        <f t="shared" si="995"/>
        <v>0</v>
      </c>
      <c r="CG117" s="114">
        <f t="shared" si="995"/>
        <v>0</v>
      </c>
      <c r="CH117" s="114">
        <f t="shared" si="995"/>
        <v>0</v>
      </c>
      <c r="CI117" s="197">
        <f t="shared" si="995"/>
        <v>0</v>
      </c>
      <c r="CJ117" s="114">
        <f t="shared" ref="CJ117:DG117" si="996">CI117</f>
        <v>0</v>
      </c>
      <c r="CK117" s="114">
        <f t="shared" si="996"/>
        <v>0</v>
      </c>
      <c r="CL117" s="114">
        <f t="shared" si="996"/>
        <v>0</v>
      </c>
      <c r="CM117" s="114">
        <f t="shared" si="996"/>
        <v>0</v>
      </c>
      <c r="CN117" s="114">
        <f t="shared" si="996"/>
        <v>0</v>
      </c>
      <c r="CO117" s="114">
        <f t="shared" si="996"/>
        <v>0</v>
      </c>
      <c r="CP117" s="114">
        <f t="shared" si="996"/>
        <v>0</v>
      </c>
      <c r="CQ117" s="114">
        <f t="shared" si="996"/>
        <v>0</v>
      </c>
      <c r="CR117" s="114">
        <f t="shared" si="996"/>
        <v>0</v>
      </c>
      <c r="CS117" s="114">
        <f t="shared" si="996"/>
        <v>0</v>
      </c>
      <c r="CT117" s="114">
        <f t="shared" si="996"/>
        <v>0</v>
      </c>
      <c r="CU117" s="197">
        <f t="shared" si="996"/>
        <v>0</v>
      </c>
      <c r="CV117" s="114">
        <f t="shared" si="996"/>
        <v>0</v>
      </c>
      <c r="CW117" s="114">
        <f t="shared" si="996"/>
        <v>0</v>
      </c>
      <c r="CX117" s="114">
        <f t="shared" si="996"/>
        <v>0</v>
      </c>
      <c r="CY117" s="114">
        <f t="shared" si="996"/>
        <v>0</v>
      </c>
      <c r="CZ117" s="114">
        <f t="shared" si="996"/>
        <v>0</v>
      </c>
      <c r="DA117" s="114">
        <f t="shared" si="996"/>
        <v>0</v>
      </c>
      <c r="DB117" s="114">
        <f t="shared" si="996"/>
        <v>0</v>
      </c>
      <c r="DC117" s="114">
        <f t="shared" si="996"/>
        <v>0</v>
      </c>
      <c r="DD117" s="114">
        <f t="shared" si="996"/>
        <v>0</v>
      </c>
      <c r="DE117" s="114">
        <f t="shared" si="996"/>
        <v>0</v>
      </c>
      <c r="DF117" s="114">
        <f t="shared" si="996"/>
        <v>0</v>
      </c>
      <c r="DG117" s="114">
        <f t="shared" si="996"/>
        <v>0</v>
      </c>
    </row>
    <row r="118" spans="1:111" x14ac:dyDescent="0.3">
      <c r="B118" s="1" t="s">
        <v>225</v>
      </c>
      <c r="C118" s="1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O118" s="51"/>
      <c r="P118" s="114">
        <v>0</v>
      </c>
      <c r="Q118" s="114">
        <v>0</v>
      </c>
      <c r="R118" s="114">
        <v>0</v>
      </c>
      <c r="S118" s="114">
        <v>60</v>
      </c>
      <c r="T118" s="114">
        <v>86.25</v>
      </c>
      <c r="U118" s="114">
        <v>0</v>
      </c>
      <c r="V118" s="114">
        <v>0</v>
      </c>
      <c r="W118" s="114">
        <v>140</v>
      </c>
      <c r="X118" s="114">
        <v>240</v>
      </c>
      <c r="Y118" s="114">
        <v>0</v>
      </c>
      <c r="Z118" s="114">
        <v>172.5</v>
      </c>
      <c r="AA118" s="114">
        <v>0</v>
      </c>
      <c r="AB118" s="114">
        <v>60</v>
      </c>
      <c r="AC118" s="114">
        <v>60</v>
      </c>
      <c r="AD118" s="114">
        <v>222.5</v>
      </c>
      <c r="AE118" s="114">
        <v>60</v>
      </c>
      <c r="AF118" s="114">
        <v>135</v>
      </c>
      <c r="AG118" s="114">
        <v>78.75</v>
      </c>
      <c r="AH118" s="114">
        <v>187.5</v>
      </c>
      <c r="AI118" s="114">
        <v>322.5</v>
      </c>
      <c r="AJ118" s="197">
        <v>75</v>
      </c>
      <c r="AK118" s="232">
        <v>0</v>
      </c>
      <c r="AL118" s="114">
        <v>0</v>
      </c>
      <c r="AM118" s="197">
        <v>0</v>
      </c>
      <c r="AN118" s="114">
        <v>0</v>
      </c>
      <c r="AO118" s="114">
        <v>0</v>
      </c>
      <c r="AP118" s="114">
        <v>0</v>
      </c>
      <c r="AQ118" s="114">
        <v>0</v>
      </c>
      <c r="AR118" s="114">
        <v>0</v>
      </c>
      <c r="AS118" s="114">
        <v>0</v>
      </c>
      <c r="AT118" s="114">
        <v>0</v>
      </c>
      <c r="AU118" s="114">
        <v>0</v>
      </c>
      <c r="AV118" s="114">
        <v>0</v>
      </c>
      <c r="AW118" s="114">
        <v>0</v>
      </c>
      <c r="AX118" s="114">
        <v>0</v>
      </c>
      <c r="AY118" s="197">
        <v>0</v>
      </c>
      <c r="AZ118" s="114">
        <v>0</v>
      </c>
      <c r="BA118" s="114">
        <v>0</v>
      </c>
      <c r="BB118" s="114">
        <v>0</v>
      </c>
      <c r="BC118" s="114">
        <v>0</v>
      </c>
      <c r="BD118" s="114">
        <v>0</v>
      </c>
      <c r="BE118" s="114">
        <v>0</v>
      </c>
      <c r="BF118" s="114">
        <v>0</v>
      </c>
      <c r="BG118" s="114">
        <v>0</v>
      </c>
      <c r="BH118" s="114">
        <v>0</v>
      </c>
      <c r="BI118" s="114">
        <v>0</v>
      </c>
      <c r="BJ118" s="114">
        <v>0</v>
      </c>
      <c r="BK118" s="197">
        <v>0</v>
      </c>
      <c r="BL118" s="114">
        <v>0</v>
      </c>
      <c r="BM118" s="114">
        <v>0</v>
      </c>
      <c r="BN118" s="114">
        <v>0</v>
      </c>
      <c r="BO118" s="114">
        <v>0</v>
      </c>
      <c r="BP118" s="114">
        <v>0</v>
      </c>
      <c r="BQ118" s="114">
        <v>0</v>
      </c>
      <c r="BR118" s="114">
        <v>0</v>
      </c>
      <c r="BS118" s="114">
        <v>0</v>
      </c>
      <c r="BT118" s="114">
        <v>0</v>
      </c>
      <c r="BU118" s="114">
        <v>0</v>
      </c>
      <c r="BV118" s="114">
        <v>0</v>
      </c>
      <c r="BW118" s="197">
        <v>0</v>
      </c>
      <c r="BX118" s="114">
        <v>0</v>
      </c>
      <c r="BY118" s="114">
        <v>0</v>
      </c>
      <c r="BZ118" s="114">
        <v>0</v>
      </c>
      <c r="CA118" s="114">
        <v>0</v>
      </c>
      <c r="CB118" s="114">
        <v>0</v>
      </c>
      <c r="CC118" s="114">
        <v>0</v>
      </c>
      <c r="CD118" s="114">
        <v>0</v>
      </c>
      <c r="CE118" s="114">
        <v>0</v>
      </c>
      <c r="CF118" s="114">
        <v>0</v>
      </c>
      <c r="CG118" s="114">
        <v>0</v>
      </c>
      <c r="CH118" s="114">
        <v>0</v>
      </c>
      <c r="CI118" s="197">
        <v>0</v>
      </c>
      <c r="CJ118" s="114">
        <v>0</v>
      </c>
      <c r="CK118" s="114">
        <v>0</v>
      </c>
      <c r="CL118" s="114">
        <v>0</v>
      </c>
      <c r="CM118" s="114">
        <v>0</v>
      </c>
      <c r="CN118" s="114">
        <v>0</v>
      </c>
      <c r="CO118" s="114">
        <v>0</v>
      </c>
      <c r="CP118" s="114">
        <v>0</v>
      </c>
      <c r="CQ118" s="114">
        <v>0</v>
      </c>
      <c r="CR118" s="114">
        <v>0</v>
      </c>
      <c r="CS118" s="114">
        <v>0</v>
      </c>
      <c r="CT118" s="114">
        <v>0</v>
      </c>
      <c r="CU118" s="197">
        <v>0</v>
      </c>
      <c r="CV118" s="114">
        <v>0</v>
      </c>
      <c r="CW118" s="114">
        <v>0</v>
      </c>
      <c r="CX118" s="114">
        <v>0</v>
      </c>
      <c r="CY118" s="114">
        <v>0</v>
      </c>
      <c r="CZ118" s="114">
        <v>0</v>
      </c>
      <c r="DA118" s="114">
        <v>0</v>
      </c>
      <c r="DB118" s="114">
        <v>0</v>
      </c>
      <c r="DC118" s="114">
        <v>0</v>
      </c>
      <c r="DD118" s="114">
        <v>0</v>
      </c>
      <c r="DE118" s="114">
        <v>0</v>
      </c>
      <c r="DF118" s="114">
        <v>0</v>
      </c>
      <c r="DG118" s="114">
        <v>0</v>
      </c>
    </row>
    <row r="119" spans="1:111" s="55" customFormat="1" x14ac:dyDescent="0.3">
      <c r="B119" s="55" t="s">
        <v>223</v>
      </c>
      <c r="P119" s="55">
        <f>+SUM(P117:P118)</f>
        <v>0</v>
      </c>
      <c r="Q119" s="55">
        <f t="shared" ref="Q119:CB119" si="997">+SUM(Q117:Q118)</f>
        <v>0</v>
      </c>
      <c r="R119" s="55">
        <f t="shared" si="997"/>
        <v>-44.05</v>
      </c>
      <c r="S119" s="55">
        <f t="shared" si="997"/>
        <v>60</v>
      </c>
      <c r="T119" s="55">
        <f t="shared" si="997"/>
        <v>86.25</v>
      </c>
      <c r="U119" s="55">
        <f t="shared" si="997"/>
        <v>0</v>
      </c>
      <c r="V119" s="55">
        <f t="shared" si="997"/>
        <v>0</v>
      </c>
      <c r="W119" s="55">
        <f t="shared" ref="W119:AA119" si="998">+SUM(W117:W118)</f>
        <v>140</v>
      </c>
      <c r="X119" s="55">
        <f t="shared" si="998"/>
        <v>240</v>
      </c>
      <c r="Y119" s="55">
        <f t="shared" si="998"/>
        <v>0</v>
      </c>
      <c r="Z119" s="55">
        <f t="shared" si="998"/>
        <v>172.5</v>
      </c>
      <c r="AA119" s="55">
        <f t="shared" si="998"/>
        <v>0</v>
      </c>
      <c r="AB119" s="55">
        <f t="shared" ref="AB119" si="999">+SUM(AB117:AB118)</f>
        <v>60</v>
      </c>
      <c r="AC119" s="55">
        <f t="shared" ref="AC119:AD119" si="1000">+SUM(AC117:AC118)</f>
        <v>60</v>
      </c>
      <c r="AD119" s="55">
        <f t="shared" si="1000"/>
        <v>222.5</v>
      </c>
      <c r="AE119" s="55">
        <f t="shared" ref="AE119" si="1001">+SUM(AE117:AE118)</f>
        <v>60</v>
      </c>
      <c r="AF119" s="55">
        <f t="shared" ref="AF119:AG119" si="1002">+SUM(AF117:AF118)</f>
        <v>135</v>
      </c>
      <c r="AG119" s="55">
        <f t="shared" si="1002"/>
        <v>78.75</v>
      </c>
      <c r="AH119" s="55">
        <f t="shared" ref="AH119" si="1003">+SUM(AH117:AH118)</f>
        <v>187.5</v>
      </c>
      <c r="AI119" s="55">
        <f t="shared" ref="AI119:AJ119" si="1004">+SUM(AI117:AI118)</f>
        <v>322.5</v>
      </c>
      <c r="AJ119" s="360">
        <f t="shared" si="1004"/>
        <v>75</v>
      </c>
      <c r="AK119" s="55">
        <f t="shared" ref="AK119" si="1005">+SUM(AK117:AK118)</f>
        <v>0</v>
      </c>
      <c r="AL119" s="55">
        <f t="shared" si="997"/>
        <v>0</v>
      </c>
      <c r="AM119" s="360">
        <f t="shared" si="997"/>
        <v>0</v>
      </c>
      <c r="AN119" s="55">
        <f t="shared" si="997"/>
        <v>0</v>
      </c>
      <c r="AO119" s="55">
        <f t="shared" si="997"/>
        <v>0</v>
      </c>
      <c r="AP119" s="55">
        <f t="shared" si="997"/>
        <v>0</v>
      </c>
      <c r="AQ119" s="55">
        <f t="shared" si="997"/>
        <v>0</v>
      </c>
      <c r="AR119" s="55">
        <f t="shared" si="997"/>
        <v>0</v>
      </c>
      <c r="AS119" s="55">
        <f t="shared" si="997"/>
        <v>0</v>
      </c>
      <c r="AT119" s="55">
        <f t="shared" si="997"/>
        <v>0</v>
      </c>
      <c r="AU119" s="55">
        <f t="shared" si="997"/>
        <v>0</v>
      </c>
      <c r="AV119" s="55">
        <f t="shared" si="997"/>
        <v>0</v>
      </c>
      <c r="AW119" s="55">
        <f t="shared" si="997"/>
        <v>0</v>
      </c>
      <c r="AX119" s="55">
        <f t="shared" si="997"/>
        <v>0</v>
      </c>
      <c r="AY119" s="360">
        <f t="shared" si="997"/>
        <v>0</v>
      </c>
      <c r="AZ119" s="55">
        <f t="shared" si="997"/>
        <v>0</v>
      </c>
      <c r="BA119" s="55">
        <f t="shared" si="997"/>
        <v>0</v>
      </c>
      <c r="BB119" s="55">
        <f t="shared" si="997"/>
        <v>0</v>
      </c>
      <c r="BC119" s="55">
        <f t="shared" si="997"/>
        <v>0</v>
      </c>
      <c r="BD119" s="55">
        <f t="shared" si="997"/>
        <v>0</v>
      </c>
      <c r="BE119" s="55">
        <f t="shared" si="997"/>
        <v>0</v>
      </c>
      <c r="BF119" s="55">
        <f t="shared" si="997"/>
        <v>0</v>
      </c>
      <c r="BG119" s="55">
        <f t="shared" si="997"/>
        <v>0</v>
      </c>
      <c r="BH119" s="55">
        <f t="shared" si="997"/>
        <v>0</v>
      </c>
      <c r="BI119" s="55">
        <f t="shared" si="997"/>
        <v>0</v>
      </c>
      <c r="BJ119" s="55">
        <f t="shared" si="997"/>
        <v>0</v>
      </c>
      <c r="BK119" s="360">
        <f t="shared" si="997"/>
        <v>0</v>
      </c>
      <c r="BL119" s="55">
        <f t="shared" si="997"/>
        <v>0</v>
      </c>
      <c r="BM119" s="55">
        <f t="shared" si="997"/>
        <v>0</v>
      </c>
      <c r="BN119" s="55">
        <f t="shared" si="997"/>
        <v>0</v>
      </c>
      <c r="BO119" s="55">
        <f t="shared" si="997"/>
        <v>0</v>
      </c>
      <c r="BP119" s="55">
        <f t="shared" si="997"/>
        <v>0</v>
      </c>
      <c r="BQ119" s="55">
        <f t="shared" si="997"/>
        <v>0</v>
      </c>
      <c r="BR119" s="55">
        <f t="shared" si="997"/>
        <v>0</v>
      </c>
      <c r="BS119" s="55">
        <f t="shared" si="997"/>
        <v>0</v>
      </c>
      <c r="BT119" s="55">
        <f t="shared" si="997"/>
        <v>0</v>
      </c>
      <c r="BU119" s="55">
        <f t="shared" si="997"/>
        <v>0</v>
      </c>
      <c r="BV119" s="55">
        <f t="shared" si="997"/>
        <v>0</v>
      </c>
      <c r="BW119" s="360">
        <f t="shared" si="997"/>
        <v>0</v>
      </c>
      <c r="BX119" s="55">
        <f t="shared" si="997"/>
        <v>0</v>
      </c>
      <c r="BY119" s="55">
        <f t="shared" si="997"/>
        <v>0</v>
      </c>
      <c r="BZ119" s="55">
        <f t="shared" si="997"/>
        <v>0</v>
      </c>
      <c r="CA119" s="55">
        <f t="shared" si="997"/>
        <v>0</v>
      </c>
      <c r="CB119" s="55">
        <f t="shared" si="997"/>
        <v>0</v>
      </c>
      <c r="CC119" s="55">
        <f t="shared" ref="CC119:DG119" si="1006">+SUM(CC117:CC118)</f>
        <v>0</v>
      </c>
      <c r="CD119" s="55">
        <f t="shared" si="1006"/>
        <v>0</v>
      </c>
      <c r="CE119" s="55">
        <f t="shared" si="1006"/>
        <v>0</v>
      </c>
      <c r="CF119" s="55">
        <f t="shared" si="1006"/>
        <v>0</v>
      </c>
      <c r="CG119" s="55">
        <f t="shared" si="1006"/>
        <v>0</v>
      </c>
      <c r="CH119" s="55">
        <f t="shared" si="1006"/>
        <v>0</v>
      </c>
      <c r="CI119" s="360">
        <f t="shared" si="1006"/>
        <v>0</v>
      </c>
      <c r="CJ119" s="55">
        <f t="shared" si="1006"/>
        <v>0</v>
      </c>
      <c r="CK119" s="55">
        <f t="shared" si="1006"/>
        <v>0</v>
      </c>
      <c r="CL119" s="55">
        <f t="shared" si="1006"/>
        <v>0</v>
      </c>
      <c r="CM119" s="55">
        <f t="shared" si="1006"/>
        <v>0</v>
      </c>
      <c r="CN119" s="55">
        <f t="shared" si="1006"/>
        <v>0</v>
      </c>
      <c r="CO119" s="55">
        <f t="shared" si="1006"/>
        <v>0</v>
      </c>
      <c r="CP119" s="55">
        <f t="shared" si="1006"/>
        <v>0</v>
      </c>
      <c r="CQ119" s="55">
        <f t="shared" si="1006"/>
        <v>0</v>
      </c>
      <c r="CR119" s="55">
        <f t="shared" si="1006"/>
        <v>0</v>
      </c>
      <c r="CS119" s="55">
        <f t="shared" si="1006"/>
        <v>0</v>
      </c>
      <c r="CT119" s="55">
        <f t="shared" si="1006"/>
        <v>0</v>
      </c>
      <c r="CU119" s="360">
        <f t="shared" si="1006"/>
        <v>0</v>
      </c>
      <c r="CV119" s="55">
        <f t="shared" si="1006"/>
        <v>0</v>
      </c>
      <c r="CW119" s="55">
        <f t="shared" si="1006"/>
        <v>0</v>
      </c>
      <c r="CX119" s="55">
        <f t="shared" si="1006"/>
        <v>0</v>
      </c>
      <c r="CY119" s="55">
        <f t="shared" si="1006"/>
        <v>0</v>
      </c>
      <c r="CZ119" s="55">
        <f t="shared" si="1006"/>
        <v>0</v>
      </c>
      <c r="DA119" s="55">
        <f t="shared" si="1006"/>
        <v>0</v>
      </c>
      <c r="DB119" s="55">
        <f t="shared" si="1006"/>
        <v>0</v>
      </c>
      <c r="DC119" s="55">
        <f t="shared" si="1006"/>
        <v>0</v>
      </c>
      <c r="DD119" s="55">
        <f t="shared" si="1006"/>
        <v>0</v>
      </c>
      <c r="DE119" s="55">
        <f t="shared" si="1006"/>
        <v>0</v>
      </c>
      <c r="DF119" s="55">
        <f t="shared" si="1006"/>
        <v>0</v>
      </c>
      <c r="DG119" s="55">
        <f t="shared" si="1006"/>
        <v>0</v>
      </c>
    </row>
    <row r="120" spans="1:111" s="5" customFormat="1" x14ac:dyDescent="0.3">
      <c r="A120"/>
      <c r="B120" s="1" t="s">
        <v>28</v>
      </c>
      <c r="C120" s="1"/>
      <c r="D120" s="56">
        <f t="shared" ref="D120:J120" si="1007">(D111)+(D114)</f>
        <v>0</v>
      </c>
      <c r="E120" s="56">
        <f t="shared" si="1007"/>
        <v>0</v>
      </c>
      <c r="F120" s="56">
        <f t="shared" si="1007"/>
        <v>0</v>
      </c>
      <c r="G120" s="56">
        <f t="shared" si="1007"/>
        <v>0</v>
      </c>
      <c r="H120" s="56">
        <f t="shared" si="1007"/>
        <v>0</v>
      </c>
      <c r="I120" s="56">
        <f t="shared" si="1007"/>
        <v>0</v>
      </c>
      <c r="J120" s="56">
        <f t="shared" si="1007"/>
        <v>0</v>
      </c>
      <c r="K120" s="56">
        <f>K114+K111</f>
        <v>630</v>
      </c>
      <c r="L120" s="56">
        <f>L114+L111</f>
        <v>1678</v>
      </c>
      <c r="M120" s="56">
        <f>M114+M111</f>
        <v>3385.36</v>
      </c>
      <c r="N120" s="57">
        <f>N114+N111</f>
        <v>1822.4</v>
      </c>
      <c r="O120" s="57">
        <f>O114+O111</f>
        <v>844.1</v>
      </c>
      <c r="P120" s="57">
        <f>P114+P111+P119</f>
        <v>229.95999999999998</v>
      </c>
      <c r="Q120" s="57">
        <f t="shared" ref="Q120:CB120" si="1008">Q114+Q111+Q119</f>
        <v>281.95</v>
      </c>
      <c r="R120" s="57">
        <f t="shared" si="1008"/>
        <v>158.33999999999997</v>
      </c>
      <c r="S120" s="57">
        <f t="shared" si="1008"/>
        <v>642.92000000000007</v>
      </c>
      <c r="T120" s="57">
        <f t="shared" si="1008"/>
        <v>422.39</v>
      </c>
      <c r="U120" s="57">
        <f t="shared" si="1008"/>
        <v>823.56999999999994</v>
      </c>
      <c r="V120" s="57">
        <f t="shared" si="1008"/>
        <v>836.73</v>
      </c>
      <c r="W120" s="57">
        <f t="shared" ref="W120:AA120" si="1009">W114+W111+W119</f>
        <v>733.45</v>
      </c>
      <c r="X120" s="57">
        <f t="shared" si="1009"/>
        <v>2093.1800000000003</v>
      </c>
      <c r="Y120" s="57">
        <f t="shared" si="1009"/>
        <v>953.3</v>
      </c>
      <c r="Z120" s="57">
        <f t="shared" si="1009"/>
        <v>1059.99</v>
      </c>
      <c r="AA120" s="57">
        <f t="shared" si="1009"/>
        <v>1057.02</v>
      </c>
      <c r="AB120" s="57">
        <f t="shared" ref="AB120" si="1010">AB114+AB111+AB119</f>
        <v>1591.78</v>
      </c>
      <c r="AC120" s="57">
        <f t="shared" ref="AC120:AD120" si="1011">AC114+AC111+AC119</f>
        <v>1046.3200000000002</v>
      </c>
      <c r="AD120" s="57">
        <f t="shared" si="1011"/>
        <v>475.28999999999996</v>
      </c>
      <c r="AE120" s="57">
        <f t="shared" ref="AE120" si="1012">AE114+AE111+AE119</f>
        <v>1860.49</v>
      </c>
      <c r="AF120" s="57">
        <f t="shared" ref="AF120:AG120" si="1013">AF114+AF111+AF119</f>
        <v>2408.09</v>
      </c>
      <c r="AG120" s="57">
        <f t="shared" si="1013"/>
        <v>2419.46</v>
      </c>
      <c r="AH120" s="57">
        <f t="shared" ref="AH120" si="1014">AH114+AH111+AH119</f>
        <v>5806.49</v>
      </c>
      <c r="AI120" s="57">
        <f t="shared" ref="AI120:AJ120" si="1015">AI114+AI111+AI119</f>
        <v>6831.99</v>
      </c>
      <c r="AJ120" s="361">
        <f t="shared" si="1015"/>
        <v>7630.02</v>
      </c>
      <c r="AK120" s="57">
        <f t="shared" ref="AK120" si="1016">AK114+AK111+AK119</f>
        <v>7795.5470201233757</v>
      </c>
      <c r="AL120" s="57">
        <f t="shared" si="1008"/>
        <v>8570.2640551158202</v>
      </c>
      <c r="AM120" s="361">
        <f t="shared" si="1008"/>
        <v>9283.436183090851</v>
      </c>
      <c r="AN120" s="57">
        <f t="shared" si="1008"/>
        <v>9497.6962254252394</v>
      </c>
      <c r="AO120" s="57">
        <f t="shared" si="1008"/>
        <v>10956.406575595609</v>
      </c>
      <c r="AP120" s="57">
        <f t="shared" si="1008"/>
        <v>11749.752179573279</v>
      </c>
      <c r="AQ120" s="57">
        <f t="shared" si="1008"/>
        <v>12699.609566311628</v>
      </c>
      <c r="AR120" s="57">
        <f t="shared" si="1008"/>
        <v>14143.395277599735</v>
      </c>
      <c r="AS120" s="57">
        <f t="shared" si="1008"/>
        <v>14711.282035959048</v>
      </c>
      <c r="AT120" s="57">
        <f t="shared" si="1008"/>
        <v>15878.121096760235</v>
      </c>
      <c r="AU120" s="57">
        <f t="shared" si="1008"/>
        <v>17659.920137569967</v>
      </c>
      <c r="AV120" s="57">
        <f t="shared" si="1008"/>
        <v>19442.825687348824</v>
      </c>
      <c r="AW120" s="57">
        <f t="shared" si="1008"/>
        <v>20848.106846122588</v>
      </c>
      <c r="AX120" s="57">
        <f t="shared" si="1008"/>
        <v>21935.238757912128</v>
      </c>
      <c r="AY120" s="361">
        <f t="shared" si="1008"/>
        <v>23344.724090188516</v>
      </c>
      <c r="AZ120" s="57">
        <f t="shared" si="1008"/>
        <v>23673.33479639301</v>
      </c>
      <c r="BA120" s="57">
        <f t="shared" si="1008"/>
        <v>25227.61867817754</v>
      </c>
      <c r="BB120" s="57">
        <f t="shared" si="1008"/>
        <v>26643.919667615282</v>
      </c>
      <c r="BC120" s="57">
        <f t="shared" si="1008"/>
        <v>27604.1836748229</v>
      </c>
      <c r="BD120" s="57">
        <f t="shared" si="1008"/>
        <v>29136.913872178924</v>
      </c>
      <c r="BE120" s="57">
        <f t="shared" si="1008"/>
        <v>30329.190073572481</v>
      </c>
      <c r="BF120" s="57">
        <f t="shared" si="1008"/>
        <v>31522.021269471461</v>
      </c>
      <c r="BG120" s="57">
        <f t="shared" si="1008"/>
        <v>33556.258643951929</v>
      </c>
      <c r="BH120" s="57">
        <f t="shared" si="1008"/>
        <v>35587.115018756551</v>
      </c>
      <c r="BI120" s="57">
        <f t="shared" si="1008"/>
        <v>37039.142084246487</v>
      </c>
      <c r="BJ120" s="57">
        <f t="shared" si="1008"/>
        <v>38616.188601773349</v>
      </c>
      <c r="BK120" s="361">
        <f t="shared" si="1008"/>
        <v>40173.82911334512</v>
      </c>
      <c r="BL120" s="57">
        <f t="shared" si="1008"/>
        <v>40815.052056068002</v>
      </c>
      <c r="BM120" s="57">
        <f t="shared" si="1008"/>
        <v>42525.004210566331</v>
      </c>
      <c r="BN120" s="57">
        <f t="shared" si="1008"/>
        <v>44064.641050647464</v>
      </c>
      <c r="BO120" s="57">
        <f t="shared" si="1008"/>
        <v>44937.990483066722</v>
      </c>
      <c r="BP120" s="57">
        <f t="shared" si="1008"/>
        <v>46619.804098227913</v>
      </c>
      <c r="BQ120" s="57">
        <f t="shared" si="1008"/>
        <v>48172.220587378848</v>
      </c>
      <c r="BR120" s="57">
        <f t="shared" si="1008"/>
        <v>49336.905225419527</v>
      </c>
      <c r="BS120" s="57">
        <f t="shared" si="1008"/>
        <v>51793.864143306586</v>
      </c>
      <c r="BT120" s="57">
        <f t="shared" si="1008"/>
        <v>54180.393995704406</v>
      </c>
      <c r="BU120" s="57">
        <f t="shared" si="1008"/>
        <v>55677.980934072191</v>
      </c>
      <c r="BV120" s="57">
        <f t="shared" si="1008"/>
        <v>57456.017595607453</v>
      </c>
      <c r="BW120" s="361">
        <f t="shared" si="1008"/>
        <v>59170.669031807927</v>
      </c>
      <c r="BX120" s="57">
        <f t="shared" si="1008"/>
        <v>59644.425121620276</v>
      </c>
      <c r="BY120" s="57">
        <f t="shared" si="1008"/>
        <v>61632.31654493713</v>
      </c>
      <c r="BZ120" s="57">
        <f t="shared" si="1008"/>
        <v>63326.557784055723</v>
      </c>
      <c r="CA120" s="57">
        <f t="shared" si="1008"/>
        <v>63983.805017906445</v>
      </c>
      <c r="CB120" s="57">
        <f t="shared" si="1008"/>
        <v>65969.55161551229</v>
      </c>
      <c r="CC120" s="57">
        <f t="shared" ref="CC120:DG120" si="1017">CC114+CC111+CC119</f>
        <v>67679.818387123654</v>
      </c>
      <c r="CD120" s="57">
        <f t="shared" si="1017"/>
        <v>68756.409936736003</v>
      </c>
      <c r="CE120" s="57">
        <f t="shared" si="1017"/>
        <v>71830.136706758494</v>
      </c>
      <c r="CF120" s="57">
        <f t="shared" si="1017"/>
        <v>74623.784696158327</v>
      </c>
      <c r="CG120" s="57">
        <f t="shared" si="1017"/>
        <v>76310.923172323251</v>
      </c>
      <c r="CH120" s="57">
        <f t="shared" si="1017"/>
        <v>78347.304874131019</v>
      </c>
      <c r="CI120" s="361">
        <f t="shared" si="1017"/>
        <v>80212.105572485292</v>
      </c>
      <c r="CJ120" s="57">
        <f t="shared" si="1017"/>
        <v>80445.543467142459</v>
      </c>
      <c r="CK120" s="57">
        <f t="shared" si="1017"/>
        <v>82714.160930067883</v>
      </c>
      <c r="CL120" s="57">
        <f t="shared" si="1017"/>
        <v>84597.7416436036</v>
      </c>
      <c r="CM120" s="57">
        <f t="shared" si="1017"/>
        <v>85081.90169655958</v>
      </c>
      <c r="CN120" s="57">
        <f t="shared" si="1017"/>
        <v>87419.124652263694</v>
      </c>
      <c r="CO120" s="57">
        <f t="shared" si="1017"/>
        <v>89327.568032307754</v>
      </c>
      <c r="CP120" s="57">
        <f t="shared" si="1017"/>
        <v>90426.721199217864</v>
      </c>
      <c r="CQ120" s="57">
        <f t="shared" si="1017"/>
        <v>94294.521754873334</v>
      </c>
      <c r="CR120" s="57">
        <f t="shared" si="1017"/>
        <v>97660.703008740384</v>
      </c>
      <c r="CS120" s="57">
        <f t="shared" si="1017"/>
        <v>99652.264656030617</v>
      </c>
      <c r="CT120" s="57">
        <f t="shared" si="1017"/>
        <v>102056.46094110532</v>
      </c>
      <c r="CU120" s="361">
        <f t="shared" si="1017"/>
        <v>104221.54723350586</v>
      </c>
      <c r="CV120" s="57">
        <f t="shared" si="1017"/>
        <v>104040.16693361865</v>
      </c>
      <c r="CW120" s="57">
        <f t="shared" si="1017"/>
        <v>106776.19698091052</v>
      </c>
      <c r="CX120" s="57">
        <f t="shared" si="1017"/>
        <v>108917.07712240276</v>
      </c>
      <c r="CY120" s="57">
        <f t="shared" si="1017"/>
        <v>109149.31364908532</v>
      </c>
      <c r="CZ120" s="57">
        <f t="shared" si="1017"/>
        <v>111979.04161363111</v>
      </c>
      <c r="DA120" s="57">
        <f t="shared" si="1017"/>
        <v>114145.61887139654</v>
      </c>
      <c r="DB120" s="57">
        <f t="shared" si="1017"/>
        <v>115270.6412076586</v>
      </c>
      <c r="DC120" s="57">
        <f t="shared" si="1017"/>
        <v>120074.32821271126</v>
      </c>
      <c r="DD120" s="57">
        <f t="shared" si="1017"/>
        <v>124515.62505055635</v>
      </c>
      <c r="DE120" s="57">
        <f t="shared" si="1017"/>
        <v>126779.90732566646</v>
      </c>
      <c r="DF120" s="57">
        <f t="shared" si="1017"/>
        <v>129615.03394257599</v>
      </c>
      <c r="DG120" s="57">
        <f t="shared" si="1017"/>
        <v>132288.54006291131</v>
      </c>
    </row>
    <row r="121" spans="1:111" s="55" customFormat="1" x14ac:dyDescent="0.3">
      <c r="B121" s="55" t="s">
        <v>29</v>
      </c>
      <c r="D121" s="55">
        <f t="shared" ref="D121:M121" si="1018">D120</f>
        <v>0</v>
      </c>
      <c r="E121" s="55">
        <f t="shared" si="1018"/>
        <v>0</v>
      </c>
      <c r="F121" s="55">
        <f t="shared" si="1018"/>
        <v>0</v>
      </c>
      <c r="G121" s="55">
        <f t="shared" si="1018"/>
        <v>0</v>
      </c>
      <c r="H121" s="55">
        <f t="shared" si="1018"/>
        <v>0</v>
      </c>
      <c r="I121" s="55">
        <f t="shared" si="1018"/>
        <v>0</v>
      </c>
      <c r="J121" s="55">
        <f t="shared" si="1018"/>
        <v>0</v>
      </c>
      <c r="K121" s="55">
        <f t="shared" si="1018"/>
        <v>630</v>
      </c>
      <c r="L121" s="55">
        <f t="shared" si="1018"/>
        <v>1678</v>
      </c>
      <c r="M121" s="55">
        <f t="shared" si="1018"/>
        <v>3385.36</v>
      </c>
      <c r="N121" s="55">
        <f>N120</f>
        <v>1822.4</v>
      </c>
      <c r="O121" s="55">
        <f t="shared" ref="O121:BZ121" si="1019">O120</f>
        <v>844.1</v>
      </c>
      <c r="P121" s="55">
        <f t="shared" ref="P121:W121" si="1020">P120</f>
        <v>229.95999999999998</v>
      </c>
      <c r="Q121" s="55">
        <f t="shared" si="1020"/>
        <v>281.95</v>
      </c>
      <c r="R121" s="55">
        <f t="shared" si="1020"/>
        <v>158.33999999999997</v>
      </c>
      <c r="S121" s="55">
        <f t="shared" si="1020"/>
        <v>642.92000000000007</v>
      </c>
      <c r="T121" s="55">
        <f t="shared" si="1020"/>
        <v>422.39</v>
      </c>
      <c r="U121" s="55">
        <f t="shared" si="1020"/>
        <v>823.56999999999994</v>
      </c>
      <c r="V121" s="55">
        <f t="shared" si="1020"/>
        <v>836.73</v>
      </c>
      <c r="W121" s="55">
        <f t="shared" si="1020"/>
        <v>733.45</v>
      </c>
      <c r="X121" s="55">
        <f t="shared" ref="X121:Y121" si="1021">X120</f>
        <v>2093.1800000000003</v>
      </c>
      <c r="Y121" s="55">
        <f t="shared" si="1021"/>
        <v>953.3</v>
      </c>
      <c r="Z121" s="55">
        <f t="shared" ref="Z121" si="1022">Z120</f>
        <v>1059.99</v>
      </c>
      <c r="AA121" s="55">
        <f t="shared" ref="AA121:AB121" si="1023">AA120</f>
        <v>1057.02</v>
      </c>
      <c r="AB121" s="55">
        <f t="shared" si="1023"/>
        <v>1591.78</v>
      </c>
      <c r="AC121" s="55">
        <f t="shared" ref="AC121:AD121" si="1024">AC120</f>
        <v>1046.3200000000002</v>
      </c>
      <c r="AD121" s="55">
        <f t="shared" si="1024"/>
        <v>475.28999999999996</v>
      </c>
      <c r="AE121" s="55">
        <f t="shared" ref="AE121" si="1025">AE120</f>
        <v>1860.49</v>
      </c>
      <c r="AF121" s="55">
        <f t="shared" ref="AF121:AG121" si="1026">AF120</f>
        <v>2408.09</v>
      </c>
      <c r="AG121" s="55">
        <f t="shared" si="1026"/>
        <v>2419.46</v>
      </c>
      <c r="AH121" s="55">
        <f t="shared" ref="AH121" si="1027">AH120</f>
        <v>5806.49</v>
      </c>
      <c r="AI121" s="55">
        <f t="shared" ref="AI121:AJ121" si="1028">AI120</f>
        <v>6831.99</v>
      </c>
      <c r="AJ121" s="360">
        <f t="shared" si="1028"/>
        <v>7630.02</v>
      </c>
      <c r="AK121" s="55">
        <f t="shared" ref="AK121" si="1029">AK120</f>
        <v>7795.5470201233757</v>
      </c>
      <c r="AL121" s="55">
        <f t="shared" si="1019"/>
        <v>8570.2640551158202</v>
      </c>
      <c r="AM121" s="360">
        <f t="shared" si="1019"/>
        <v>9283.436183090851</v>
      </c>
      <c r="AN121" s="55">
        <f t="shared" si="1019"/>
        <v>9497.6962254252394</v>
      </c>
      <c r="AO121" s="55">
        <f t="shared" si="1019"/>
        <v>10956.406575595609</v>
      </c>
      <c r="AP121" s="55">
        <f t="shared" si="1019"/>
        <v>11749.752179573279</v>
      </c>
      <c r="AQ121" s="55">
        <f t="shared" si="1019"/>
        <v>12699.609566311628</v>
      </c>
      <c r="AR121" s="55">
        <f t="shared" si="1019"/>
        <v>14143.395277599735</v>
      </c>
      <c r="AS121" s="55">
        <f t="shared" si="1019"/>
        <v>14711.282035959048</v>
      </c>
      <c r="AT121" s="55">
        <f t="shared" si="1019"/>
        <v>15878.121096760235</v>
      </c>
      <c r="AU121" s="55">
        <f t="shared" si="1019"/>
        <v>17659.920137569967</v>
      </c>
      <c r="AV121" s="55">
        <f t="shared" si="1019"/>
        <v>19442.825687348824</v>
      </c>
      <c r="AW121" s="55">
        <f t="shared" si="1019"/>
        <v>20848.106846122588</v>
      </c>
      <c r="AX121" s="55">
        <f t="shared" si="1019"/>
        <v>21935.238757912128</v>
      </c>
      <c r="AY121" s="360">
        <f t="shared" si="1019"/>
        <v>23344.724090188516</v>
      </c>
      <c r="AZ121" s="55">
        <f t="shared" si="1019"/>
        <v>23673.33479639301</v>
      </c>
      <c r="BA121" s="55">
        <f t="shared" si="1019"/>
        <v>25227.61867817754</v>
      </c>
      <c r="BB121" s="55">
        <f t="shared" si="1019"/>
        <v>26643.919667615282</v>
      </c>
      <c r="BC121" s="55">
        <f t="shared" si="1019"/>
        <v>27604.1836748229</v>
      </c>
      <c r="BD121" s="55">
        <f t="shared" si="1019"/>
        <v>29136.913872178924</v>
      </c>
      <c r="BE121" s="55">
        <f t="shared" si="1019"/>
        <v>30329.190073572481</v>
      </c>
      <c r="BF121" s="55">
        <f t="shared" si="1019"/>
        <v>31522.021269471461</v>
      </c>
      <c r="BG121" s="55">
        <f t="shared" si="1019"/>
        <v>33556.258643951929</v>
      </c>
      <c r="BH121" s="55">
        <f t="shared" si="1019"/>
        <v>35587.115018756551</v>
      </c>
      <c r="BI121" s="55">
        <f t="shared" si="1019"/>
        <v>37039.142084246487</v>
      </c>
      <c r="BJ121" s="55">
        <f t="shared" si="1019"/>
        <v>38616.188601773349</v>
      </c>
      <c r="BK121" s="360">
        <f t="shared" si="1019"/>
        <v>40173.82911334512</v>
      </c>
      <c r="BL121" s="55">
        <f t="shared" si="1019"/>
        <v>40815.052056068002</v>
      </c>
      <c r="BM121" s="55">
        <f t="shared" si="1019"/>
        <v>42525.004210566331</v>
      </c>
      <c r="BN121" s="55">
        <f t="shared" si="1019"/>
        <v>44064.641050647464</v>
      </c>
      <c r="BO121" s="55">
        <f t="shared" si="1019"/>
        <v>44937.990483066722</v>
      </c>
      <c r="BP121" s="55">
        <f t="shared" si="1019"/>
        <v>46619.804098227913</v>
      </c>
      <c r="BQ121" s="55">
        <f t="shared" si="1019"/>
        <v>48172.220587378848</v>
      </c>
      <c r="BR121" s="55">
        <f t="shared" si="1019"/>
        <v>49336.905225419527</v>
      </c>
      <c r="BS121" s="55">
        <f t="shared" si="1019"/>
        <v>51793.864143306586</v>
      </c>
      <c r="BT121" s="55">
        <f t="shared" si="1019"/>
        <v>54180.393995704406</v>
      </c>
      <c r="BU121" s="55">
        <f t="shared" si="1019"/>
        <v>55677.980934072191</v>
      </c>
      <c r="BV121" s="55">
        <f t="shared" si="1019"/>
        <v>57456.017595607453</v>
      </c>
      <c r="BW121" s="360">
        <f t="shared" si="1019"/>
        <v>59170.669031807927</v>
      </c>
      <c r="BX121" s="55">
        <f t="shared" si="1019"/>
        <v>59644.425121620276</v>
      </c>
      <c r="BY121" s="55">
        <f t="shared" si="1019"/>
        <v>61632.31654493713</v>
      </c>
      <c r="BZ121" s="55">
        <f t="shared" si="1019"/>
        <v>63326.557784055723</v>
      </c>
      <c r="CA121" s="55">
        <f t="shared" ref="CA121:DG121" si="1030">CA120</f>
        <v>63983.805017906445</v>
      </c>
      <c r="CB121" s="55">
        <f t="shared" si="1030"/>
        <v>65969.55161551229</v>
      </c>
      <c r="CC121" s="55">
        <f t="shared" si="1030"/>
        <v>67679.818387123654</v>
      </c>
      <c r="CD121" s="55">
        <f t="shared" si="1030"/>
        <v>68756.409936736003</v>
      </c>
      <c r="CE121" s="55">
        <f t="shared" si="1030"/>
        <v>71830.136706758494</v>
      </c>
      <c r="CF121" s="55">
        <f t="shared" si="1030"/>
        <v>74623.784696158327</v>
      </c>
      <c r="CG121" s="55">
        <f t="shared" si="1030"/>
        <v>76310.923172323251</v>
      </c>
      <c r="CH121" s="55">
        <f t="shared" si="1030"/>
        <v>78347.304874131019</v>
      </c>
      <c r="CI121" s="360">
        <f t="shared" si="1030"/>
        <v>80212.105572485292</v>
      </c>
      <c r="CJ121" s="55">
        <f t="shared" si="1030"/>
        <v>80445.543467142459</v>
      </c>
      <c r="CK121" s="55">
        <f t="shared" si="1030"/>
        <v>82714.160930067883</v>
      </c>
      <c r="CL121" s="55">
        <f t="shared" si="1030"/>
        <v>84597.7416436036</v>
      </c>
      <c r="CM121" s="55">
        <f t="shared" si="1030"/>
        <v>85081.90169655958</v>
      </c>
      <c r="CN121" s="55">
        <f t="shared" si="1030"/>
        <v>87419.124652263694</v>
      </c>
      <c r="CO121" s="55">
        <f t="shared" si="1030"/>
        <v>89327.568032307754</v>
      </c>
      <c r="CP121" s="55">
        <f t="shared" si="1030"/>
        <v>90426.721199217864</v>
      </c>
      <c r="CQ121" s="55">
        <f t="shared" si="1030"/>
        <v>94294.521754873334</v>
      </c>
      <c r="CR121" s="55">
        <f t="shared" si="1030"/>
        <v>97660.703008740384</v>
      </c>
      <c r="CS121" s="55">
        <f t="shared" si="1030"/>
        <v>99652.264656030617</v>
      </c>
      <c r="CT121" s="55">
        <f t="shared" si="1030"/>
        <v>102056.46094110532</v>
      </c>
      <c r="CU121" s="360">
        <f t="shared" si="1030"/>
        <v>104221.54723350586</v>
      </c>
      <c r="CV121" s="55">
        <f t="shared" si="1030"/>
        <v>104040.16693361865</v>
      </c>
      <c r="CW121" s="55">
        <f t="shared" si="1030"/>
        <v>106776.19698091052</v>
      </c>
      <c r="CX121" s="55">
        <f t="shared" si="1030"/>
        <v>108917.07712240276</v>
      </c>
      <c r="CY121" s="55">
        <f t="shared" si="1030"/>
        <v>109149.31364908532</v>
      </c>
      <c r="CZ121" s="55">
        <f t="shared" si="1030"/>
        <v>111979.04161363111</v>
      </c>
      <c r="DA121" s="55">
        <f t="shared" si="1030"/>
        <v>114145.61887139654</v>
      </c>
      <c r="DB121" s="55">
        <f t="shared" si="1030"/>
        <v>115270.6412076586</v>
      </c>
      <c r="DC121" s="55">
        <f t="shared" si="1030"/>
        <v>120074.32821271126</v>
      </c>
      <c r="DD121" s="55">
        <f t="shared" si="1030"/>
        <v>124515.62505055635</v>
      </c>
      <c r="DE121" s="55">
        <f t="shared" si="1030"/>
        <v>126779.90732566646</v>
      </c>
      <c r="DF121" s="55">
        <f t="shared" si="1030"/>
        <v>129615.03394257599</v>
      </c>
      <c r="DG121" s="55">
        <f t="shared" si="1030"/>
        <v>132288.54006291131</v>
      </c>
    </row>
    <row r="122" spans="1:111" x14ac:dyDescent="0.3">
      <c r="B122" s="1" t="s">
        <v>30</v>
      </c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378"/>
      <c r="AK122" s="2"/>
      <c r="AM122" s="196"/>
      <c r="AY122" s="196"/>
      <c r="BK122" s="196"/>
      <c r="BW122" s="196"/>
      <c r="CI122" s="196"/>
      <c r="CU122" s="196"/>
    </row>
    <row r="123" spans="1:111" x14ac:dyDescent="0.3">
      <c r="B123" s="1" t="s">
        <v>31</v>
      </c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378"/>
      <c r="AK123" s="2"/>
      <c r="AM123" s="196"/>
      <c r="AY123" s="196"/>
      <c r="BK123" s="196"/>
      <c r="BW123" s="196"/>
      <c r="CI123" s="196"/>
      <c r="CU123" s="196"/>
    </row>
    <row r="124" spans="1:111" s="29" customFormat="1" x14ac:dyDescent="0.3">
      <c r="A124"/>
      <c r="B124" s="1" t="s">
        <v>209</v>
      </c>
      <c r="C124" s="1"/>
      <c r="D124" s="2"/>
      <c r="E124" s="2"/>
      <c r="F124" s="2"/>
      <c r="G124" s="2"/>
      <c r="H124" s="2"/>
      <c r="I124" s="2"/>
      <c r="J124" s="114">
        <v>0</v>
      </c>
      <c r="K124" s="114">
        <v>0</v>
      </c>
      <c r="L124" s="114">
        <v>0</v>
      </c>
      <c r="M124" s="114">
        <v>0</v>
      </c>
      <c r="N124" s="114">
        <v>0</v>
      </c>
      <c r="O124" s="114">
        <v>0</v>
      </c>
      <c r="P124" s="114">
        <v>75</v>
      </c>
      <c r="Q124" s="114">
        <v>75</v>
      </c>
      <c r="R124" s="114">
        <v>0</v>
      </c>
      <c r="S124" s="114">
        <v>75</v>
      </c>
      <c r="T124" s="114">
        <v>0</v>
      </c>
      <c r="U124" s="114">
        <v>225</v>
      </c>
      <c r="V124" s="114">
        <v>300</v>
      </c>
      <c r="W124" s="114">
        <v>375</v>
      </c>
      <c r="X124" s="114">
        <v>225</v>
      </c>
      <c r="Y124" s="114">
        <v>75</v>
      </c>
      <c r="Z124" s="114">
        <v>150</v>
      </c>
      <c r="AA124" s="114">
        <v>225</v>
      </c>
      <c r="AB124" s="114">
        <v>75</v>
      </c>
      <c r="AC124" s="114">
        <v>112.5</v>
      </c>
      <c r="AD124" s="114">
        <v>225</v>
      </c>
      <c r="AE124" s="114">
        <v>300</v>
      </c>
      <c r="AF124" s="114">
        <v>217.47</v>
      </c>
      <c r="AG124" s="114">
        <v>940.26</v>
      </c>
      <c r="AH124" s="114">
        <v>1632.37</v>
      </c>
      <c r="AI124" s="114">
        <v>1297.1199999999999</v>
      </c>
      <c r="AJ124" s="197">
        <v>1076.79</v>
      </c>
      <c r="AK124" s="232">
        <v>0</v>
      </c>
      <c r="AL124" s="9">
        <f t="shared" ref="AL124:CC124" si="1031">AK124</f>
        <v>0</v>
      </c>
      <c r="AM124" s="381">
        <f t="shared" si="1031"/>
        <v>0</v>
      </c>
      <c r="AN124" s="9">
        <f t="shared" si="1031"/>
        <v>0</v>
      </c>
      <c r="AO124" s="9">
        <f t="shared" si="1031"/>
        <v>0</v>
      </c>
      <c r="AP124" s="9">
        <f t="shared" si="1031"/>
        <v>0</v>
      </c>
      <c r="AQ124" s="9">
        <f t="shared" si="1031"/>
        <v>0</v>
      </c>
      <c r="AR124" s="9">
        <f t="shared" si="1031"/>
        <v>0</v>
      </c>
      <c r="AS124" s="9">
        <f t="shared" si="1031"/>
        <v>0</v>
      </c>
      <c r="AT124" s="9">
        <f t="shared" si="1031"/>
        <v>0</v>
      </c>
      <c r="AU124" s="9">
        <f t="shared" si="1031"/>
        <v>0</v>
      </c>
      <c r="AV124" s="9">
        <f t="shared" si="1031"/>
        <v>0</v>
      </c>
      <c r="AW124" s="9">
        <f t="shared" si="1031"/>
        <v>0</v>
      </c>
      <c r="AX124" s="9">
        <f t="shared" si="1031"/>
        <v>0</v>
      </c>
      <c r="AY124" s="381">
        <f t="shared" si="1031"/>
        <v>0</v>
      </c>
      <c r="AZ124" s="9">
        <f t="shared" si="1031"/>
        <v>0</v>
      </c>
      <c r="BA124" s="9">
        <f t="shared" si="1031"/>
        <v>0</v>
      </c>
      <c r="BB124" s="9">
        <f t="shared" si="1031"/>
        <v>0</v>
      </c>
      <c r="BC124" s="9">
        <f t="shared" si="1031"/>
        <v>0</v>
      </c>
      <c r="BD124" s="9">
        <f t="shared" si="1031"/>
        <v>0</v>
      </c>
      <c r="BE124" s="9">
        <f t="shared" si="1031"/>
        <v>0</v>
      </c>
      <c r="BF124" s="9">
        <f t="shared" si="1031"/>
        <v>0</v>
      </c>
      <c r="BG124" s="9">
        <f t="shared" si="1031"/>
        <v>0</v>
      </c>
      <c r="BH124" s="9">
        <f t="shared" si="1031"/>
        <v>0</v>
      </c>
      <c r="BI124" s="9">
        <f t="shared" si="1031"/>
        <v>0</v>
      </c>
      <c r="BJ124" s="9">
        <f t="shared" si="1031"/>
        <v>0</v>
      </c>
      <c r="BK124" s="381">
        <f t="shared" si="1031"/>
        <v>0</v>
      </c>
      <c r="BL124" s="9">
        <f t="shared" si="1031"/>
        <v>0</v>
      </c>
      <c r="BM124" s="9">
        <f t="shared" si="1031"/>
        <v>0</v>
      </c>
      <c r="BN124" s="9">
        <f t="shared" si="1031"/>
        <v>0</v>
      </c>
      <c r="BO124" s="9">
        <f t="shared" si="1031"/>
        <v>0</v>
      </c>
      <c r="BP124" s="9">
        <f t="shared" si="1031"/>
        <v>0</v>
      </c>
      <c r="BQ124" s="9">
        <f t="shared" si="1031"/>
        <v>0</v>
      </c>
      <c r="BR124" s="9">
        <f t="shared" si="1031"/>
        <v>0</v>
      </c>
      <c r="BS124" s="9">
        <f t="shared" si="1031"/>
        <v>0</v>
      </c>
      <c r="BT124" s="9">
        <f t="shared" si="1031"/>
        <v>0</v>
      </c>
      <c r="BU124" s="9">
        <f t="shared" si="1031"/>
        <v>0</v>
      </c>
      <c r="BV124" s="9">
        <f t="shared" si="1031"/>
        <v>0</v>
      </c>
      <c r="BW124" s="381">
        <f t="shared" si="1031"/>
        <v>0</v>
      </c>
      <c r="BX124" s="9">
        <f t="shared" si="1031"/>
        <v>0</v>
      </c>
      <c r="BY124" s="9">
        <f t="shared" si="1031"/>
        <v>0</v>
      </c>
      <c r="BZ124" s="9">
        <f t="shared" si="1031"/>
        <v>0</v>
      </c>
      <c r="CA124" s="9">
        <f t="shared" si="1031"/>
        <v>0</v>
      </c>
      <c r="CB124" s="9">
        <f t="shared" si="1031"/>
        <v>0</v>
      </c>
      <c r="CC124" s="9">
        <f t="shared" si="1031"/>
        <v>0</v>
      </c>
      <c r="CD124" s="9">
        <f t="shared" ref="CD124:DG124" si="1032">CC124</f>
        <v>0</v>
      </c>
      <c r="CE124" s="9">
        <f t="shared" si="1032"/>
        <v>0</v>
      </c>
      <c r="CF124" s="9">
        <f t="shared" si="1032"/>
        <v>0</v>
      </c>
      <c r="CG124" s="9">
        <f t="shared" si="1032"/>
        <v>0</v>
      </c>
      <c r="CH124" s="9">
        <f t="shared" si="1032"/>
        <v>0</v>
      </c>
      <c r="CI124" s="381">
        <f t="shared" si="1032"/>
        <v>0</v>
      </c>
      <c r="CJ124" s="9">
        <f t="shared" si="1032"/>
        <v>0</v>
      </c>
      <c r="CK124" s="9">
        <f t="shared" si="1032"/>
        <v>0</v>
      </c>
      <c r="CL124" s="9">
        <f t="shared" si="1032"/>
        <v>0</v>
      </c>
      <c r="CM124" s="9">
        <f t="shared" si="1032"/>
        <v>0</v>
      </c>
      <c r="CN124" s="9">
        <f t="shared" si="1032"/>
        <v>0</v>
      </c>
      <c r="CO124" s="9">
        <f t="shared" si="1032"/>
        <v>0</v>
      </c>
      <c r="CP124" s="9">
        <f t="shared" si="1032"/>
        <v>0</v>
      </c>
      <c r="CQ124" s="9">
        <f t="shared" si="1032"/>
        <v>0</v>
      </c>
      <c r="CR124" s="9">
        <f t="shared" si="1032"/>
        <v>0</v>
      </c>
      <c r="CS124" s="9">
        <f t="shared" si="1032"/>
        <v>0</v>
      </c>
      <c r="CT124" s="9">
        <f t="shared" si="1032"/>
        <v>0</v>
      </c>
      <c r="CU124" s="381">
        <f t="shared" si="1032"/>
        <v>0</v>
      </c>
      <c r="CV124" s="9">
        <f t="shared" si="1032"/>
        <v>0</v>
      </c>
      <c r="CW124" s="9">
        <f t="shared" si="1032"/>
        <v>0</v>
      </c>
      <c r="CX124" s="9">
        <f t="shared" si="1032"/>
        <v>0</v>
      </c>
      <c r="CY124" s="9">
        <f t="shared" si="1032"/>
        <v>0</v>
      </c>
      <c r="CZ124" s="9">
        <f t="shared" si="1032"/>
        <v>0</v>
      </c>
      <c r="DA124" s="9">
        <f t="shared" si="1032"/>
        <v>0</v>
      </c>
      <c r="DB124" s="9">
        <f t="shared" si="1032"/>
        <v>0</v>
      </c>
      <c r="DC124" s="9">
        <f t="shared" si="1032"/>
        <v>0</v>
      </c>
      <c r="DD124" s="9">
        <f t="shared" si="1032"/>
        <v>0</v>
      </c>
      <c r="DE124" s="9">
        <f t="shared" si="1032"/>
        <v>0</v>
      </c>
      <c r="DF124" s="9">
        <f t="shared" si="1032"/>
        <v>0</v>
      </c>
      <c r="DG124" s="9">
        <f t="shared" si="1032"/>
        <v>0</v>
      </c>
    </row>
    <row r="125" spans="1:111" x14ac:dyDescent="0.3">
      <c r="B125" s="1" t="s">
        <v>32</v>
      </c>
      <c r="C125" s="1"/>
      <c r="D125" s="2"/>
      <c r="E125" s="2"/>
      <c r="F125" s="2"/>
      <c r="G125" s="2"/>
      <c r="H125" s="2"/>
      <c r="I125" s="2"/>
      <c r="J125" s="54">
        <f t="shared" ref="J125:W125" si="1033">SUM(J124)</f>
        <v>0</v>
      </c>
      <c r="K125" s="54">
        <f t="shared" si="1033"/>
        <v>0</v>
      </c>
      <c r="L125" s="54">
        <f t="shared" si="1033"/>
        <v>0</v>
      </c>
      <c r="M125" s="54">
        <f t="shared" si="1033"/>
        <v>0</v>
      </c>
      <c r="N125" s="54">
        <f t="shared" si="1033"/>
        <v>0</v>
      </c>
      <c r="O125" s="54">
        <f t="shared" si="1033"/>
        <v>0</v>
      </c>
      <c r="P125" s="54">
        <f t="shared" si="1033"/>
        <v>75</v>
      </c>
      <c r="Q125" s="54">
        <f t="shared" si="1033"/>
        <v>75</v>
      </c>
      <c r="R125" s="54">
        <f t="shared" si="1033"/>
        <v>0</v>
      </c>
      <c r="S125" s="54">
        <f t="shared" si="1033"/>
        <v>75</v>
      </c>
      <c r="T125" s="54">
        <f t="shared" si="1033"/>
        <v>0</v>
      </c>
      <c r="U125" s="54">
        <f t="shared" si="1033"/>
        <v>225</v>
      </c>
      <c r="V125" s="54">
        <f t="shared" si="1033"/>
        <v>300</v>
      </c>
      <c r="W125" s="54">
        <f t="shared" si="1033"/>
        <v>375</v>
      </c>
      <c r="X125" s="54">
        <f t="shared" ref="X125:Y125" si="1034">SUM(X124)</f>
        <v>225</v>
      </c>
      <c r="Y125" s="54">
        <f t="shared" si="1034"/>
        <v>75</v>
      </c>
      <c r="Z125" s="54">
        <f t="shared" ref="Z125" si="1035">SUM(Z124)</f>
        <v>150</v>
      </c>
      <c r="AA125" s="54">
        <f t="shared" ref="AA125:AB125" si="1036">SUM(AA124)</f>
        <v>225</v>
      </c>
      <c r="AB125" s="54">
        <f t="shared" si="1036"/>
        <v>75</v>
      </c>
      <c r="AC125" s="54">
        <f t="shared" ref="AC125:AD125" si="1037">SUM(AC124)</f>
        <v>112.5</v>
      </c>
      <c r="AD125" s="54">
        <f t="shared" si="1037"/>
        <v>225</v>
      </c>
      <c r="AE125" s="54">
        <f t="shared" ref="AE125" si="1038">SUM(AE124)</f>
        <v>300</v>
      </c>
      <c r="AF125" s="54">
        <f t="shared" ref="AF125:AG125" si="1039">SUM(AF124)</f>
        <v>217.47</v>
      </c>
      <c r="AG125" s="54">
        <f t="shared" si="1039"/>
        <v>940.26</v>
      </c>
      <c r="AH125" s="54">
        <f t="shared" ref="AH125" si="1040">SUM(AH124)</f>
        <v>1632.37</v>
      </c>
      <c r="AI125" s="54">
        <f t="shared" ref="AI125:AJ125" si="1041">SUM(AI124)</f>
        <v>1297.1199999999999</v>
      </c>
      <c r="AJ125" s="374">
        <f t="shared" si="1041"/>
        <v>1076.79</v>
      </c>
      <c r="AK125" s="54">
        <f t="shared" ref="AK125" si="1042">SUM(AK124)</f>
        <v>0</v>
      </c>
      <c r="AL125" s="54">
        <f t="shared" ref="AL125:CC125" si="1043">SUM(AL124)</f>
        <v>0</v>
      </c>
      <c r="AM125" s="374">
        <f t="shared" si="1043"/>
        <v>0</v>
      </c>
      <c r="AN125" s="54">
        <f t="shared" si="1043"/>
        <v>0</v>
      </c>
      <c r="AO125" s="54">
        <f t="shared" si="1043"/>
        <v>0</v>
      </c>
      <c r="AP125" s="54">
        <f t="shared" si="1043"/>
        <v>0</v>
      </c>
      <c r="AQ125" s="54">
        <f t="shared" si="1043"/>
        <v>0</v>
      </c>
      <c r="AR125" s="54">
        <f t="shared" si="1043"/>
        <v>0</v>
      </c>
      <c r="AS125" s="54">
        <f t="shared" si="1043"/>
        <v>0</v>
      </c>
      <c r="AT125" s="54">
        <f t="shared" si="1043"/>
        <v>0</v>
      </c>
      <c r="AU125" s="54">
        <f t="shared" si="1043"/>
        <v>0</v>
      </c>
      <c r="AV125" s="54">
        <f t="shared" si="1043"/>
        <v>0</v>
      </c>
      <c r="AW125" s="54">
        <f t="shared" si="1043"/>
        <v>0</v>
      </c>
      <c r="AX125" s="54">
        <f t="shared" si="1043"/>
        <v>0</v>
      </c>
      <c r="AY125" s="374">
        <f t="shared" si="1043"/>
        <v>0</v>
      </c>
      <c r="AZ125" s="54">
        <f t="shared" si="1043"/>
        <v>0</v>
      </c>
      <c r="BA125" s="54">
        <f t="shared" si="1043"/>
        <v>0</v>
      </c>
      <c r="BB125" s="54">
        <f t="shared" si="1043"/>
        <v>0</v>
      </c>
      <c r="BC125" s="54">
        <f t="shared" si="1043"/>
        <v>0</v>
      </c>
      <c r="BD125" s="54">
        <f t="shared" si="1043"/>
        <v>0</v>
      </c>
      <c r="BE125" s="54">
        <f t="shared" si="1043"/>
        <v>0</v>
      </c>
      <c r="BF125" s="54">
        <f t="shared" si="1043"/>
        <v>0</v>
      </c>
      <c r="BG125" s="54">
        <f t="shared" si="1043"/>
        <v>0</v>
      </c>
      <c r="BH125" s="54">
        <f t="shared" si="1043"/>
        <v>0</v>
      </c>
      <c r="BI125" s="54">
        <f t="shared" si="1043"/>
        <v>0</v>
      </c>
      <c r="BJ125" s="54">
        <f t="shared" si="1043"/>
        <v>0</v>
      </c>
      <c r="BK125" s="374">
        <f t="shared" si="1043"/>
        <v>0</v>
      </c>
      <c r="BL125" s="54">
        <f t="shared" si="1043"/>
        <v>0</v>
      </c>
      <c r="BM125" s="54">
        <f t="shared" si="1043"/>
        <v>0</v>
      </c>
      <c r="BN125" s="54">
        <f t="shared" si="1043"/>
        <v>0</v>
      </c>
      <c r="BO125" s="54">
        <f t="shared" si="1043"/>
        <v>0</v>
      </c>
      <c r="BP125" s="54">
        <f t="shared" si="1043"/>
        <v>0</v>
      </c>
      <c r="BQ125" s="54">
        <f t="shared" si="1043"/>
        <v>0</v>
      </c>
      <c r="BR125" s="54">
        <f t="shared" si="1043"/>
        <v>0</v>
      </c>
      <c r="BS125" s="54">
        <f t="shared" si="1043"/>
        <v>0</v>
      </c>
      <c r="BT125" s="54">
        <f t="shared" si="1043"/>
        <v>0</v>
      </c>
      <c r="BU125" s="54">
        <f t="shared" si="1043"/>
        <v>0</v>
      </c>
      <c r="BV125" s="54">
        <f t="shared" si="1043"/>
        <v>0</v>
      </c>
      <c r="BW125" s="374">
        <f t="shared" si="1043"/>
        <v>0</v>
      </c>
      <c r="BX125" s="54">
        <f t="shared" si="1043"/>
        <v>0</v>
      </c>
      <c r="BY125" s="54">
        <f t="shared" si="1043"/>
        <v>0</v>
      </c>
      <c r="BZ125" s="54">
        <f t="shared" si="1043"/>
        <v>0</v>
      </c>
      <c r="CA125" s="54">
        <f t="shared" si="1043"/>
        <v>0</v>
      </c>
      <c r="CB125" s="54">
        <f t="shared" si="1043"/>
        <v>0</v>
      </c>
      <c r="CC125" s="54">
        <f t="shared" si="1043"/>
        <v>0</v>
      </c>
      <c r="CD125" s="54">
        <f t="shared" ref="CD125:DG125" si="1044">SUM(CD124)</f>
        <v>0</v>
      </c>
      <c r="CE125" s="54">
        <f t="shared" si="1044"/>
        <v>0</v>
      </c>
      <c r="CF125" s="54">
        <f t="shared" si="1044"/>
        <v>0</v>
      </c>
      <c r="CG125" s="54">
        <f t="shared" si="1044"/>
        <v>0</v>
      </c>
      <c r="CH125" s="54">
        <f t="shared" si="1044"/>
        <v>0</v>
      </c>
      <c r="CI125" s="374">
        <f t="shared" si="1044"/>
        <v>0</v>
      </c>
      <c r="CJ125" s="54">
        <f t="shared" si="1044"/>
        <v>0</v>
      </c>
      <c r="CK125" s="54">
        <f t="shared" si="1044"/>
        <v>0</v>
      </c>
      <c r="CL125" s="54">
        <f t="shared" si="1044"/>
        <v>0</v>
      </c>
      <c r="CM125" s="54">
        <f t="shared" si="1044"/>
        <v>0</v>
      </c>
      <c r="CN125" s="54">
        <f t="shared" si="1044"/>
        <v>0</v>
      </c>
      <c r="CO125" s="54">
        <f t="shared" si="1044"/>
        <v>0</v>
      </c>
      <c r="CP125" s="54">
        <f t="shared" si="1044"/>
        <v>0</v>
      </c>
      <c r="CQ125" s="54">
        <f t="shared" si="1044"/>
        <v>0</v>
      </c>
      <c r="CR125" s="54">
        <f t="shared" si="1044"/>
        <v>0</v>
      </c>
      <c r="CS125" s="54">
        <f t="shared" si="1044"/>
        <v>0</v>
      </c>
      <c r="CT125" s="54">
        <f t="shared" si="1044"/>
        <v>0</v>
      </c>
      <c r="CU125" s="374">
        <f t="shared" si="1044"/>
        <v>0</v>
      </c>
      <c r="CV125" s="54">
        <f t="shared" si="1044"/>
        <v>0</v>
      </c>
      <c r="CW125" s="54">
        <f t="shared" si="1044"/>
        <v>0</v>
      </c>
      <c r="CX125" s="54">
        <f t="shared" si="1044"/>
        <v>0</v>
      </c>
      <c r="CY125" s="54">
        <f t="shared" si="1044"/>
        <v>0</v>
      </c>
      <c r="CZ125" s="54">
        <f t="shared" si="1044"/>
        <v>0</v>
      </c>
      <c r="DA125" s="54">
        <f t="shared" si="1044"/>
        <v>0</v>
      </c>
      <c r="DB125" s="54">
        <f t="shared" si="1044"/>
        <v>0</v>
      </c>
      <c r="DC125" s="54">
        <f t="shared" si="1044"/>
        <v>0</v>
      </c>
      <c r="DD125" s="54">
        <f t="shared" si="1044"/>
        <v>0</v>
      </c>
      <c r="DE125" s="54">
        <f t="shared" si="1044"/>
        <v>0</v>
      </c>
      <c r="DF125" s="54">
        <f t="shared" si="1044"/>
        <v>0</v>
      </c>
      <c r="DG125" s="54">
        <f t="shared" si="1044"/>
        <v>0</v>
      </c>
    </row>
    <row r="126" spans="1:111" x14ac:dyDescent="0.3">
      <c r="B126" s="1" t="s">
        <v>33</v>
      </c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6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378"/>
      <c r="AK126" s="2"/>
      <c r="AM126" s="196"/>
      <c r="AY126" s="196"/>
      <c r="BK126" s="196"/>
      <c r="BW126" s="196"/>
      <c r="CI126" s="196"/>
      <c r="CU126" s="196"/>
    </row>
    <row r="127" spans="1:111" x14ac:dyDescent="0.3">
      <c r="B127" s="1" t="s">
        <v>34</v>
      </c>
      <c r="C127" s="1"/>
      <c r="D127" s="114">
        <f>0</f>
        <v>0</v>
      </c>
      <c r="E127" s="114">
        <f>0</f>
        <v>0</v>
      </c>
      <c r="F127" s="114">
        <f>0</f>
        <v>0</v>
      </c>
      <c r="G127" s="114">
        <f>0</f>
        <v>0</v>
      </c>
      <c r="H127" s="114">
        <f>0</f>
        <v>0</v>
      </c>
      <c r="I127" s="114">
        <f>0</f>
        <v>0</v>
      </c>
      <c r="J127" s="112">
        <v>0</v>
      </c>
      <c r="K127" s="112">
        <v>255</v>
      </c>
      <c r="L127" s="112">
        <v>255</v>
      </c>
      <c r="M127" s="114">
        <v>344</v>
      </c>
      <c r="N127" s="114">
        <v>344</v>
      </c>
      <c r="O127" s="114">
        <v>344</v>
      </c>
      <c r="P127" s="114">
        <v>344</v>
      </c>
      <c r="Q127" s="114">
        <v>344</v>
      </c>
      <c r="R127" s="114">
        <v>344</v>
      </c>
      <c r="S127" s="114">
        <v>344</v>
      </c>
      <c r="T127" s="114">
        <v>662.53</v>
      </c>
      <c r="U127" s="114">
        <v>712.53</v>
      </c>
      <c r="V127" s="114">
        <v>712.53</v>
      </c>
      <c r="W127" s="114">
        <v>712.53</v>
      </c>
      <c r="X127" s="114">
        <v>712.53</v>
      </c>
      <c r="Y127" s="114">
        <v>773.75</v>
      </c>
      <c r="Z127" s="114">
        <v>873.75</v>
      </c>
      <c r="AA127" s="114">
        <v>873.75</v>
      </c>
      <c r="AB127" s="114">
        <v>873.75</v>
      </c>
      <c r="AC127" s="114">
        <v>873.75</v>
      </c>
      <c r="AD127" s="114">
        <v>873.75</v>
      </c>
      <c r="AE127" s="114">
        <v>3273.75</v>
      </c>
      <c r="AF127" s="114">
        <v>3273.75</v>
      </c>
      <c r="AG127" s="114">
        <v>3273.75</v>
      </c>
      <c r="AH127" s="114">
        <v>3273.75</v>
      </c>
      <c r="AI127" s="114">
        <v>3273.75</v>
      </c>
      <c r="AJ127" s="197">
        <v>3273.75</v>
      </c>
      <c r="AK127" s="235">
        <f>AJ127</f>
        <v>3273.75</v>
      </c>
      <c r="AL127" s="114">
        <f t="shared" ref="AL127:CA127" si="1045">AK127</f>
        <v>3273.75</v>
      </c>
      <c r="AM127" s="197">
        <f t="shared" si="1045"/>
        <v>3273.75</v>
      </c>
      <c r="AN127" s="114">
        <f t="shared" si="1045"/>
        <v>3273.75</v>
      </c>
      <c r="AO127" s="114">
        <f t="shared" si="1045"/>
        <v>3273.75</v>
      </c>
      <c r="AP127" s="114">
        <f t="shared" si="1045"/>
        <v>3273.75</v>
      </c>
      <c r="AQ127" s="114">
        <f t="shared" si="1045"/>
        <v>3273.75</v>
      </c>
      <c r="AR127" s="114">
        <f t="shared" si="1045"/>
        <v>3273.75</v>
      </c>
      <c r="AS127" s="114">
        <f t="shared" si="1045"/>
        <v>3273.75</v>
      </c>
      <c r="AT127" s="114">
        <f t="shared" si="1045"/>
        <v>3273.75</v>
      </c>
      <c r="AU127" s="114">
        <f t="shared" si="1045"/>
        <v>3273.75</v>
      </c>
      <c r="AV127" s="114">
        <f t="shared" si="1045"/>
        <v>3273.75</v>
      </c>
      <c r="AW127" s="114">
        <f t="shared" si="1045"/>
        <v>3273.75</v>
      </c>
      <c r="AX127" s="114">
        <f t="shared" si="1045"/>
        <v>3273.75</v>
      </c>
      <c r="AY127" s="197">
        <f t="shared" si="1045"/>
        <v>3273.75</v>
      </c>
      <c r="AZ127" s="114">
        <f t="shared" si="1045"/>
        <v>3273.75</v>
      </c>
      <c r="BA127" s="114">
        <f t="shared" si="1045"/>
        <v>3273.75</v>
      </c>
      <c r="BB127" s="114">
        <f t="shared" si="1045"/>
        <v>3273.75</v>
      </c>
      <c r="BC127" s="114">
        <f t="shared" si="1045"/>
        <v>3273.75</v>
      </c>
      <c r="BD127" s="114">
        <f t="shared" si="1045"/>
        <v>3273.75</v>
      </c>
      <c r="BE127" s="114">
        <f t="shared" si="1045"/>
        <v>3273.75</v>
      </c>
      <c r="BF127" s="114">
        <f t="shared" si="1045"/>
        <v>3273.75</v>
      </c>
      <c r="BG127" s="114">
        <f t="shared" si="1045"/>
        <v>3273.75</v>
      </c>
      <c r="BH127" s="114">
        <f t="shared" si="1045"/>
        <v>3273.75</v>
      </c>
      <c r="BI127" s="114">
        <f t="shared" si="1045"/>
        <v>3273.75</v>
      </c>
      <c r="BJ127" s="114">
        <f t="shared" si="1045"/>
        <v>3273.75</v>
      </c>
      <c r="BK127" s="197">
        <f t="shared" si="1045"/>
        <v>3273.75</v>
      </c>
      <c r="BL127" s="114">
        <f t="shared" si="1045"/>
        <v>3273.75</v>
      </c>
      <c r="BM127" s="114">
        <f t="shared" si="1045"/>
        <v>3273.75</v>
      </c>
      <c r="BN127" s="114">
        <f t="shared" si="1045"/>
        <v>3273.75</v>
      </c>
      <c r="BO127" s="114">
        <f t="shared" si="1045"/>
        <v>3273.75</v>
      </c>
      <c r="BP127" s="114">
        <f t="shared" si="1045"/>
        <v>3273.75</v>
      </c>
      <c r="BQ127" s="114">
        <f t="shared" si="1045"/>
        <v>3273.75</v>
      </c>
      <c r="BR127" s="114">
        <f t="shared" si="1045"/>
        <v>3273.75</v>
      </c>
      <c r="BS127" s="114">
        <f t="shared" si="1045"/>
        <v>3273.75</v>
      </c>
      <c r="BT127" s="114">
        <f t="shared" si="1045"/>
        <v>3273.75</v>
      </c>
      <c r="BU127" s="114">
        <f t="shared" si="1045"/>
        <v>3273.75</v>
      </c>
      <c r="BV127" s="114">
        <f t="shared" si="1045"/>
        <v>3273.75</v>
      </c>
      <c r="BW127" s="197">
        <f t="shared" si="1045"/>
        <v>3273.75</v>
      </c>
      <c r="BX127" s="114">
        <f t="shared" si="1045"/>
        <v>3273.75</v>
      </c>
      <c r="BY127" s="114">
        <f t="shared" si="1045"/>
        <v>3273.75</v>
      </c>
      <c r="BZ127" s="114">
        <f t="shared" si="1045"/>
        <v>3273.75</v>
      </c>
      <c r="CA127" s="114">
        <f t="shared" si="1045"/>
        <v>3273.75</v>
      </c>
      <c r="CB127" s="114">
        <f t="shared" ref="CB127:DG127" si="1046">CA127</f>
        <v>3273.75</v>
      </c>
      <c r="CC127" s="114">
        <f t="shared" si="1046"/>
        <v>3273.75</v>
      </c>
      <c r="CD127" s="114">
        <f t="shared" si="1046"/>
        <v>3273.75</v>
      </c>
      <c r="CE127" s="114">
        <f t="shared" si="1046"/>
        <v>3273.75</v>
      </c>
      <c r="CF127" s="114">
        <f t="shared" si="1046"/>
        <v>3273.75</v>
      </c>
      <c r="CG127" s="114">
        <f t="shared" si="1046"/>
        <v>3273.75</v>
      </c>
      <c r="CH127" s="114">
        <f t="shared" si="1046"/>
        <v>3273.75</v>
      </c>
      <c r="CI127" s="197">
        <f t="shared" si="1046"/>
        <v>3273.75</v>
      </c>
      <c r="CJ127" s="114">
        <f t="shared" si="1046"/>
        <v>3273.75</v>
      </c>
      <c r="CK127" s="114">
        <f t="shared" si="1046"/>
        <v>3273.75</v>
      </c>
      <c r="CL127" s="114">
        <f t="shared" si="1046"/>
        <v>3273.75</v>
      </c>
      <c r="CM127" s="114">
        <f t="shared" si="1046"/>
        <v>3273.75</v>
      </c>
      <c r="CN127" s="114">
        <f t="shared" si="1046"/>
        <v>3273.75</v>
      </c>
      <c r="CO127" s="114">
        <f t="shared" si="1046"/>
        <v>3273.75</v>
      </c>
      <c r="CP127" s="114">
        <f t="shared" si="1046"/>
        <v>3273.75</v>
      </c>
      <c r="CQ127" s="114">
        <f t="shared" si="1046"/>
        <v>3273.75</v>
      </c>
      <c r="CR127" s="114">
        <f t="shared" si="1046"/>
        <v>3273.75</v>
      </c>
      <c r="CS127" s="114">
        <f t="shared" si="1046"/>
        <v>3273.75</v>
      </c>
      <c r="CT127" s="114">
        <f t="shared" si="1046"/>
        <v>3273.75</v>
      </c>
      <c r="CU127" s="197">
        <f t="shared" si="1046"/>
        <v>3273.75</v>
      </c>
      <c r="CV127" s="114">
        <f t="shared" si="1046"/>
        <v>3273.75</v>
      </c>
      <c r="CW127" s="114">
        <f t="shared" si="1046"/>
        <v>3273.75</v>
      </c>
      <c r="CX127" s="114">
        <f t="shared" si="1046"/>
        <v>3273.75</v>
      </c>
      <c r="CY127" s="114">
        <f t="shared" si="1046"/>
        <v>3273.75</v>
      </c>
      <c r="CZ127" s="114">
        <f t="shared" si="1046"/>
        <v>3273.75</v>
      </c>
      <c r="DA127" s="114">
        <f t="shared" si="1046"/>
        <v>3273.75</v>
      </c>
      <c r="DB127" s="114">
        <f t="shared" si="1046"/>
        <v>3273.75</v>
      </c>
      <c r="DC127" s="114">
        <f t="shared" si="1046"/>
        <v>3273.75</v>
      </c>
      <c r="DD127" s="114">
        <f t="shared" si="1046"/>
        <v>3273.75</v>
      </c>
      <c r="DE127" s="114">
        <f t="shared" si="1046"/>
        <v>3273.75</v>
      </c>
      <c r="DF127" s="114">
        <f t="shared" si="1046"/>
        <v>3273.75</v>
      </c>
      <c r="DG127" s="114">
        <f t="shared" si="1046"/>
        <v>3273.75</v>
      </c>
    </row>
    <row r="128" spans="1:111" x14ac:dyDescent="0.3">
      <c r="B128" s="1" t="s">
        <v>35</v>
      </c>
      <c r="C128" s="1"/>
      <c r="D128" s="114">
        <f>0</f>
        <v>0</v>
      </c>
      <c r="E128" s="114">
        <f>0</f>
        <v>0</v>
      </c>
      <c r="F128" s="114">
        <f>0</f>
        <v>0</v>
      </c>
      <c r="G128" s="114">
        <f>0</f>
        <v>0</v>
      </c>
      <c r="H128" s="114">
        <f>0</f>
        <v>0</v>
      </c>
      <c r="I128" s="114">
        <f>0</f>
        <v>0</v>
      </c>
      <c r="J128" s="112">
        <v>0</v>
      </c>
      <c r="K128" s="112">
        <v>0</v>
      </c>
      <c r="L128" s="112">
        <v>0</v>
      </c>
      <c r="M128" s="114">
        <v>-350</v>
      </c>
      <c r="N128" s="114">
        <v>-3530.76</v>
      </c>
      <c r="O128" s="114">
        <v>-6379.47</v>
      </c>
      <c r="P128" s="114">
        <v>-8379.4699999999993</v>
      </c>
      <c r="Q128" s="114">
        <v>-9429.4699999999993</v>
      </c>
      <c r="R128" s="114">
        <v>-10579.47</v>
      </c>
      <c r="S128" s="114">
        <v>-11854.47</v>
      </c>
      <c r="T128" s="114">
        <v>-14254.47</v>
      </c>
      <c r="U128" s="114">
        <v>-15524.47</v>
      </c>
      <c r="V128" s="114">
        <v>-17989.080000000002</v>
      </c>
      <c r="W128" s="114">
        <v>-24394.080000000002</v>
      </c>
      <c r="X128" s="114">
        <v>-29994.080000000002</v>
      </c>
      <c r="Y128" s="114">
        <v>-37894.080000000002</v>
      </c>
      <c r="Z128" s="114">
        <v>-41994.080000000002</v>
      </c>
      <c r="AA128" s="114">
        <v>-43419.08</v>
      </c>
      <c r="AB128" s="114">
        <v>-45319.08</v>
      </c>
      <c r="AC128" s="114">
        <v>-48644.08</v>
      </c>
      <c r="AD128" s="114">
        <v>-51864.08</v>
      </c>
      <c r="AE128" s="114">
        <v>-54189.08</v>
      </c>
      <c r="AF128" s="114">
        <v>-58289.08</v>
      </c>
      <c r="AG128" s="114">
        <v>-61039.08</v>
      </c>
      <c r="AH128" s="114">
        <v>-63943.03</v>
      </c>
      <c r="AI128" s="114">
        <v>-73718.03</v>
      </c>
      <c r="AJ128" s="197">
        <v>-80485.53</v>
      </c>
      <c r="AK128" s="235">
        <f>AJ128+(AK99*-0.7)</f>
        <v>-83384.269713621208</v>
      </c>
      <c r="AL128" s="114">
        <f t="shared" ref="AL128:CT128" si="1047">AK128+(AL99*-0.7)</f>
        <v>-85191.942795270239</v>
      </c>
      <c r="AM128" s="197">
        <f t="shared" si="1047"/>
        <v>-86856.011093878667</v>
      </c>
      <c r="AN128" s="114">
        <f t="shared" si="1047"/>
        <v>-87355.951192658918</v>
      </c>
      <c r="AO128" s="114">
        <f t="shared" si="1047"/>
        <v>-90759.608676389806</v>
      </c>
      <c r="AP128" s="114">
        <f t="shared" si="1047"/>
        <v>-92610.748419004391</v>
      </c>
      <c r="AQ128" s="114">
        <f t="shared" si="1047"/>
        <v>-94827.082321393857</v>
      </c>
      <c r="AR128" s="114">
        <f t="shared" si="1047"/>
        <v>-98195.915647732763</v>
      </c>
      <c r="AS128" s="114">
        <f t="shared" si="1047"/>
        <v>-99520.984750571166</v>
      </c>
      <c r="AT128" s="114">
        <f t="shared" si="1047"/>
        <v>-102243.60922577395</v>
      </c>
      <c r="AU128" s="114">
        <f t="shared" si="1047"/>
        <v>-106401.14032099667</v>
      </c>
      <c r="AV128" s="114">
        <f t="shared" si="1047"/>
        <v>-110561.25327048068</v>
      </c>
      <c r="AW128" s="114">
        <f t="shared" si="1047"/>
        <v>-113840.24264095278</v>
      </c>
      <c r="AX128" s="114">
        <f t="shared" si="1047"/>
        <v>-116376.88376846169</v>
      </c>
      <c r="AY128" s="197">
        <f t="shared" si="1047"/>
        <v>-119665.68287710658</v>
      </c>
      <c r="AZ128" s="114">
        <f t="shared" si="1047"/>
        <v>-120432.44119158374</v>
      </c>
      <c r="BA128" s="114">
        <f t="shared" si="1047"/>
        <v>-124059.10358241429</v>
      </c>
      <c r="BB128" s="114">
        <f t="shared" si="1047"/>
        <v>-127363.80589110235</v>
      </c>
      <c r="BC128" s="114">
        <f t="shared" si="1047"/>
        <v>-129604.42190792011</v>
      </c>
      <c r="BD128" s="114">
        <f t="shared" si="1047"/>
        <v>-133180.79236841749</v>
      </c>
      <c r="BE128" s="114">
        <f t="shared" si="1047"/>
        <v>-135962.77017166914</v>
      </c>
      <c r="BF128" s="114">
        <f t="shared" si="1047"/>
        <v>-138746.04296210007</v>
      </c>
      <c r="BG128" s="114">
        <f t="shared" si="1047"/>
        <v>-143492.59683588779</v>
      </c>
      <c r="BH128" s="114">
        <f t="shared" si="1047"/>
        <v>-148231.26171043192</v>
      </c>
      <c r="BI128" s="114">
        <f t="shared" si="1047"/>
        <v>-151619.32486324181</v>
      </c>
      <c r="BJ128" s="114">
        <f t="shared" si="1047"/>
        <v>-155299.10007080444</v>
      </c>
      <c r="BK128" s="197">
        <f t="shared" si="1047"/>
        <v>-158933.59459780526</v>
      </c>
      <c r="BL128" s="114">
        <f t="shared" si="1047"/>
        <v>-160429.78146415867</v>
      </c>
      <c r="BM128" s="114">
        <f t="shared" si="1047"/>
        <v>-164419.66982465479</v>
      </c>
      <c r="BN128" s="114">
        <f t="shared" si="1047"/>
        <v>-168012.15578484407</v>
      </c>
      <c r="BO128" s="114">
        <f t="shared" si="1047"/>
        <v>-170049.9711271557</v>
      </c>
      <c r="BP128" s="114">
        <f t="shared" si="1047"/>
        <v>-173974.20289586519</v>
      </c>
      <c r="BQ128" s="114">
        <f t="shared" si="1047"/>
        <v>-177596.50803721734</v>
      </c>
      <c r="BR128" s="114">
        <f t="shared" si="1047"/>
        <v>-180314.1055259789</v>
      </c>
      <c r="BS128" s="114">
        <f t="shared" si="1047"/>
        <v>-186047.00966771538</v>
      </c>
      <c r="BT128" s="114">
        <f t="shared" si="1047"/>
        <v>-191615.57932331026</v>
      </c>
      <c r="BU128" s="114">
        <f t="shared" si="1047"/>
        <v>-195109.94884616844</v>
      </c>
      <c r="BV128" s="114">
        <f t="shared" si="1047"/>
        <v>-199258.70105641734</v>
      </c>
      <c r="BW128" s="197">
        <f t="shared" si="1047"/>
        <v>-203259.55440755183</v>
      </c>
      <c r="BX128" s="114">
        <f t="shared" si="1047"/>
        <v>-204364.98528378064</v>
      </c>
      <c r="BY128" s="114">
        <f t="shared" si="1047"/>
        <v>-209003.39860485328</v>
      </c>
      <c r="BZ128" s="114">
        <f t="shared" si="1047"/>
        <v>-212956.6281627967</v>
      </c>
      <c r="CA128" s="114">
        <f t="shared" si="1047"/>
        <v>-214490.20504178171</v>
      </c>
      <c r="CB128" s="114">
        <f t="shared" si="1047"/>
        <v>-219123.61376952863</v>
      </c>
      <c r="CC128" s="114">
        <f t="shared" si="1047"/>
        <v>-223114.2362366218</v>
      </c>
      <c r="CD128" s="114">
        <f t="shared" si="1047"/>
        <v>-225626.28318571727</v>
      </c>
      <c r="CE128" s="114">
        <f t="shared" si="1047"/>
        <v>-232798.31231576978</v>
      </c>
      <c r="CF128" s="114">
        <f t="shared" si="1047"/>
        <v>-239316.82429103606</v>
      </c>
      <c r="CG128" s="114">
        <f t="shared" si="1047"/>
        <v>-243253.48073542083</v>
      </c>
      <c r="CH128" s="114">
        <f t="shared" si="1047"/>
        <v>-248005.03803963895</v>
      </c>
      <c r="CI128" s="197">
        <f t="shared" si="1047"/>
        <v>-252356.23966913225</v>
      </c>
      <c r="CJ128" s="114">
        <f t="shared" si="1047"/>
        <v>-252900.92808999895</v>
      </c>
      <c r="CK128" s="114">
        <f t="shared" si="1047"/>
        <v>-258194.36883682493</v>
      </c>
      <c r="CL128" s="114">
        <f t="shared" si="1047"/>
        <v>-262589.39050174155</v>
      </c>
      <c r="CM128" s="114">
        <f t="shared" si="1047"/>
        <v>-263719.09729197226</v>
      </c>
      <c r="CN128" s="114">
        <f t="shared" si="1047"/>
        <v>-269172.61752194859</v>
      </c>
      <c r="CO128" s="114">
        <f t="shared" si="1047"/>
        <v>-273625.6520753848</v>
      </c>
      <c r="CP128" s="114">
        <f t="shared" si="1047"/>
        <v>-276190.34279817494</v>
      </c>
      <c r="CQ128" s="114">
        <f t="shared" si="1047"/>
        <v>-285215.21076137095</v>
      </c>
      <c r="CR128" s="114">
        <f t="shared" si="1047"/>
        <v>-293069.63368706073</v>
      </c>
      <c r="CS128" s="114">
        <f t="shared" si="1047"/>
        <v>-297716.61086407135</v>
      </c>
      <c r="CT128" s="114">
        <f t="shared" si="1047"/>
        <v>-303326.40219591226</v>
      </c>
      <c r="CU128" s="197">
        <f t="shared" ref="CU128:DG128" si="1048">CT128+(CU99*-0.7)</f>
        <v>-308378.27021151356</v>
      </c>
      <c r="CV128" s="114">
        <f t="shared" si="1048"/>
        <v>-307955.04951177665</v>
      </c>
      <c r="CW128" s="114">
        <f t="shared" si="1048"/>
        <v>-314339.11962212436</v>
      </c>
      <c r="CX128" s="114">
        <f t="shared" si="1048"/>
        <v>-319334.50661893963</v>
      </c>
      <c r="CY128" s="114">
        <f t="shared" si="1048"/>
        <v>-319876.3918478656</v>
      </c>
      <c r="CZ128" s="114">
        <f t="shared" si="1048"/>
        <v>-326479.09043180576</v>
      </c>
      <c r="DA128" s="114">
        <f t="shared" si="1048"/>
        <v>-331534.43736659182</v>
      </c>
      <c r="DB128" s="114">
        <f t="shared" si="1048"/>
        <v>-334159.48948453658</v>
      </c>
      <c r="DC128" s="114">
        <f t="shared" si="1048"/>
        <v>-345368.09249632608</v>
      </c>
      <c r="DD128" s="114">
        <f t="shared" si="1048"/>
        <v>-355731.11845129792</v>
      </c>
      <c r="DE128" s="114">
        <f t="shared" si="1048"/>
        <v>-361014.44375988829</v>
      </c>
      <c r="DF128" s="114">
        <f t="shared" si="1048"/>
        <v>-367629.73919934378</v>
      </c>
      <c r="DG128" s="114">
        <f t="shared" si="1048"/>
        <v>-373867.92014679295</v>
      </c>
    </row>
    <row r="129" spans="1:111" s="3" customFormat="1" x14ac:dyDescent="0.3">
      <c r="A129"/>
      <c r="B129" s="1" t="s">
        <v>36</v>
      </c>
      <c r="C129" s="1"/>
      <c r="D129" s="114">
        <f>0</f>
        <v>0</v>
      </c>
      <c r="E129" s="114">
        <f>0</f>
        <v>0</v>
      </c>
      <c r="F129" s="114">
        <f>0</f>
        <v>0</v>
      </c>
      <c r="G129" s="114">
        <f>0</f>
        <v>0</v>
      </c>
      <c r="H129" s="114">
        <f>0</f>
        <v>0</v>
      </c>
      <c r="I129" s="114">
        <f>0</f>
        <v>0</v>
      </c>
      <c r="J129" s="112">
        <v>0</v>
      </c>
      <c r="K129" s="112">
        <v>0</v>
      </c>
      <c r="L129" s="112">
        <v>0</v>
      </c>
      <c r="M129" s="114">
        <v>0</v>
      </c>
      <c r="N129" s="114">
        <v>0</v>
      </c>
      <c r="O129" s="114">
        <v>0</v>
      </c>
      <c r="P129" s="114">
        <v>6879.57</v>
      </c>
      <c r="Q129" s="114">
        <v>6879.57</v>
      </c>
      <c r="R129" s="114">
        <v>6879.57</v>
      </c>
      <c r="S129" s="114">
        <v>6879.57</v>
      </c>
      <c r="T129" s="114">
        <v>6879.57</v>
      </c>
      <c r="U129" s="114">
        <v>6879.57</v>
      </c>
      <c r="V129" s="114">
        <v>6879.57</v>
      </c>
      <c r="W129" s="114">
        <v>6879.57</v>
      </c>
      <c r="X129" s="114">
        <v>6879.57</v>
      </c>
      <c r="Y129" s="114">
        <v>6879.57</v>
      </c>
      <c r="Z129" s="114">
        <v>6879.57</v>
      </c>
      <c r="AA129" s="114">
        <v>6879.57</v>
      </c>
      <c r="AB129" s="114">
        <v>43377.35</v>
      </c>
      <c r="AC129" s="114">
        <v>43377.35</v>
      </c>
      <c r="AD129" s="114">
        <v>43377.35</v>
      </c>
      <c r="AE129" s="114">
        <v>43377.35</v>
      </c>
      <c r="AF129" s="114">
        <v>43377.35</v>
      </c>
      <c r="AG129" s="114">
        <v>43377.35</v>
      </c>
      <c r="AH129" s="114">
        <v>43377.35</v>
      </c>
      <c r="AI129" s="114">
        <v>43377.35</v>
      </c>
      <c r="AJ129" s="197">
        <v>43377.35</v>
      </c>
      <c r="AK129" s="114">
        <f t="shared" ref="AK129:CA129" si="1049">AJ129</f>
        <v>43377.35</v>
      </c>
      <c r="AL129" s="114">
        <f t="shared" si="1049"/>
        <v>43377.35</v>
      </c>
      <c r="AM129" s="197">
        <f t="shared" si="1049"/>
        <v>43377.35</v>
      </c>
      <c r="AN129" s="232">
        <f>AM129+AM130</f>
        <v>92880.697276969528</v>
      </c>
      <c r="AO129" s="114">
        <f t="shared" si="1049"/>
        <v>92880.697276969528</v>
      </c>
      <c r="AP129" s="114">
        <f t="shared" si="1049"/>
        <v>92880.697276969528</v>
      </c>
      <c r="AQ129" s="114">
        <f t="shared" si="1049"/>
        <v>92880.697276969528</v>
      </c>
      <c r="AR129" s="114">
        <f t="shared" si="1049"/>
        <v>92880.697276969528</v>
      </c>
      <c r="AS129" s="114">
        <f t="shared" si="1049"/>
        <v>92880.697276969528</v>
      </c>
      <c r="AT129" s="114">
        <f t="shared" si="1049"/>
        <v>92880.697276969528</v>
      </c>
      <c r="AU129" s="114">
        <f t="shared" si="1049"/>
        <v>92880.697276969528</v>
      </c>
      <c r="AV129" s="114">
        <f t="shared" si="1049"/>
        <v>92880.697276969528</v>
      </c>
      <c r="AW129" s="114">
        <f t="shared" si="1049"/>
        <v>92880.697276969528</v>
      </c>
      <c r="AX129" s="114">
        <f t="shared" si="1049"/>
        <v>92880.697276969528</v>
      </c>
      <c r="AY129" s="197">
        <f t="shared" si="1049"/>
        <v>92880.697276969528</v>
      </c>
      <c r="AZ129" s="232">
        <f>AY129+AY130</f>
        <v>139751.6569672951</v>
      </c>
      <c r="BA129" s="114">
        <f t="shared" si="1049"/>
        <v>139751.6569672951</v>
      </c>
      <c r="BB129" s="114">
        <f t="shared" si="1049"/>
        <v>139751.6569672951</v>
      </c>
      <c r="BC129" s="114">
        <f t="shared" si="1049"/>
        <v>139751.6569672951</v>
      </c>
      <c r="BD129" s="114">
        <f t="shared" si="1049"/>
        <v>139751.6569672951</v>
      </c>
      <c r="BE129" s="114">
        <f t="shared" si="1049"/>
        <v>139751.6569672951</v>
      </c>
      <c r="BF129" s="114">
        <f t="shared" si="1049"/>
        <v>139751.6569672951</v>
      </c>
      <c r="BG129" s="114">
        <f t="shared" si="1049"/>
        <v>139751.6569672951</v>
      </c>
      <c r="BH129" s="114">
        <f t="shared" si="1049"/>
        <v>139751.6569672951</v>
      </c>
      <c r="BI129" s="114">
        <f t="shared" si="1049"/>
        <v>139751.6569672951</v>
      </c>
      <c r="BJ129" s="114">
        <f t="shared" si="1049"/>
        <v>139751.6569672951</v>
      </c>
      <c r="BK129" s="197">
        <f t="shared" si="1049"/>
        <v>139751.6569672951</v>
      </c>
      <c r="BL129" s="232">
        <f>BK129+BK130</f>
        <v>195848.67371115039</v>
      </c>
      <c r="BM129" s="114">
        <f t="shared" si="1049"/>
        <v>195848.67371115039</v>
      </c>
      <c r="BN129" s="114">
        <f t="shared" si="1049"/>
        <v>195848.67371115039</v>
      </c>
      <c r="BO129" s="114">
        <f t="shared" si="1049"/>
        <v>195848.67371115039</v>
      </c>
      <c r="BP129" s="114">
        <f t="shared" si="1049"/>
        <v>195848.67371115039</v>
      </c>
      <c r="BQ129" s="114">
        <f t="shared" si="1049"/>
        <v>195848.67371115039</v>
      </c>
      <c r="BR129" s="114">
        <f t="shared" si="1049"/>
        <v>195848.67371115039</v>
      </c>
      <c r="BS129" s="114">
        <f t="shared" si="1049"/>
        <v>195848.67371115039</v>
      </c>
      <c r="BT129" s="114">
        <f t="shared" si="1049"/>
        <v>195848.67371115039</v>
      </c>
      <c r="BU129" s="114">
        <f t="shared" si="1049"/>
        <v>195848.67371115039</v>
      </c>
      <c r="BV129" s="114">
        <f t="shared" si="1049"/>
        <v>195848.67371115039</v>
      </c>
      <c r="BW129" s="197">
        <f t="shared" si="1049"/>
        <v>195848.67371115039</v>
      </c>
      <c r="BX129" s="232">
        <f>BW129+BW130</f>
        <v>259171.47343935975</v>
      </c>
      <c r="BY129" s="114">
        <f t="shared" si="1049"/>
        <v>259171.47343935975</v>
      </c>
      <c r="BZ129" s="114">
        <f t="shared" si="1049"/>
        <v>259171.47343935975</v>
      </c>
      <c r="CA129" s="114">
        <f t="shared" si="1049"/>
        <v>259171.47343935975</v>
      </c>
      <c r="CB129" s="114">
        <f t="shared" ref="CB129:DG129" si="1050">CA129</f>
        <v>259171.47343935975</v>
      </c>
      <c r="CC129" s="114">
        <f t="shared" si="1050"/>
        <v>259171.47343935975</v>
      </c>
      <c r="CD129" s="114">
        <f t="shared" si="1050"/>
        <v>259171.47343935975</v>
      </c>
      <c r="CE129" s="114">
        <f t="shared" si="1050"/>
        <v>259171.47343935975</v>
      </c>
      <c r="CF129" s="114">
        <f t="shared" si="1050"/>
        <v>259171.47343935975</v>
      </c>
      <c r="CG129" s="114">
        <f t="shared" si="1050"/>
        <v>259171.47343935975</v>
      </c>
      <c r="CH129" s="114">
        <f t="shared" si="1050"/>
        <v>259171.47343935975</v>
      </c>
      <c r="CI129" s="197">
        <f t="shared" si="1050"/>
        <v>259171.47343935975</v>
      </c>
      <c r="CJ129" s="232">
        <f>CI129+CI130</f>
        <v>329309.59524161753</v>
      </c>
      <c r="CK129" s="114">
        <f t="shared" si="1050"/>
        <v>329309.59524161753</v>
      </c>
      <c r="CL129" s="114">
        <f t="shared" si="1050"/>
        <v>329309.59524161753</v>
      </c>
      <c r="CM129" s="114">
        <f t="shared" si="1050"/>
        <v>329309.59524161753</v>
      </c>
      <c r="CN129" s="114">
        <f t="shared" si="1050"/>
        <v>329309.59524161753</v>
      </c>
      <c r="CO129" s="114">
        <f t="shared" si="1050"/>
        <v>329309.59524161753</v>
      </c>
      <c r="CP129" s="114">
        <f t="shared" si="1050"/>
        <v>329309.59524161753</v>
      </c>
      <c r="CQ129" s="114">
        <f t="shared" si="1050"/>
        <v>329309.59524161753</v>
      </c>
      <c r="CR129" s="114">
        <f t="shared" si="1050"/>
        <v>329309.59524161753</v>
      </c>
      <c r="CS129" s="114">
        <f t="shared" si="1050"/>
        <v>329309.59524161753</v>
      </c>
      <c r="CT129" s="114">
        <f t="shared" si="1050"/>
        <v>329309.59524161753</v>
      </c>
      <c r="CU129" s="197">
        <f t="shared" si="1050"/>
        <v>329309.59524161753</v>
      </c>
      <c r="CV129" s="232">
        <f>CU129+CU130</f>
        <v>409341.06744501938</v>
      </c>
      <c r="CW129" s="114">
        <f t="shared" si="1050"/>
        <v>409341.06744501938</v>
      </c>
      <c r="CX129" s="114">
        <f t="shared" si="1050"/>
        <v>409341.06744501938</v>
      </c>
      <c r="CY129" s="114">
        <f t="shared" si="1050"/>
        <v>409341.06744501938</v>
      </c>
      <c r="CZ129" s="114">
        <f t="shared" si="1050"/>
        <v>409341.06744501938</v>
      </c>
      <c r="DA129" s="114">
        <f t="shared" si="1050"/>
        <v>409341.06744501938</v>
      </c>
      <c r="DB129" s="114">
        <f t="shared" si="1050"/>
        <v>409341.06744501938</v>
      </c>
      <c r="DC129" s="114">
        <f t="shared" si="1050"/>
        <v>409341.06744501938</v>
      </c>
      <c r="DD129" s="114">
        <f t="shared" si="1050"/>
        <v>409341.06744501938</v>
      </c>
      <c r="DE129" s="114">
        <f t="shared" si="1050"/>
        <v>409341.06744501938</v>
      </c>
      <c r="DF129" s="114">
        <f t="shared" si="1050"/>
        <v>409341.06744501938</v>
      </c>
      <c r="DG129" s="114">
        <f t="shared" si="1050"/>
        <v>409341.06744501938</v>
      </c>
    </row>
    <row r="130" spans="1:111" x14ac:dyDescent="0.3">
      <c r="B130" s="1" t="s">
        <v>37</v>
      </c>
      <c r="C130" s="1"/>
      <c r="D130" s="114">
        <f>0</f>
        <v>0</v>
      </c>
      <c r="E130" s="114">
        <f t="shared" ref="E130:O130" si="1051">D130+E99</f>
        <v>0</v>
      </c>
      <c r="F130" s="114">
        <f t="shared" si="1051"/>
        <v>0</v>
      </c>
      <c r="G130" s="114">
        <f t="shared" si="1051"/>
        <v>0</v>
      </c>
      <c r="H130" s="114">
        <f t="shared" si="1051"/>
        <v>0</v>
      </c>
      <c r="I130" s="114">
        <f t="shared" si="1051"/>
        <v>0</v>
      </c>
      <c r="J130" s="112">
        <f t="shared" si="1051"/>
        <v>0</v>
      </c>
      <c r="K130" s="112">
        <f t="shared" si="1051"/>
        <v>375</v>
      </c>
      <c r="L130" s="112">
        <f t="shared" si="1051"/>
        <v>1423</v>
      </c>
      <c r="M130" s="114">
        <f t="shared" si="1051"/>
        <v>3391.36</v>
      </c>
      <c r="N130" s="114">
        <f t="shared" si="1051"/>
        <v>5009.16</v>
      </c>
      <c r="O130" s="114">
        <f t="shared" si="1051"/>
        <v>6879.57</v>
      </c>
      <c r="P130" s="114">
        <f>+P99</f>
        <v>1310.8600000000001</v>
      </c>
      <c r="Q130" s="114">
        <f t="shared" ref="Q130:AV130" si="1052">+Q99+P130</f>
        <v>2412.8500000000004</v>
      </c>
      <c r="R130" s="114">
        <f t="shared" si="1052"/>
        <v>3514.2400000000007</v>
      </c>
      <c r="S130" s="114">
        <f t="shared" si="1052"/>
        <v>5198.8200000000006</v>
      </c>
      <c r="T130" s="114">
        <f t="shared" si="1052"/>
        <v>7134.76</v>
      </c>
      <c r="U130" s="114">
        <f t="shared" si="1052"/>
        <v>8530.94</v>
      </c>
      <c r="V130" s="114">
        <f t="shared" si="1052"/>
        <v>10933.710000000001</v>
      </c>
      <c r="W130" s="114">
        <f t="shared" si="1052"/>
        <v>17160.43</v>
      </c>
      <c r="X130" s="114">
        <f t="shared" si="1052"/>
        <v>24270.16</v>
      </c>
      <c r="Y130" s="114">
        <f t="shared" si="1052"/>
        <v>31119.06</v>
      </c>
      <c r="Z130" s="114">
        <f t="shared" si="1052"/>
        <v>35150.75</v>
      </c>
      <c r="AA130" s="114">
        <f t="shared" si="1052"/>
        <v>36497.78</v>
      </c>
      <c r="AB130" s="114">
        <f>+AB99</f>
        <v>2584.7600000000002</v>
      </c>
      <c r="AC130" s="114">
        <f t="shared" ref="AC130:AJ130" si="1053">+AC99+AB130</f>
        <v>5326.8</v>
      </c>
      <c r="AD130" s="114">
        <f t="shared" si="1053"/>
        <v>7863.27</v>
      </c>
      <c r="AE130" s="114">
        <f t="shared" si="1053"/>
        <v>9098.4700000000012</v>
      </c>
      <c r="AF130" s="114">
        <f t="shared" si="1053"/>
        <v>13828.600000000002</v>
      </c>
      <c r="AG130" s="114">
        <f t="shared" si="1053"/>
        <v>15867.180000000002</v>
      </c>
      <c r="AH130" s="114">
        <f t="shared" si="1053"/>
        <v>21466.050000000003</v>
      </c>
      <c r="AI130" s="114">
        <f t="shared" si="1053"/>
        <v>32601.800000000003</v>
      </c>
      <c r="AJ130" s="197">
        <f t="shared" si="1053"/>
        <v>40402.660000000003</v>
      </c>
      <c r="AK130" s="114">
        <f t="shared" si="1052"/>
        <v>44543.716733744586</v>
      </c>
      <c r="AL130" s="114">
        <f t="shared" si="1052"/>
        <v>47126.106850386059</v>
      </c>
      <c r="AM130" s="197">
        <f t="shared" si="1052"/>
        <v>49503.347276969522</v>
      </c>
      <c r="AN130" s="114">
        <f>+AN99</f>
        <v>714.20014111463922</v>
      </c>
      <c r="AO130" s="114">
        <f t="shared" si="1052"/>
        <v>5576.567975015897</v>
      </c>
      <c r="AP130" s="114">
        <f t="shared" si="1052"/>
        <v>8221.0533216081531</v>
      </c>
      <c r="AQ130" s="114">
        <f t="shared" si="1052"/>
        <v>11387.244610735968</v>
      </c>
      <c r="AR130" s="114">
        <f t="shared" si="1052"/>
        <v>16199.863648362982</v>
      </c>
      <c r="AS130" s="114">
        <f t="shared" si="1052"/>
        <v>18092.819509560697</v>
      </c>
      <c r="AT130" s="114">
        <f t="shared" si="1052"/>
        <v>21982.283045564669</v>
      </c>
      <c r="AU130" s="114">
        <f t="shared" si="1052"/>
        <v>27921.613181597117</v>
      </c>
      <c r="AV130" s="114">
        <f t="shared" si="1052"/>
        <v>33864.631680859988</v>
      </c>
      <c r="AW130" s="114">
        <f t="shared" ref="AW130:CB130" si="1054">+AW99+AV130</f>
        <v>38548.902210105851</v>
      </c>
      <c r="AX130" s="114">
        <f t="shared" si="1054"/>
        <v>42172.675249404296</v>
      </c>
      <c r="AY130" s="197">
        <f t="shared" si="1054"/>
        <v>46870.959690325573</v>
      </c>
      <c r="AZ130" s="114">
        <f>+AZ99</f>
        <v>1095.3690206816573</v>
      </c>
      <c r="BA130" s="114">
        <f t="shared" si="1054"/>
        <v>6276.3152932967341</v>
      </c>
      <c r="BB130" s="114">
        <f t="shared" si="1054"/>
        <v>10997.318591422543</v>
      </c>
      <c r="BC130" s="114">
        <f t="shared" si="1054"/>
        <v>14198.19861544792</v>
      </c>
      <c r="BD130" s="114">
        <f t="shared" si="1054"/>
        <v>19307.29927330132</v>
      </c>
      <c r="BE130" s="114">
        <f t="shared" si="1054"/>
        <v>23281.553277946528</v>
      </c>
      <c r="BF130" s="114">
        <f t="shared" si="1054"/>
        <v>27257.657264276433</v>
      </c>
      <c r="BG130" s="114">
        <f t="shared" si="1054"/>
        <v>34038.448512544623</v>
      </c>
      <c r="BH130" s="114">
        <f t="shared" si="1054"/>
        <v>40807.969761893379</v>
      </c>
      <c r="BI130" s="114">
        <f t="shared" si="1054"/>
        <v>45648.059980193204</v>
      </c>
      <c r="BJ130" s="114">
        <f t="shared" si="1054"/>
        <v>50904.881705282693</v>
      </c>
      <c r="BK130" s="197">
        <f t="shared" si="1054"/>
        <v>56097.016743855289</v>
      </c>
      <c r="BL130" s="114">
        <f>+BL99</f>
        <v>2137.40980907629</v>
      </c>
      <c r="BM130" s="114">
        <f t="shared" si="1054"/>
        <v>7837.2503240707329</v>
      </c>
      <c r="BN130" s="114">
        <f t="shared" si="1054"/>
        <v>12969.373124341153</v>
      </c>
      <c r="BO130" s="114">
        <f t="shared" si="1054"/>
        <v>15880.537899072042</v>
      </c>
      <c r="BP130" s="114">
        <f t="shared" si="1054"/>
        <v>21486.583282942724</v>
      </c>
      <c r="BQ130" s="114">
        <f t="shared" si="1054"/>
        <v>26661.304913445805</v>
      </c>
      <c r="BR130" s="114">
        <f t="shared" si="1054"/>
        <v>30543.58704024804</v>
      </c>
      <c r="BS130" s="114">
        <f t="shared" si="1054"/>
        <v>38733.450099871574</v>
      </c>
      <c r="BT130" s="114">
        <f t="shared" si="1054"/>
        <v>46688.549607864283</v>
      </c>
      <c r="BU130" s="114">
        <f t="shared" si="1054"/>
        <v>51680.506069090239</v>
      </c>
      <c r="BV130" s="114">
        <f t="shared" si="1054"/>
        <v>57607.294940874403</v>
      </c>
      <c r="BW130" s="197">
        <f t="shared" si="1054"/>
        <v>63322.799728209364</v>
      </c>
      <c r="BX130" s="114">
        <f>+BX99</f>
        <v>1579.1869660411685</v>
      </c>
      <c r="BY130" s="114">
        <f t="shared" si="1054"/>
        <v>8205.4917104306696</v>
      </c>
      <c r="BZ130" s="114">
        <f t="shared" si="1054"/>
        <v>13852.962507492672</v>
      </c>
      <c r="CA130" s="114">
        <f t="shared" si="1054"/>
        <v>16043.78662032841</v>
      </c>
      <c r="CB130" s="114">
        <f t="shared" si="1054"/>
        <v>22662.941945681174</v>
      </c>
      <c r="CC130" s="114">
        <f t="shared" ref="CC130:DG130" si="1055">+CC99+CB130</f>
        <v>28363.831184385705</v>
      </c>
      <c r="CD130" s="114">
        <f t="shared" si="1055"/>
        <v>31952.469683093528</v>
      </c>
      <c r="CE130" s="114">
        <f t="shared" si="1055"/>
        <v>42198.225583168532</v>
      </c>
      <c r="CF130" s="114">
        <f t="shared" si="1055"/>
        <v>51510.385547834638</v>
      </c>
      <c r="CG130" s="114">
        <f t="shared" si="1055"/>
        <v>57134.180468384337</v>
      </c>
      <c r="CH130" s="114">
        <f t="shared" si="1055"/>
        <v>63922.119474410225</v>
      </c>
      <c r="CI130" s="197">
        <f t="shared" si="1055"/>
        <v>70138.121802257796</v>
      </c>
      <c r="CJ130" s="114">
        <f>+CJ99</f>
        <v>778.12631552386654</v>
      </c>
      <c r="CK130" s="114">
        <f t="shared" si="1055"/>
        <v>8340.1845252752664</v>
      </c>
      <c r="CL130" s="114">
        <f t="shared" si="1055"/>
        <v>14618.786903727614</v>
      </c>
      <c r="CM130" s="114">
        <f t="shared" si="1055"/>
        <v>16232.653746914297</v>
      </c>
      <c r="CN130" s="114">
        <f t="shared" si="1055"/>
        <v>24023.396932594733</v>
      </c>
      <c r="CO130" s="114">
        <f t="shared" si="1055"/>
        <v>30384.874866075021</v>
      </c>
      <c r="CP130" s="114">
        <f t="shared" si="1055"/>
        <v>34048.718755775255</v>
      </c>
      <c r="CQ130" s="114">
        <f t="shared" si="1055"/>
        <v>46941.38727462673</v>
      </c>
      <c r="CR130" s="114">
        <f t="shared" si="1055"/>
        <v>58161.991454183561</v>
      </c>
      <c r="CS130" s="114">
        <f t="shared" si="1055"/>
        <v>64800.53027848441</v>
      </c>
      <c r="CT130" s="114">
        <f t="shared" si="1055"/>
        <v>72814.517895400029</v>
      </c>
      <c r="CU130" s="197">
        <f t="shared" si="1055"/>
        <v>80031.472203401878</v>
      </c>
      <c r="CV130" s="114">
        <f>+CV99</f>
        <v>-604.60099962411289</v>
      </c>
      <c r="CW130" s="114">
        <f t="shared" si="1055"/>
        <v>8515.4991580154638</v>
      </c>
      <c r="CX130" s="114">
        <f t="shared" si="1055"/>
        <v>15651.76629632296</v>
      </c>
      <c r="CY130" s="114">
        <f t="shared" si="1055"/>
        <v>16425.888051931488</v>
      </c>
      <c r="CZ130" s="114">
        <f t="shared" si="1055"/>
        <v>25858.314600417434</v>
      </c>
      <c r="DA130" s="114">
        <f t="shared" si="1055"/>
        <v>33080.238792968921</v>
      </c>
      <c r="DB130" s="114">
        <f t="shared" si="1055"/>
        <v>36830.313247175727</v>
      </c>
      <c r="DC130" s="114">
        <f t="shared" si="1055"/>
        <v>52842.603264017896</v>
      </c>
      <c r="DD130" s="114">
        <f t="shared" si="1055"/>
        <v>67646.926056834825</v>
      </c>
      <c r="DE130" s="114">
        <f t="shared" si="1055"/>
        <v>75194.533640535315</v>
      </c>
      <c r="DF130" s="114">
        <f t="shared" si="1055"/>
        <v>84644.955696900317</v>
      </c>
      <c r="DG130" s="114">
        <f t="shared" si="1055"/>
        <v>93556.642764684831</v>
      </c>
    </row>
    <row r="131" spans="1:111" x14ac:dyDescent="0.3">
      <c r="A131" s="5"/>
      <c r="B131" s="6" t="s">
        <v>38</v>
      </c>
      <c r="C131" s="6"/>
      <c r="D131" s="54">
        <f>SUM(D127:D130)</f>
        <v>0</v>
      </c>
      <c r="E131" s="54">
        <f t="shared" ref="E131:N131" si="1056">SUM(E127:E130)</f>
        <v>0</v>
      </c>
      <c r="F131" s="54">
        <f t="shared" si="1056"/>
        <v>0</v>
      </c>
      <c r="G131" s="54">
        <f t="shared" si="1056"/>
        <v>0</v>
      </c>
      <c r="H131" s="54">
        <f t="shared" si="1056"/>
        <v>0</v>
      </c>
      <c r="I131" s="54">
        <f t="shared" si="1056"/>
        <v>0</v>
      </c>
      <c r="J131" s="54">
        <f t="shared" si="1056"/>
        <v>0</v>
      </c>
      <c r="K131" s="54">
        <f t="shared" si="1056"/>
        <v>630</v>
      </c>
      <c r="L131" s="54">
        <f t="shared" si="1056"/>
        <v>1678</v>
      </c>
      <c r="M131" s="54">
        <f t="shared" si="1056"/>
        <v>3385.36</v>
      </c>
      <c r="N131" s="54">
        <f t="shared" si="1056"/>
        <v>1822.3999999999996</v>
      </c>
      <c r="O131" s="54">
        <f t="shared" ref="O131:AT131" si="1057">SUM(O127:O130)</f>
        <v>844.09999999999945</v>
      </c>
      <c r="P131" s="54">
        <f t="shared" si="1057"/>
        <v>154.96000000000049</v>
      </c>
      <c r="Q131" s="54">
        <f t="shared" si="1057"/>
        <v>206.95000000000073</v>
      </c>
      <c r="R131" s="54">
        <f t="shared" si="1057"/>
        <v>158.34000000000106</v>
      </c>
      <c r="S131" s="54">
        <f t="shared" si="1057"/>
        <v>567.92000000000098</v>
      </c>
      <c r="T131" s="54">
        <f t="shared" si="1057"/>
        <v>422.39000000000124</v>
      </c>
      <c r="U131" s="54">
        <f t="shared" si="1057"/>
        <v>598.57000000000153</v>
      </c>
      <c r="V131" s="54">
        <f t="shared" si="1057"/>
        <v>536.72999999999774</v>
      </c>
      <c r="W131" s="54">
        <f t="shared" si="1057"/>
        <v>358.44999999999709</v>
      </c>
      <c r="X131" s="54">
        <f t="shared" ref="X131:Y131" si="1058">SUM(X127:X130)</f>
        <v>1868.1799999999967</v>
      </c>
      <c r="Y131" s="54">
        <f t="shared" si="1058"/>
        <v>878.29999999999927</v>
      </c>
      <c r="Z131" s="54">
        <f t="shared" ref="Z131" si="1059">SUM(Z127:Z130)</f>
        <v>909.98999999999796</v>
      </c>
      <c r="AA131" s="54">
        <f t="shared" ref="AA131:AB131" si="1060">SUM(AA127:AA130)</f>
        <v>832.0199999999968</v>
      </c>
      <c r="AB131" s="54">
        <f t="shared" si="1060"/>
        <v>1516.779999999997</v>
      </c>
      <c r="AC131" s="54">
        <f t="shared" ref="AC131:AD131" si="1061">SUM(AC127:AC130)</f>
        <v>933.81999999999698</v>
      </c>
      <c r="AD131" s="54">
        <f t="shared" si="1061"/>
        <v>250.28999999999724</v>
      </c>
      <c r="AE131" s="54">
        <f t="shared" ref="AE131" si="1062">SUM(AE127:AE130)</f>
        <v>1560.489999999998</v>
      </c>
      <c r="AF131" s="54">
        <f t="shared" ref="AF131:AG131" si="1063">SUM(AF127:AF130)</f>
        <v>2190.619999999999</v>
      </c>
      <c r="AG131" s="54">
        <f t="shared" si="1063"/>
        <v>1479.1999999999989</v>
      </c>
      <c r="AH131" s="54">
        <f t="shared" ref="AH131" si="1064">SUM(AH127:AH130)</f>
        <v>4174.1200000000026</v>
      </c>
      <c r="AI131" s="54">
        <f t="shared" ref="AI131:AJ131" si="1065">SUM(AI127:AI130)</f>
        <v>5534.8700000000026</v>
      </c>
      <c r="AJ131" s="374">
        <f t="shared" si="1065"/>
        <v>6568.2300000000032</v>
      </c>
      <c r="AK131" s="54">
        <f t="shared" ref="AK131" si="1066">SUM(AK127:AK130)</f>
        <v>7810.5470201233766</v>
      </c>
      <c r="AL131" s="54">
        <f t="shared" si="1057"/>
        <v>8585.2640551158183</v>
      </c>
      <c r="AM131" s="374">
        <f t="shared" si="1057"/>
        <v>9298.4361830908529</v>
      </c>
      <c r="AN131" s="54">
        <f t="shared" si="1057"/>
        <v>9512.6962254252485</v>
      </c>
      <c r="AO131" s="54">
        <f t="shared" si="1057"/>
        <v>10971.406575595618</v>
      </c>
      <c r="AP131" s="54">
        <f t="shared" si="1057"/>
        <v>11764.75217957329</v>
      </c>
      <c r="AQ131" s="54">
        <f t="shared" si="1057"/>
        <v>12714.609566311639</v>
      </c>
      <c r="AR131" s="54">
        <f t="shared" si="1057"/>
        <v>14158.395277599746</v>
      </c>
      <c r="AS131" s="54">
        <f t="shared" si="1057"/>
        <v>14726.282035959059</v>
      </c>
      <c r="AT131" s="54">
        <f t="shared" si="1057"/>
        <v>15893.121096760246</v>
      </c>
      <c r="AU131" s="54">
        <f t="shared" ref="AU131:BZ131" si="1067">SUM(AU127:AU130)</f>
        <v>17674.920137569978</v>
      </c>
      <c r="AV131" s="54">
        <f t="shared" si="1067"/>
        <v>19457.825687348835</v>
      </c>
      <c r="AW131" s="54">
        <f t="shared" si="1067"/>
        <v>20863.106846122595</v>
      </c>
      <c r="AX131" s="54">
        <f t="shared" si="1067"/>
        <v>21950.238757912135</v>
      </c>
      <c r="AY131" s="374">
        <f t="shared" si="1067"/>
        <v>23359.724090188523</v>
      </c>
      <c r="AZ131" s="54">
        <f t="shared" si="1067"/>
        <v>23688.334796393017</v>
      </c>
      <c r="BA131" s="54">
        <f t="shared" si="1067"/>
        <v>25242.618678177547</v>
      </c>
      <c r="BB131" s="54">
        <f t="shared" si="1067"/>
        <v>26658.91966761529</v>
      </c>
      <c r="BC131" s="54">
        <f t="shared" si="1067"/>
        <v>27619.183674822907</v>
      </c>
      <c r="BD131" s="54">
        <f t="shared" si="1067"/>
        <v>29151.913872178931</v>
      </c>
      <c r="BE131" s="54">
        <f t="shared" si="1067"/>
        <v>30344.190073572492</v>
      </c>
      <c r="BF131" s="54">
        <f t="shared" si="1067"/>
        <v>31537.021269471468</v>
      </c>
      <c r="BG131" s="54">
        <f t="shared" si="1067"/>
        <v>33571.258643951936</v>
      </c>
      <c r="BH131" s="54">
        <f t="shared" si="1067"/>
        <v>35602.115018756558</v>
      </c>
      <c r="BI131" s="54">
        <f t="shared" si="1067"/>
        <v>37054.142084246494</v>
      </c>
      <c r="BJ131" s="54">
        <f t="shared" si="1067"/>
        <v>38631.188601773349</v>
      </c>
      <c r="BK131" s="374">
        <f t="shared" si="1067"/>
        <v>40188.829113345128</v>
      </c>
      <c r="BL131" s="54">
        <f t="shared" si="1067"/>
        <v>40830.052056068009</v>
      </c>
      <c r="BM131" s="54">
        <f t="shared" si="1067"/>
        <v>42540.004210566331</v>
      </c>
      <c r="BN131" s="54">
        <f t="shared" si="1067"/>
        <v>44079.641050647471</v>
      </c>
      <c r="BO131" s="54">
        <f t="shared" si="1067"/>
        <v>44952.990483066729</v>
      </c>
      <c r="BP131" s="54">
        <f t="shared" si="1067"/>
        <v>46634.80409822792</v>
      </c>
      <c r="BQ131" s="54">
        <f t="shared" si="1067"/>
        <v>48187.220587378855</v>
      </c>
      <c r="BR131" s="54">
        <f t="shared" si="1067"/>
        <v>49351.905225419527</v>
      </c>
      <c r="BS131" s="54">
        <f t="shared" si="1067"/>
        <v>51808.864143306586</v>
      </c>
      <c r="BT131" s="54">
        <f t="shared" si="1067"/>
        <v>54195.393995704413</v>
      </c>
      <c r="BU131" s="54">
        <f t="shared" si="1067"/>
        <v>55692.980934072191</v>
      </c>
      <c r="BV131" s="54">
        <f t="shared" si="1067"/>
        <v>57471.017595607453</v>
      </c>
      <c r="BW131" s="374">
        <f t="shared" si="1067"/>
        <v>59185.669031807927</v>
      </c>
      <c r="BX131" s="54">
        <f t="shared" si="1067"/>
        <v>59659.425121620276</v>
      </c>
      <c r="BY131" s="54">
        <f t="shared" si="1067"/>
        <v>61647.31654493713</v>
      </c>
      <c r="BZ131" s="54">
        <f t="shared" si="1067"/>
        <v>63341.557784055723</v>
      </c>
      <c r="CA131" s="54">
        <f t="shared" ref="CA131:DF131" si="1068">SUM(CA127:CA130)</f>
        <v>63998.805017906445</v>
      </c>
      <c r="CB131" s="54">
        <f t="shared" si="1068"/>
        <v>65984.55161551229</v>
      </c>
      <c r="CC131" s="54">
        <f t="shared" si="1068"/>
        <v>67694.818387123654</v>
      </c>
      <c r="CD131" s="54">
        <f t="shared" si="1068"/>
        <v>68771.409936736003</v>
      </c>
      <c r="CE131" s="54">
        <f t="shared" si="1068"/>
        <v>71845.136706758494</v>
      </c>
      <c r="CF131" s="54">
        <f t="shared" si="1068"/>
        <v>74638.784696158327</v>
      </c>
      <c r="CG131" s="54">
        <f t="shared" si="1068"/>
        <v>76325.923172323251</v>
      </c>
      <c r="CH131" s="54">
        <f t="shared" si="1068"/>
        <v>78362.304874131019</v>
      </c>
      <c r="CI131" s="374">
        <f t="shared" si="1068"/>
        <v>80227.105572485292</v>
      </c>
      <c r="CJ131" s="54">
        <f t="shared" si="1068"/>
        <v>80460.543467142445</v>
      </c>
      <c r="CK131" s="54">
        <f t="shared" si="1068"/>
        <v>82729.160930067868</v>
      </c>
      <c r="CL131" s="54">
        <f t="shared" si="1068"/>
        <v>84612.741643603586</v>
      </c>
      <c r="CM131" s="54">
        <f t="shared" si="1068"/>
        <v>85096.901696559566</v>
      </c>
      <c r="CN131" s="54">
        <f t="shared" si="1068"/>
        <v>87434.124652263679</v>
      </c>
      <c r="CO131" s="54">
        <f t="shared" si="1068"/>
        <v>89342.568032307754</v>
      </c>
      <c r="CP131" s="54">
        <f t="shared" si="1068"/>
        <v>90441.721199217835</v>
      </c>
      <c r="CQ131" s="54">
        <f t="shared" si="1068"/>
        <v>94309.521754873305</v>
      </c>
      <c r="CR131" s="54">
        <f t="shared" si="1068"/>
        <v>97675.703008740355</v>
      </c>
      <c r="CS131" s="54">
        <f t="shared" si="1068"/>
        <v>99667.264656030588</v>
      </c>
      <c r="CT131" s="54">
        <f t="shared" si="1068"/>
        <v>102071.4609411053</v>
      </c>
      <c r="CU131" s="374">
        <f t="shared" si="1068"/>
        <v>104236.54723350584</v>
      </c>
      <c r="CV131" s="54">
        <f t="shared" si="1068"/>
        <v>104055.1669336186</v>
      </c>
      <c r="CW131" s="54">
        <f t="shared" si="1068"/>
        <v>106791.19698091048</v>
      </c>
      <c r="CX131" s="54">
        <f t="shared" si="1068"/>
        <v>108932.0771224027</v>
      </c>
      <c r="CY131" s="54">
        <f t="shared" si="1068"/>
        <v>109164.31364908526</v>
      </c>
      <c r="CZ131" s="54">
        <f t="shared" si="1068"/>
        <v>111994.04161363105</v>
      </c>
      <c r="DA131" s="54">
        <f t="shared" si="1068"/>
        <v>114160.61887139647</v>
      </c>
      <c r="DB131" s="54">
        <f t="shared" si="1068"/>
        <v>115285.64120765853</v>
      </c>
      <c r="DC131" s="54">
        <f t="shared" si="1068"/>
        <v>120089.3282127112</v>
      </c>
      <c r="DD131" s="54">
        <f t="shared" si="1068"/>
        <v>124530.62505055628</v>
      </c>
      <c r="DE131" s="54">
        <f t="shared" si="1068"/>
        <v>126794.9073256664</v>
      </c>
      <c r="DF131" s="54">
        <f t="shared" si="1068"/>
        <v>129630.03394257592</v>
      </c>
      <c r="DG131" s="54">
        <f t="shared" ref="DG131" si="1069">SUM(DG127:DG130)</f>
        <v>132303.54006291126</v>
      </c>
    </row>
    <row r="132" spans="1:111" x14ac:dyDescent="0.3">
      <c r="A132" s="3"/>
      <c r="B132" s="4" t="s">
        <v>39</v>
      </c>
      <c r="C132" s="4"/>
      <c r="D132" s="55">
        <f t="shared" ref="D132:I132" si="1070">D131</f>
        <v>0</v>
      </c>
      <c r="E132" s="55">
        <f t="shared" si="1070"/>
        <v>0</v>
      </c>
      <c r="F132" s="55">
        <f t="shared" si="1070"/>
        <v>0</v>
      </c>
      <c r="G132" s="55">
        <f t="shared" si="1070"/>
        <v>0</v>
      </c>
      <c r="H132" s="55">
        <f t="shared" si="1070"/>
        <v>0</v>
      </c>
      <c r="I132" s="55">
        <f t="shared" si="1070"/>
        <v>0</v>
      </c>
      <c r="J132" s="55">
        <f>J131+J125</f>
        <v>0</v>
      </c>
      <c r="K132" s="55">
        <f t="shared" ref="K132:BV132" si="1071">K131+K125</f>
        <v>630</v>
      </c>
      <c r="L132" s="55">
        <f t="shared" si="1071"/>
        <v>1678</v>
      </c>
      <c r="M132" s="55">
        <f t="shared" si="1071"/>
        <v>3385.36</v>
      </c>
      <c r="N132" s="55">
        <f t="shared" si="1071"/>
        <v>1822.3999999999996</v>
      </c>
      <c r="O132" s="55">
        <f t="shared" si="1071"/>
        <v>844.09999999999945</v>
      </c>
      <c r="P132" s="55">
        <f t="shared" ref="P132:W132" si="1072">P131+P125</f>
        <v>229.96000000000049</v>
      </c>
      <c r="Q132" s="55">
        <f t="shared" si="1072"/>
        <v>281.95000000000073</v>
      </c>
      <c r="R132" s="55">
        <f t="shared" si="1072"/>
        <v>158.34000000000106</v>
      </c>
      <c r="S132" s="55">
        <f t="shared" si="1072"/>
        <v>642.92000000000098</v>
      </c>
      <c r="T132" s="55">
        <f t="shared" si="1072"/>
        <v>422.39000000000124</v>
      </c>
      <c r="U132" s="55">
        <f t="shared" si="1072"/>
        <v>823.57000000000153</v>
      </c>
      <c r="V132" s="55">
        <f t="shared" si="1072"/>
        <v>836.72999999999774</v>
      </c>
      <c r="W132" s="55">
        <f t="shared" si="1072"/>
        <v>733.44999999999709</v>
      </c>
      <c r="X132" s="55">
        <f t="shared" ref="X132:Y132" si="1073">X131+X125</f>
        <v>2093.1799999999967</v>
      </c>
      <c r="Y132" s="55">
        <f t="shared" si="1073"/>
        <v>953.29999999999927</v>
      </c>
      <c r="Z132" s="55">
        <f t="shared" ref="Z132" si="1074">Z131+Z125</f>
        <v>1059.989999999998</v>
      </c>
      <c r="AA132" s="55">
        <f t="shared" ref="AA132:AB132" si="1075">AA131+AA125</f>
        <v>1057.0199999999968</v>
      </c>
      <c r="AB132" s="55">
        <f t="shared" si="1075"/>
        <v>1591.779999999997</v>
      </c>
      <c r="AC132" s="55">
        <f t="shared" ref="AC132:AD132" si="1076">AC131+AC125</f>
        <v>1046.319999999997</v>
      </c>
      <c r="AD132" s="55">
        <f t="shared" si="1076"/>
        <v>475.28999999999724</v>
      </c>
      <c r="AE132" s="55">
        <f t="shared" ref="AE132" si="1077">AE131+AE125</f>
        <v>1860.489999999998</v>
      </c>
      <c r="AF132" s="55">
        <f t="shared" ref="AF132:AG132" si="1078">AF131+AF125</f>
        <v>2408.0899999999988</v>
      </c>
      <c r="AG132" s="55">
        <f t="shared" si="1078"/>
        <v>2419.4599999999991</v>
      </c>
      <c r="AH132" s="55">
        <f t="shared" ref="AH132" si="1079">AH131+AH125</f>
        <v>5806.4900000000025</v>
      </c>
      <c r="AI132" s="55">
        <f t="shared" ref="AI132:AJ132" si="1080">AI131+AI125</f>
        <v>6831.9900000000025</v>
      </c>
      <c r="AJ132" s="360">
        <f t="shared" si="1080"/>
        <v>7645.0200000000032</v>
      </c>
      <c r="AK132" s="55">
        <f t="shared" ref="AK132" si="1081">AK131+AK125</f>
        <v>7810.5470201233766</v>
      </c>
      <c r="AL132" s="55">
        <f t="shared" si="1071"/>
        <v>8585.2640551158183</v>
      </c>
      <c r="AM132" s="360">
        <f t="shared" si="1071"/>
        <v>9298.4361830908529</v>
      </c>
      <c r="AN132" s="55">
        <f t="shared" si="1071"/>
        <v>9512.6962254252485</v>
      </c>
      <c r="AO132" s="55">
        <f t="shared" si="1071"/>
        <v>10971.406575595618</v>
      </c>
      <c r="AP132" s="55">
        <f t="shared" si="1071"/>
        <v>11764.75217957329</v>
      </c>
      <c r="AQ132" s="55">
        <f t="shared" si="1071"/>
        <v>12714.609566311639</v>
      </c>
      <c r="AR132" s="55">
        <f t="shared" si="1071"/>
        <v>14158.395277599746</v>
      </c>
      <c r="AS132" s="55">
        <f t="shared" si="1071"/>
        <v>14726.282035959059</v>
      </c>
      <c r="AT132" s="55">
        <f t="shared" si="1071"/>
        <v>15893.121096760246</v>
      </c>
      <c r="AU132" s="55">
        <f t="shared" si="1071"/>
        <v>17674.920137569978</v>
      </c>
      <c r="AV132" s="55">
        <f t="shared" si="1071"/>
        <v>19457.825687348835</v>
      </c>
      <c r="AW132" s="55">
        <f t="shared" si="1071"/>
        <v>20863.106846122595</v>
      </c>
      <c r="AX132" s="55">
        <f t="shared" si="1071"/>
        <v>21950.238757912135</v>
      </c>
      <c r="AY132" s="360">
        <f t="shared" si="1071"/>
        <v>23359.724090188523</v>
      </c>
      <c r="AZ132" s="55">
        <f t="shared" si="1071"/>
        <v>23688.334796393017</v>
      </c>
      <c r="BA132" s="55">
        <f t="shared" si="1071"/>
        <v>25242.618678177547</v>
      </c>
      <c r="BB132" s="55">
        <f t="shared" si="1071"/>
        <v>26658.91966761529</v>
      </c>
      <c r="BC132" s="55">
        <f t="shared" si="1071"/>
        <v>27619.183674822907</v>
      </c>
      <c r="BD132" s="55">
        <f t="shared" si="1071"/>
        <v>29151.913872178931</v>
      </c>
      <c r="BE132" s="55">
        <f t="shared" si="1071"/>
        <v>30344.190073572492</v>
      </c>
      <c r="BF132" s="55">
        <f t="shared" si="1071"/>
        <v>31537.021269471468</v>
      </c>
      <c r="BG132" s="55">
        <f t="shared" si="1071"/>
        <v>33571.258643951936</v>
      </c>
      <c r="BH132" s="55">
        <f t="shared" si="1071"/>
        <v>35602.115018756558</v>
      </c>
      <c r="BI132" s="55">
        <f t="shared" si="1071"/>
        <v>37054.142084246494</v>
      </c>
      <c r="BJ132" s="55">
        <f t="shared" si="1071"/>
        <v>38631.188601773349</v>
      </c>
      <c r="BK132" s="360">
        <f t="shared" si="1071"/>
        <v>40188.829113345128</v>
      </c>
      <c r="BL132" s="55">
        <f t="shared" si="1071"/>
        <v>40830.052056068009</v>
      </c>
      <c r="BM132" s="55">
        <f t="shared" si="1071"/>
        <v>42540.004210566331</v>
      </c>
      <c r="BN132" s="55">
        <f t="shared" si="1071"/>
        <v>44079.641050647471</v>
      </c>
      <c r="BO132" s="55">
        <f t="shared" si="1071"/>
        <v>44952.990483066729</v>
      </c>
      <c r="BP132" s="55">
        <f t="shared" si="1071"/>
        <v>46634.80409822792</v>
      </c>
      <c r="BQ132" s="55">
        <f t="shared" si="1071"/>
        <v>48187.220587378855</v>
      </c>
      <c r="BR132" s="55">
        <f t="shared" si="1071"/>
        <v>49351.905225419527</v>
      </c>
      <c r="BS132" s="55">
        <f t="shared" si="1071"/>
        <v>51808.864143306586</v>
      </c>
      <c r="BT132" s="55">
        <f t="shared" si="1071"/>
        <v>54195.393995704413</v>
      </c>
      <c r="BU132" s="55">
        <f t="shared" si="1071"/>
        <v>55692.980934072191</v>
      </c>
      <c r="BV132" s="55">
        <f t="shared" si="1071"/>
        <v>57471.017595607453</v>
      </c>
      <c r="BW132" s="360">
        <f t="shared" ref="BW132:DG132" si="1082">BW131+BW125</f>
        <v>59185.669031807927</v>
      </c>
      <c r="BX132" s="55">
        <f t="shared" si="1082"/>
        <v>59659.425121620276</v>
      </c>
      <c r="BY132" s="55">
        <f t="shared" si="1082"/>
        <v>61647.31654493713</v>
      </c>
      <c r="BZ132" s="55">
        <f t="shared" si="1082"/>
        <v>63341.557784055723</v>
      </c>
      <c r="CA132" s="55">
        <f t="shared" si="1082"/>
        <v>63998.805017906445</v>
      </c>
      <c r="CB132" s="55">
        <f t="shared" si="1082"/>
        <v>65984.55161551229</v>
      </c>
      <c r="CC132" s="55">
        <f t="shared" si="1082"/>
        <v>67694.818387123654</v>
      </c>
      <c r="CD132" s="55">
        <f t="shared" si="1082"/>
        <v>68771.409936736003</v>
      </c>
      <c r="CE132" s="55">
        <f t="shared" si="1082"/>
        <v>71845.136706758494</v>
      </c>
      <c r="CF132" s="55">
        <f t="shared" si="1082"/>
        <v>74638.784696158327</v>
      </c>
      <c r="CG132" s="55">
        <f t="shared" si="1082"/>
        <v>76325.923172323251</v>
      </c>
      <c r="CH132" s="55">
        <f t="shared" si="1082"/>
        <v>78362.304874131019</v>
      </c>
      <c r="CI132" s="360">
        <f t="shared" si="1082"/>
        <v>80227.105572485292</v>
      </c>
      <c r="CJ132" s="55">
        <f t="shared" si="1082"/>
        <v>80460.543467142445</v>
      </c>
      <c r="CK132" s="55">
        <f t="shared" si="1082"/>
        <v>82729.160930067868</v>
      </c>
      <c r="CL132" s="55">
        <f t="shared" si="1082"/>
        <v>84612.741643603586</v>
      </c>
      <c r="CM132" s="55">
        <f t="shared" si="1082"/>
        <v>85096.901696559566</v>
      </c>
      <c r="CN132" s="55">
        <f t="shared" si="1082"/>
        <v>87434.124652263679</v>
      </c>
      <c r="CO132" s="55">
        <f t="shared" si="1082"/>
        <v>89342.568032307754</v>
      </c>
      <c r="CP132" s="55">
        <f t="shared" si="1082"/>
        <v>90441.721199217835</v>
      </c>
      <c r="CQ132" s="55">
        <f t="shared" si="1082"/>
        <v>94309.521754873305</v>
      </c>
      <c r="CR132" s="55">
        <f t="shared" si="1082"/>
        <v>97675.703008740355</v>
      </c>
      <c r="CS132" s="55">
        <f t="shared" si="1082"/>
        <v>99667.264656030588</v>
      </c>
      <c r="CT132" s="55">
        <f t="shared" si="1082"/>
        <v>102071.4609411053</v>
      </c>
      <c r="CU132" s="360">
        <f t="shared" si="1082"/>
        <v>104236.54723350584</v>
      </c>
      <c r="CV132" s="55">
        <f t="shared" si="1082"/>
        <v>104055.1669336186</v>
      </c>
      <c r="CW132" s="55">
        <f t="shared" si="1082"/>
        <v>106791.19698091048</v>
      </c>
      <c r="CX132" s="55">
        <f t="shared" si="1082"/>
        <v>108932.0771224027</v>
      </c>
      <c r="CY132" s="55">
        <f t="shared" si="1082"/>
        <v>109164.31364908526</v>
      </c>
      <c r="CZ132" s="55">
        <f t="shared" si="1082"/>
        <v>111994.04161363105</v>
      </c>
      <c r="DA132" s="55">
        <f t="shared" si="1082"/>
        <v>114160.61887139647</v>
      </c>
      <c r="DB132" s="55">
        <f t="shared" si="1082"/>
        <v>115285.64120765853</v>
      </c>
      <c r="DC132" s="55">
        <f t="shared" si="1082"/>
        <v>120089.3282127112</v>
      </c>
      <c r="DD132" s="55">
        <f t="shared" si="1082"/>
        <v>124530.62505055628</v>
      </c>
      <c r="DE132" s="55">
        <f t="shared" si="1082"/>
        <v>126794.9073256664</v>
      </c>
      <c r="DF132" s="55">
        <f t="shared" si="1082"/>
        <v>129630.03394257592</v>
      </c>
      <c r="DG132" s="55">
        <f t="shared" si="1082"/>
        <v>132303.54006291126</v>
      </c>
    </row>
    <row r="133" spans="1:111" s="3" customFormat="1" x14ac:dyDescent="0.3">
      <c r="A133"/>
      <c r="B133" s="1"/>
      <c r="C133" s="58" t="s">
        <v>48</v>
      </c>
      <c r="D133" s="57">
        <f>D132-D121</f>
        <v>0</v>
      </c>
      <c r="E133" s="57">
        <f t="shared" ref="E133:M133" si="1083">E132-E121</f>
        <v>0</v>
      </c>
      <c r="F133" s="57">
        <f t="shared" si="1083"/>
        <v>0</v>
      </c>
      <c r="G133" s="57">
        <f t="shared" si="1083"/>
        <v>0</v>
      </c>
      <c r="H133" s="57">
        <f t="shared" si="1083"/>
        <v>0</v>
      </c>
      <c r="I133" s="57">
        <f t="shared" si="1083"/>
        <v>0</v>
      </c>
      <c r="J133" s="57">
        <f t="shared" si="1083"/>
        <v>0</v>
      </c>
      <c r="K133" s="57">
        <f t="shared" si="1083"/>
        <v>0</v>
      </c>
      <c r="L133" s="57">
        <f t="shared" si="1083"/>
        <v>0</v>
      </c>
      <c r="M133" s="57">
        <f t="shared" si="1083"/>
        <v>0</v>
      </c>
      <c r="N133" s="57">
        <f t="shared" ref="N133:AS133" si="1084">N132-N121</f>
        <v>0</v>
      </c>
      <c r="O133" s="57">
        <f t="shared" si="1084"/>
        <v>0</v>
      </c>
      <c r="P133" s="57">
        <f t="shared" si="1084"/>
        <v>5.1159076974727213E-13</v>
      </c>
      <c r="Q133" s="57">
        <f t="shared" si="1084"/>
        <v>7.3896444519050419E-13</v>
      </c>
      <c r="R133" s="57">
        <f t="shared" si="1084"/>
        <v>1.0800249583553523E-12</v>
      </c>
      <c r="S133" s="57">
        <f t="shared" si="1084"/>
        <v>9.0949470177292824E-13</v>
      </c>
      <c r="T133" s="57">
        <f t="shared" si="1084"/>
        <v>1.2505552149377763E-12</v>
      </c>
      <c r="U133" s="57">
        <f t="shared" si="1084"/>
        <v>1.5916157281026244E-12</v>
      </c>
      <c r="V133" s="57">
        <f t="shared" si="1084"/>
        <v>-2.2737367544323206E-12</v>
      </c>
      <c r="W133" s="57">
        <f t="shared" si="1084"/>
        <v>-2.9558577807620168E-12</v>
      </c>
      <c r="X133" s="57">
        <f t="shared" ref="X133:Y133" si="1085">X132-X121</f>
        <v>-3.637978807091713E-12</v>
      </c>
      <c r="Y133" s="57">
        <f t="shared" si="1085"/>
        <v>0</v>
      </c>
      <c r="Z133" s="57">
        <f t="shared" ref="Z133" si="1086">Z132-Z121</f>
        <v>-2.0463630789890885E-12</v>
      </c>
      <c r="AA133" s="57">
        <f t="shared" ref="AA133:AB133" si="1087">AA132-AA121</f>
        <v>-3.1832314562052488E-12</v>
      </c>
      <c r="AB133" s="57">
        <f t="shared" si="1087"/>
        <v>-2.9558577807620168E-12</v>
      </c>
      <c r="AC133" s="57">
        <f t="shared" ref="AC133:AD133" si="1088">AC132-AC121</f>
        <v>-3.1832314562052488E-12</v>
      </c>
      <c r="AD133" s="57">
        <f t="shared" si="1088"/>
        <v>-2.7284841053187847E-12</v>
      </c>
      <c r="AE133" s="57">
        <f t="shared" ref="AE133" si="1089">AE132-AE121</f>
        <v>-2.0463630789890885E-12</v>
      </c>
      <c r="AF133" s="57">
        <f t="shared" ref="AF133:AG133" si="1090">AF132-AF121</f>
        <v>0</v>
      </c>
      <c r="AG133" s="57">
        <f t="shared" si="1090"/>
        <v>0</v>
      </c>
      <c r="AH133" s="57">
        <f t="shared" ref="AH133" si="1091">AH132-AH121</f>
        <v>0</v>
      </c>
      <c r="AI133" s="57">
        <f t="shared" ref="AI133" si="1092">AI132-AI121</f>
        <v>0</v>
      </c>
      <c r="AJ133" s="361">
        <f t="shared" ref="AJ133" si="1093">AJ132-AJ121</f>
        <v>15.000000000002728</v>
      </c>
      <c r="AK133" s="57">
        <f t="shared" si="1084"/>
        <v>15.000000000000909</v>
      </c>
      <c r="AL133" s="57">
        <f t="shared" si="1084"/>
        <v>14.999999999998181</v>
      </c>
      <c r="AM133" s="361">
        <f t="shared" si="1084"/>
        <v>15.000000000001819</v>
      </c>
      <c r="AN133" s="57">
        <f t="shared" si="1084"/>
        <v>15.000000000009095</v>
      </c>
      <c r="AO133" s="57">
        <f t="shared" si="1084"/>
        <v>15.000000000009095</v>
      </c>
      <c r="AP133" s="57">
        <f t="shared" si="1084"/>
        <v>15.000000000010914</v>
      </c>
      <c r="AQ133" s="57">
        <f t="shared" si="1084"/>
        <v>15.000000000010914</v>
      </c>
      <c r="AR133" s="57">
        <f t="shared" si="1084"/>
        <v>15.000000000010914</v>
      </c>
      <c r="AS133" s="57">
        <f t="shared" si="1084"/>
        <v>15.000000000010914</v>
      </c>
      <c r="AT133" s="57">
        <f t="shared" ref="AT133:BY133" si="1094">AT132-AT121</f>
        <v>15.000000000010914</v>
      </c>
      <c r="AU133" s="57">
        <f t="shared" si="1094"/>
        <v>15.000000000010914</v>
      </c>
      <c r="AV133" s="57">
        <f t="shared" si="1094"/>
        <v>15.000000000010914</v>
      </c>
      <c r="AW133" s="57">
        <f t="shared" si="1094"/>
        <v>15.000000000007276</v>
      </c>
      <c r="AX133" s="57">
        <f t="shared" si="1094"/>
        <v>15.000000000007276</v>
      </c>
      <c r="AY133" s="361">
        <f t="shared" si="1094"/>
        <v>15.000000000007276</v>
      </c>
      <c r="AZ133" s="57">
        <f t="shared" si="1094"/>
        <v>15.000000000007276</v>
      </c>
      <c r="BA133" s="57">
        <f t="shared" si="1094"/>
        <v>15.000000000007276</v>
      </c>
      <c r="BB133" s="57">
        <f t="shared" si="1094"/>
        <v>15.000000000007276</v>
      </c>
      <c r="BC133" s="57">
        <f t="shared" si="1094"/>
        <v>15.000000000007276</v>
      </c>
      <c r="BD133" s="57">
        <f t="shared" si="1094"/>
        <v>15.000000000007276</v>
      </c>
      <c r="BE133" s="57">
        <f t="shared" si="1094"/>
        <v>15.000000000010914</v>
      </c>
      <c r="BF133" s="57">
        <f t="shared" si="1094"/>
        <v>15.000000000007276</v>
      </c>
      <c r="BG133" s="57">
        <f t="shared" si="1094"/>
        <v>15.000000000007276</v>
      </c>
      <c r="BH133" s="57">
        <f t="shared" si="1094"/>
        <v>15.000000000007276</v>
      </c>
      <c r="BI133" s="57">
        <f t="shared" si="1094"/>
        <v>15.000000000007276</v>
      </c>
      <c r="BJ133" s="57">
        <f t="shared" si="1094"/>
        <v>15</v>
      </c>
      <c r="BK133" s="361">
        <f t="shared" si="1094"/>
        <v>15.000000000007276</v>
      </c>
      <c r="BL133" s="57">
        <f t="shared" si="1094"/>
        <v>15.000000000007276</v>
      </c>
      <c r="BM133" s="57">
        <f t="shared" si="1094"/>
        <v>15</v>
      </c>
      <c r="BN133" s="57">
        <f t="shared" si="1094"/>
        <v>15.000000000007276</v>
      </c>
      <c r="BO133" s="57">
        <f t="shared" si="1094"/>
        <v>15.000000000007276</v>
      </c>
      <c r="BP133" s="57">
        <f t="shared" si="1094"/>
        <v>15.000000000007276</v>
      </c>
      <c r="BQ133" s="57">
        <f t="shared" si="1094"/>
        <v>15.000000000007276</v>
      </c>
      <c r="BR133" s="57">
        <f t="shared" si="1094"/>
        <v>15</v>
      </c>
      <c r="BS133" s="57">
        <f t="shared" si="1094"/>
        <v>15</v>
      </c>
      <c r="BT133" s="57">
        <f t="shared" si="1094"/>
        <v>15.000000000007276</v>
      </c>
      <c r="BU133" s="57">
        <f t="shared" si="1094"/>
        <v>15</v>
      </c>
      <c r="BV133" s="57">
        <f t="shared" si="1094"/>
        <v>15</v>
      </c>
      <c r="BW133" s="361">
        <f t="shared" si="1094"/>
        <v>15</v>
      </c>
      <c r="BX133" s="57">
        <f t="shared" si="1094"/>
        <v>15</v>
      </c>
      <c r="BY133" s="57">
        <f t="shared" si="1094"/>
        <v>15</v>
      </c>
      <c r="BZ133" s="57">
        <f t="shared" ref="BZ133:DE133" si="1095">BZ132-BZ121</f>
        <v>15</v>
      </c>
      <c r="CA133" s="57">
        <f t="shared" si="1095"/>
        <v>15</v>
      </c>
      <c r="CB133" s="57">
        <f t="shared" si="1095"/>
        <v>15</v>
      </c>
      <c r="CC133" s="57">
        <f t="shared" si="1095"/>
        <v>15</v>
      </c>
      <c r="CD133" s="57">
        <f t="shared" si="1095"/>
        <v>15</v>
      </c>
      <c r="CE133" s="57">
        <f t="shared" si="1095"/>
        <v>15</v>
      </c>
      <c r="CF133" s="57">
        <f t="shared" si="1095"/>
        <v>15</v>
      </c>
      <c r="CG133" s="57">
        <f t="shared" si="1095"/>
        <v>15</v>
      </c>
      <c r="CH133" s="57">
        <f t="shared" si="1095"/>
        <v>15</v>
      </c>
      <c r="CI133" s="361">
        <f t="shared" si="1095"/>
        <v>15</v>
      </c>
      <c r="CJ133" s="57">
        <f t="shared" si="1095"/>
        <v>14.999999999985448</v>
      </c>
      <c r="CK133" s="57">
        <f t="shared" si="1095"/>
        <v>14.999999999985448</v>
      </c>
      <c r="CL133" s="57">
        <f t="shared" si="1095"/>
        <v>14.999999999985448</v>
      </c>
      <c r="CM133" s="57">
        <f t="shared" si="1095"/>
        <v>14.999999999985448</v>
      </c>
      <c r="CN133" s="57">
        <f t="shared" si="1095"/>
        <v>14.999999999985448</v>
      </c>
      <c r="CO133" s="57">
        <f t="shared" si="1095"/>
        <v>15</v>
      </c>
      <c r="CP133" s="57">
        <f t="shared" si="1095"/>
        <v>14.999999999970896</v>
      </c>
      <c r="CQ133" s="57">
        <f t="shared" si="1095"/>
        <v>14.999999999970896</v>
      </c>
      <c r="CR133" s="57">
        <f t="shared" si="1095"/>
        <v>14.999999999970896</v>
      </c>
      <c r="CS133" s="57">
        <f t="shared" si="1095"/>
        <v>14.999999999970896</v>
      </c>
      <c r="CT133" s="57">
        <f t="shared" si="1095"/>
        <v>14.999999999970896</v>
      </c>
      <c r="CU133" s="361">
        <f t="shared" si="1095"/>
        <v>14.999999999985448</v>
      </c>
      <c r="CV133" s="57">
        <f t="shared" si="1095"/>
        <v>14.999999999956344</v>
      </c>
      <c r="CW133" s="57">
        <f t="shared" si="1095"/>
        <v>14.999999999956344</v>
      </c>
      <c r="CX133" s="57">
        <f t="shared" si="1095"/>
        <v>14.999999999941792</v>
      </c>
      <c r="CY133" s="57">
        <f t="shared" si="1095"/>
        <v>14.999999999941792</v>
      </c>
      <c r="CZ133" s="57">
        <f t="shared" si="1095"/>
        <v>14.999999999941792</v>
      </c>
      <c r="DA133" s="57">
        <f t="shared" si="1095"/>
        <v>14.99999999992724</v>
      </c>
      <c r="DB133" s="57">
        <f t="shared" si="1095"/>
        <v>14.99999999992724</v>
      </c>
      <c r="DC133" s="57">
        <f t="shared" si="1095"/>
        <v>14.999999999941792</v>
      </c>
      <c r="DD133" s="57">
        <f t="shared" si="1095"/>
        <v>14.99999999992724</v>
      </c>
      <c r="DE133" s="57">
        <f t="shared" si="1095"/>
        <v>14.999999999941792</v>
      </c>
      <c r="DF133" s="57">
        <f t="shared" ref="DF133:DG133" si="1096">DF132-DF121</f>
        <v>14.99999999992724</v>
      </c>
      <c r="DG133" s="57">
        <f t="shared" si="1096"/>
        <v>14.999999999941792</v>
      </c>
    </row>
    <row r="134" spans="1:111" x14ac:dyDescent="0.3">
      <c r="P134" s="165"/>
      <c r="Q134" s="165"/>
      <c r="R134" s="165"/>
      <c r="AJ134" s="196"/>
      <c r="AM134" s="196"/>
      <c r="AY134" s="196"/>
      <c r="BK134" s="196"/>
      <c r="BW134" s="196"/>
      <c r="CI134" s="196"/>
      <c r="CU134" s="196"/>
    </row>
    <row r="135" spans="1:111" x14ac:dyDescent="0.3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379"/>
      <c r="AK135" s="29"/>
      <c r="AL135" s="29"/>
      <c r="AM135" s="37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37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37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37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37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37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</row>
    <row r="136" spans="1:111" x14ac:dyDescent="0.3">
      <c r="AJ136" s="196"/>
      <c r="AM136" s="196"/>
      <c r="AY136" s="196"/>
      <c r="BK136" s="196"/>
      <c r="BW136" s="196"/>
      <c r="CI136" s="196"/>
      <c r="CU136" s="196"/>
    </row>
    <row r="137" spans="1:111" x14ac:dyDescent="0.3">
      <c r="B137" s="1" t="s">
        <v>16</v>
      </c>
      <c r="D137" s="114">
        <f t="shared" ref="D137:AF137" si="1097">D99</f>
        <v>0</v>
      </c>
      <c r="E137" s="114">
        <f t="shared" si="1097"/>
        <v>0</v>
      </c>
      <c r="F137" s="114">
        <f t="shared" si="1097"/>
        <v>0</v>
      </c>
      <c r="G137" s="114">
        <f t="shared" si="1097"/>
        <v>0</v>
      </c>
      <c r="H137" s="114">
        <f t="shared" si="1097"/>
        <v>0</v>
      </c>
      <c r="I137" s="114">
        <f t="shared" si="1097"/>
        <v>0</v>
      </c>
      <c r="J137" s="114">
        <f t="shared" si="1097"/>
        <v>0</v>
      </c>
      <c r="K137" s="114">
        <f t="shared" si="1097"/>
        <v>375</v>
      </c>
      <c r="L137" s="114">
        <f t="shared" si="1097"/>
        <v>1048</v>
      </c>
      <c r="M137" s="114">
        <f t="shared" si="1097"/>
        <v>1968.3600000000001</v>
      </c>
      <c r="N137" s="114">
        <f t="shared" si="1097"/>
        <v>1617.8</v>
      </c>
      <c r="O137" s="114">
        <f t="shared" si="1097"/>
        <v>1870.41</v>
      </c>
      <c r="P137" s="114">
        <f t="shared" si="1097"/>
        <v>1310.8600000000001</v>
      </c>
      <c r="Q137" s="114">
        <f t="shared" si="1097"/>
        <v>1101.99</v>
      </c>
      <c r="R137" s="114">
        <f t="shared" si="1097"/>
        <v>1101.3900000000001</v>
      </c>
      <c r="S137" s="114">
        <f t="shared" si="1097"/>
        <v>1684.5800000000002</v>
      </c>
      <c r="T137" s="114">
        <f t="shared" si="1097"/>
        <v>1935.9399999999998</v>
      </c>
      <c r="U137" s="114">
        <f t="shared" si="1097"/>
        <v>1396.18</v>
      </c>
      <c r="V137" s="114">
        <f t="shared" si="1097"/>
        <v>2402.77</v>
      </c>
      <c r="W137" s="114">
        <f t="shared" si="1097"/>
        <v>6226.72</v>
      </c>
      <c r="X137" s="114">
        <f t="shared" si="1097"/>
        <v>7109.73</v>
      </c>
      <c r="Y137" s="114">
        <f t="shared" si="1097"/>
        <v>6848.9000000000005</v>
      </c>
      <c r="Z137" s="114">
        <f t="shared" si="1097"/>
        <v>4031.6899999999996</v>
      </c>
      <c r="AA137" s="114">
        <f t="shared" ref="AA137:AB137" si="1098">AA99</f>
        <v>1347.03</v>
      </c>
      <c r="AB137" s="114">
        <f t="shared" si="1098"/>
        <v>2584.7600000000002</v>
      </c>
      <c r="AC137" s="114">
        <f t="shared" ref="AC137" si="1099">AC99</f>
        <v>2742.04</v>
      </c>
      <c r="AD137" s="114">
        <f t="shared" si="1097"/>
        <v>2536.4700000000003</v>
      </c>
      <c r="AE137" s="114">
        <f t="shared" si="1097"/>
        <v>1235.1999999999998</v>
      </c>
      <c r="AF137" s="114">
        <f t="shared" si="1097"/>
        <v>4730.13</v>
      </c>
      <c r="AG137" s="114">
        <f t="shared" ref="AG137:AH137" si="1100">AG99</f>
        <v>2038.5800000000002</v>
      </c>
      <c r="AH137" s="114">
        <f t="shared" si="1100"/>
        <v>5598.8700000000008</v>
      </c>
      <c r="AI137" s="114">
        <f t="shared" ref="AI137" si="1101">AI99</f>
        <v>11135.75</v>
      </c>
      <c r="AJ137" s="197">
        <f t="shared" ref="AJ137" si="1102">AJ99</f>
        <v>7800.8600000000006</v>
      </c>
      <c r="AK137" s="114">
        <f t="shared" ref="AK137:BO137" si="1103">AK99</f>
        <v>4141.0567337445846</v>
      </c>
      <c r="AL137" s="114">
        <f t="shared" si="1103"/>
        <v>2582.3901166414753</v>
      </c>
      <c r="AM137" s="197">
        <f t="shared" si="1103"/>
        <v>2377.2404265834593</v>
      </c>
      <c r="AN137" s="114">
        <f t="shared" si="1103"/>
        <v>714.20014111463922</v>
      </c>
      <c r="AO137" s="114">
        <f t="shared" si="1103"/>
        <v>4862.3678339012577</v>
      </c>
      <c r="AP137" s="114">
        <f t="shared" si="1103"/>
        <v>2644.4853465922561</v>
      </c>
      <c r="AQ137" s="114">
        <f t="shared" si="1103"/>
        <v>3166.1912891278143</v>
      </c>
      <c r="AR137" s="114">
        <f t="shared" si="1103"/>
        <v>4812.6190376270142</v>
      </c>
      <c r="AS137" s="114">
        <f t="shared" si="1103"/>
        <v>1892.9558611977145</v>
      </c>
      <c r="AT137" s="114">
        <f t="shared" si="1103"/>
        <v>3889.4635360039729</v>
      </c>
      <c r="AU137" s="114">
        <f t="shared" si="1103"/>
        <v>5939.3301360324494</v>
      </c>
      <c r="AV137" s="114">
        <f t="shared" si="1103"/>
        <v>5943.018499262872</v>
      </c>
      <c r="AW137" s="114">
        <f t="shared" si="1103"/>
        <v>4684.2705292458659</v>
      </c>
      <c r="AX137" s="114">
        <f t="shared" si="1103"/>
        <v>3623.7730392984431</v>
      </c>
      <c r="AY137" s="197">
        <f t="shared" si="1103"/>
        <v>4698.2844409212748</v>
      </c>
      <c r="AZ137" s="114">
        <f t="shared" si="1103"/>
        <v>1095.3690206816573</v>
      </c>
      <c r="BA137" s="114">
        <f t="shared" si="1103"/>
        <v>5180.9462726150769</v>
      </c>
      <c r="BB137" s="114">
        <f t="shared" si="1103"/>
        <v>4721.0032981258091</v>
      </c>
      <c r="BC137" s="114">
        <f t="shared" si="1103"/>
        <v>3200.8800240253768</v>
      </c>
      <c r="BD137" s="114">
        <f t="shared" si="1103"/>
        <v>5109.1006578533998</v>
      </c>
      <c r="BE137" s="114">
        <f t="shared" si="1103"/>
        <v>3974.2540046452086</v>
      </c>
      <c r="BF137" s="114">
        <f t="shared" si="1103"/>
        <v>3976.1039863299047</v>
      </c>
      <c r="BG137" s="114">
        <f t="shared" si="1103"/>
        <v>6780.7912482681868</v>
      </c>
      <c r="BH137" s="114">
        <f t="shared" si="1103"/>
        <v>6769.5212493487579</v>
      </c>
      <c r="BI137" s="114">
        <f t="shared" si="1103"/>
        <v>4840.0902182998252</v>
      </c>
      <c r="BJ137" s="114">
        <f t="shared" si="1103"/>
        <v>5256.8217250894859</v>
      </c>
      <c r="BK137" s="197">
        <f t="shared" si="1103"/>
        <v>5192.1350385725927</v>
      </c>
      <c r="BL137" s="114">
        <f t="shared" si="1103"/>
        <v>2137.40980907629</v>
      </c>
      <c r="BM137" s="114">
        <f t="shared" si="1103"/>
        <v>5699.8405149944429</v>
      </c>
      <c r="BN137" s="114">
        <f t="shared" si="1103"/>
        <v>5132.1228002704192</v>
      </c>
      <c r="BO137" s="114">
        <f t="shared" si="1103"/>
        <v>2911.164774730888</v>
      </c>
      <c r="BP137" s="114">
        <f t="shared" ref="BP137:CU137" si="1104">BP99</f>
        <v>5606.0453838706817</v>
      </c>
      <c r="BQ137" s="114">
        <f t="shared" si="1104"/>
        <v>5174.7216305030834</v>
      </c>
      <c r="BR137" s="114">
        <f t="shared" si="1104"/>
        <v>3882.2821268022353</v>
      </c>
      <c r="BS137" s="114">
        <f t="shared" si="1104"/>
        <v>8189.8630596235371</v>
      </c>
      <c r="BT137" s="114">
        <f t="shared" si="1104"/>
        <v>7955.0995079927061</v>
      </c>
      <c r="BU137" s="114">
        <f t="shared" si="1104"/>
        <v>4991.9564612259583</v>
      </c>
      <c r="BV137" s="114">
        <f t="shared" si="1104"/>
        <v>5926.7888717841633</v>
      </c>
      <c r="BW137" s="197">
        <f t="shared" si="1104"/>
        <v>5715.5047873349604</v>
      </c>
      <c r="BX137" s="114">
        <f t="shared" si="1104"/>
        <v>1579.1869660411685</v>
      </c>
      <c r="BY137" s="114">
        <f t="shared" si="1104"/>
        <v>6626.3047443895002</v>
      </c>
      <c r="BZ137" s="114">
        <f t="shared" si="1104"/>
        <v>5647.470797062002</v>
      </c>
      <c r="CA137" s="114">
        <f t="shared" si="1104"/>
        <v>2190.8241128357386</v>
      </c>
      <c r="CB137" s="114">
        <f t="shared" si="1104"/>
        <v>6619.1553253527618</v>
      </c>
      <c r="CC137" s="114">
        <f t="shared" si="1104"/>
        <v>5700.8892387045307</v>
      </c>
      <c r="CD137" s="114">
        <f t="shared" si="1104"/>
        <v>3588.6384987078218</v>
      </c>
      <c r="CE137" s="114">
        <f t="shared" si="1104"/>
        <v>10245.755900075008</v>
      </c>
      <c r="CF137" s="114">
        <f t="shared" si="1104"/>
        <v>9312.159964666107</v>
      </c>
      <c r="CG137" s="114">
        <f t="shared" si="1104"/>
        <v>5623.7949205496989</v>
      </c>
      <c r="CH137" s="114">
        <f t="shared" si="1104"/>
        <v>6787.9390060258875</v>
      </c>
      <c r="CI137" s="197">
        <f t="shared" si="1104"/>
        <v>6216.0023278475728</v>
      </c>
      <c r="CJ137" s="114">
        <f t="shared" si="1104"/>
        <v>778.12631552386654</v>
      </c>
      <c r="CK137" s="114">
        <f t="shared" si="1104"/>
        <v>7562.0582097514007</v>
      </c>
      <c r="CL137" s="114">
        <f t="shared" si="1104"/>
        <v>6278.6023784523486</v>
      </c>
      <c r="CM137" s="114">
        <f t="shared" si="1104"/>
        <v>1613.8668431866836</v>
      </c>
      <c r="CN137" s="114">
        <f t="shared" si="1104"/>
        <v>7790.7431856804369</v>
      </c>
      <c r="CO137" s="114">
        <f t="shared" si="1104"/>
        <v>6361.477933480287</v>
      </c>
      <c r="CP137" s="114">
        <f t="shared" si="1104"/>
        <v>3663.8438897002334</v>
      </c>
      <c r="CQ137" s="114">
        <f t="shared" si="1104"/>
        <v>12892.668518851477</v>
      </c>
      <c r="CR137" s="114">
        <f t="shared" si="1104"/>
        <v>11220.604179556829</v>
      </c>
      <c r="CS137" s="114">
        <f t="shared" si="1104"/>
        <v>6638.5388243008483</v>
      </c>
      <c r="CT137" s="114">
        <f t="shared" si="1104"/>
        <v>8013.987616915615</v>
      </c>
      <c r="CU137" s="197">
        <f t="shared" si="1104"/>
        <v>7216.9543080018411</v>
      </c>
      <c r="CV137" s="114">
        <f t="shared" ref="CV137:DG137" si="1105">CV99</f>
        <v>-604.60099962411289</v>
      </c>
      <c r="CW137" s="114">
        <f t="shared" si="1105"/>
        <v>9120.1001576395774</v>
      </c>
      <c r="CX137" s="114">
        <f t="shared" si="1105"/>
        <v>7136.2671383074949</v>
      </c>
      <c r="CY137" s="114">
        <f t="shared" si="1105"/>
        <v>774.12175560852745</v>
      </c>
      <c r="CZ137" s="114">
        <f t="shared" si="1105"/>
        <v>9432.4265484859479</v>
      </c>
      <c r="DA137" s="114">
        <f t="shared" si="1105"/>
        <v>7221.9241925514889</v>
      </c>
      <c r="DB137" s="114">
        <f t="shared" si="1105"/>
        <v>3750.0744542068087</v>
      </c>
      <c r="DC137" s="114">
        <f t="shared" si="1105"/>
        <v>16012.290016842167</v>
      </c>
      <c r="DD137" s="114">
        <f t="shared" si="1105"/>
        <v>14804.322792816931</v>
      </c>
      <c r="DE137" s="114">
        <f t="shared" si="1105"/>
        <v>7547.6075837004928</v>
      </c>
      <c r="DF137" s="114">
        <f t="shared" si="1105"/>
        <v>9450.4220563650088</v>
      </c>
      <c r="DG137" s="114">
        <f t="shared" si="1105"/>
        <v>8911.6870677845091</v>
      </c>
    </row>
    <row r="138" spans="1:111" x14ac:dyDescent="0.3">
      <c r="B138" s="11" t="s">
        <v>41</v>
      </c>
      <c r="D138" s="114">
        <f t="shared" ref="D138:AJ138" si="1106">-(D114-C114)</f>
        <v>0</v>
      </c>
      <c r="E138" s="114">
        <f t="shared" si="1106"/>
        <v>0</v>
      </c>
      <c r="F138" s="114">
        <f t="shared" si="1106"/>
        <v>0</v>
      </c>
      <c r="G138" s="114">
        <f t="shared" si="1106"/>
        <v>0</v>
      </c>
      <c r="H138" s="114">
        <f t="shared" si="1106"/>
        <v>0</v>
      </c>
      <c r="I138" s="114">
        <f t="shared" si="1106"/>
        <v>0</v>
      </c>
      <c r="J138" s="114">
        <f t="shared" si="1106"/>
        <v>0</v>
      </c>
      <c r="K138" s="114">
        <f t="shared" si="1106"/>
        <v>-375</v>
      </c>
      <c r="L138" s="114">
        <f t="shared" si="1106"/>
        <v>-825</v>
      </c>
      <c r="M138" s="114">
        <f t="shared" si="1106"/>
        <v>-1165</v>
      </c>
      <c r="N138" s="114">
        <f t="shared" si="1106"/>
        <v>1405</v>
      </c>
      <c r="O138" s="114">
        <f t="shared" si="1106"/>
        <v>60</v>
      </c>
      <c r="P138" s="114">
        <f t="shared" si="1106"/>
        <v>840</v>
      </c>
      <c r="Q138" s="114">
        <f t="shared" si="1106"/>
        <v>-9</v>
      </c>
      <c r="R138" s="114">
        <f t="shared" si="1106"/>
        <v>-6</v>
      </c>
      <c r="S138" s="114">
        <f t="shared" si="1106"/>
        <v>-112.5</v>
      </c>
      <c r="T138" s="114">
        <f t="shared" si="1106"/>
        <v>151.57</v>
      </c>
      <c r="U138" s="114">
        <f t="shared" si="1106"/>
        <v>-354.07</v>
      </c>
      <c r="V138" s="114">
        <f t="shared" si="1106"/>
        <v>120</v>
      </c>
      <c r="W138" s="114">
        <f t="shared" si="1106"/>
        <v>180</v>
      </c>
      <c r="X138" s="114">
        <f t="shared" si="1106"/>
        <v>-1022</v>
      </c>
      <c r="Y138" s="114">
        <f t="shared" si="1106"/>
        <v>812</v>
      </c>
      <c r="Z138" s="114">
        <f t="shared" si="1106"/>
        <v>140</v>
      </c>
      <c r="AA138" s="114">
        <f t="shared" si="1106"/>
        <v>100</v>
      </c>
      <c r="AB138" s="114">
        <f t="shared" si="1106"/>
        <v>-180</v>
      </c>
      <c r="AC138" s="114">
        <f t="shared" si="1106"/>
        <v>-195</v>
      </c>
      <c r="AD138" s="114">
        <f t="shared" si="1106"/>
        <v>360</v>
      </c>
      <c r="AE138" s="114">
        <f t="shared" si="1106"/>
        <v>-382.5</v>
      </c>
      <c r="AF138" s="114">
        <f t="shared" si="1106"/>
        <v>-537.5</v>
      </c>
      <c r="AG138" s="114">
        <f t="shared" si="1106"/>
        <v>269.99</v>
      </c>
      <c r="AH138" s="114">
        <f t="shared" si="1106"/>
        <v>-1735.0000000000002</v>
      </c>
      <c r="AI138" s="114">
        <f t="shared" si="1106"/>
        <v>-856.87999999999965</v>
      </c>
      <c r="AJ138" s="197">
        <f t="shared" si="1106"/>
        <v>169.38999999999987</v>
      </c>
      <c r="AK138" s="114">
        <f t="shared" ref="AK138:BO138" si="1107">-(AK114-AJ114)</f>
        <v>303.58712767463567</v>
      </c>
      <c r="AL138" s="114">
        <f t="shared" si="1107"/>
        <v>1540.3454778932762</v>
      </c>
      <c r="AM138" s="197">
        <f t="shared" si="1107"/>
        <v>48.603371233485859</v>
      </c>
      <c r="AN138" s="114">
        <f t="shared" si="1107"/>
        <v>209.91214186881916</v>
      </c>
      <c r="AO138" s="114">
        <f t="shared" si="1107"/>
        <v>-888.15364551445873</v>
      </c>
      <c r="AP138" s="114">
        <f t="shared" si="1107"/>
        <v>703.29111172705575</v>
      </c>
      <c r="AQ138" s="114">
        <f t="shared" si="1107"/>
        <v>-419.74658415168119</v>
      </c>
      <c r="AR138" s="114">
        <f t="shared" si="1107"/>
        <v>-195.19702722205034</v>
      </c>
      <c r="AS138" s="114">
        <f t="shared" si="1107"/>
        <v>792.993437143449</v>
      </c>
      <c r="AT138" s="114">
        <f t="shared" si="1107"/>
        <v>-922.55513791479666</v>
      </c>
      <c r="AU138" s="114">
        <f t="shared" si="1107"/>
        <v>-930.81266309497755</v>
      </c>
      <c r="AV138" s="114">
        <f t="shared" si="1107"/>
        <v>554.52205707408029</v>
      </c>
      <c r="AW138" s="114">
        <f t="shared" si="1107"/>
        <v>-816.37445635190306</v>
      </c>
      <c r="AX138" s="114">
        <f t="shared" si="1107"/>
        <v>1705.1608440159216</v>
      </c>
      <c r="AY138" s="197">
        <f t="shared" si="1107"/>
        <v>-254.56960979525888</v>
      </c>
      <c r="AZ138" s="114">
        <f t="shared" si="1107"/>
        <v>449.79412153627936</v>
      </c>
      <c r="BA138" s="114">
        <f t="shared" si="1107"/>
        <v>-1348.3529071638829</v>
      </c>
      <c r="BB138" s="114">
        <f t="shared" si="1107"/>
        <v>828.70822973024337</v>
      </c>
      <c r="BC138" s="114">
        <f t="shared" si="1107"/>
        <v>-500.58319178425495</v>
      </c>
      <c r="BD138" s="114">
        <f t="shared" si="1107"/>
        <v>-201.05081165064803</v>
      </c>
      <c r="BE138" s="114">
        <f t="shared" si="1107"/>
        <v>921.63009700407633</v>
      </c>
      <c r="BF138" s="114">
        <f t="shared" si="1107"/>
        <v>-1351.0067065394703</v>
      </c>
      <c r="BG138" s="114">
        <f t="shared" si="1107"/>
        <v>-1198.3911620573649</v>
      </c>
      <c r="BH138" s="114">
        <f t="shared" si="1107"/>
        <v>802.88434687524932</v>
      </c>
      <c r="BI138" s="114">
        <f t="shared" si="1107"/>
        <v>-965.37260759919627</v>
      </c>
      <c r="BJ138" s="114">
        <f t="shared" si="1107"/>
        <v>1867.0609545627581</v>
      </c>
      <c r="BK138" s="197">
        <f t="shared" si="1107"/>
        <v>-277.75235404754676</v>
      </c>
      <c r="BL138" s="114">
        <f t="shared" si="1107"/>
        <v>988.69997081187375</v>
      </c>
      <c r="BM138" s="114">
        <f t="shared" si="1107"/>
        <v>-1960.8477017225209</v>
      </c>
      <c r="BN138" s="114">
        <f t="shared" si="1107"/>
        <v>1037.3514787104741</v>
      </c>
      <c r="BO138" s="114">
        <f t="shared" si="1107"/>
        <v>-623.172617346881</v>
      </c>
      <c r="BP138" s="114">
        <f t="shared" ref="BP138:CU138" si="1108">-(BP114-BO114)</f>
        <v>-247.56341149542823</v>
      </c>
      <c r="BQ138" s="114">
        <f t="shared" si="1108"/>
        <v>1285.8284116179266</v>
      </c>
      <c r="BR138" s="114">
        <f t="shared" si="1108"/>
        <v>-1777.0658734607059</v>
      </c>
      <c r="BS138" s="114">
        <f t="shared" si="1108"/>
        <v>-2101.4582903627011</v>
      </c>
      <c r="BT138" s="114">
        <f t="shared" si="1108"/>
        <v>1416.3468152446521</v>
      </c>
      <c r="BU138" s="114">
        <f t="shared" si="1108"/>
        <v>-1105.4837797245536</v>
      </c>
      <c r="BV138" s="114">
        <f t="shared" si="1108"/>
        <v>2223.5854241926172</v>
      </c>
      <c r="BW138" s="197">
        <f t="shared" si="1108"/>
        <v>-211.79064508401643</v>
      </c>
      <c r="BX138" s="114">
        <f t="shared" si="1108"/>
        <v>1354.361902739985</v>
      </c>
      <c r="BY138" s="114">
        <f t="shared" si="1108"/>
        <v>-3012.7897838799759</v>
      </c>
      <c r="BZ138" s="114">
        <f t="shared" si="1108"/>
        <v>1758.8767275245027</v>
      </c>
      <c r="CA138" s="114">
        <f t="shared" si="1108"/>
        <v>-437.5485709559116</v>
      </c>
      <c r="CB138" s="114">
        <f t="shared" si="1108"/>
        <v>-1293.663856339519</v>
      </c>
      <c r="CC138" s="114">
        <f t="shared" si="1108"/>
        <v>2318.9203548496321</v>
      </c>
      <c r="CD138" s="114">
        <f t="shared" si="1108"/>
        <v>-2237.4347700224648</v>
      </c>
      <c r="CE138" s="114">
        <f t="shared" si="1108"/>
        <v>-3613.2829091190197</v>
      </c>
      <c r="CF138" s="114">
        <f t="shared" si="1108"/>
        <v>2695.5969152473826</v>
      </c>
      <c r="CG138" s="114">
        <f t="shared" si="1108"/>
        <v>-2228.0682045733629</v>
      </c>
      <c r="CH138" s="114">
        <f t="shared" si="1108"/>
        <v>3453.1052494143914</v>
      </c>
      <c r="CI138" s="197">
        <f t="shared" si="1108"/>
        <v>168.40760191195477</v>
      </c>
      <c r="CJ138" s="114">
        <f t="shared" si="1108"/>
        <v>1117.9831158457559</v>
      </c>
      <c r="CK138" s="114">
        <f t="shared" si="1108"/>
        <v>-3523.5950687248501</v>
      </c>
      <c r="CL138" s="114">
        <f t="shared" si="1108"/>
        <v>2310.6947715451233</v>
      </c>
      <c r="CM138" s="114">
        <f t="shared" si="1108"/>
        <v>-1171.9112641763159</v>
      </c>
      <c r="CN138" s="114">
        <f t="shared" si="1108"/>
        <v>-1497.9737667709232</v>
      </c>
      <c r="CO138" s="114">
        <f t="shared" si="1108"/>
        <v>3446.6298486733649</v>
      </c>
      <c r="CP138" s="114">
        <f t="shared" si="1108"/>
        <v>-3703.161368766122</v>
      </c>
      <c r="CQ138" s="114">
        <f t="shared" si="1108"/>
        <v>-4709.2398575397801</v>
      </c>
      <c r="CR138" s="114">
        <f t="shared" si="1108"/>
        <v>4170.5194842669116</v>
      </c>
      <c r="CS138" s="114">
        <f t="shared" si="1108"/>
        <v>-4061.1647871475161</v>
      </c>
      <c r="CT138" s="114">
        <f t="shared" si="1108"/>
        <v>5425.7655501459285</v>
      </c>
      <c r="CU138" s="197">
        <f t="shared" si="1108"/>
        <v>225.5706618173781</v>
      </c>
      <c r="CV138" s="114">
        <f t="shared" ref="CV138:DG138" si="1109">-(CV114-CU114)</f>
        <v>1575.359596198512</v>
      </c>
      <c r="CW138" s="114">
        <f t="shared" si="1109"/>
        <v>-4921.601892251826</v>
      </c>
      <c r="CX138" s="114">
        <f t="shared" si="1109"/>
        <v>3536.8484584639582</v>
      </c>
      <c r="CY138" s="114">
        <f t="shared" si="1109"/>
        <v>-2359.077014780999</v>
      </c>
      <c r="CZ138" s="114">
        <f t="shared" si="1109"/>
        <v>-1667.575607340219</v>
      </c>
      <c r="DA138" s="114">
        <f t="shared" si="1109"/>
        <v>5102.3609529412215</v>
      </c>
      <c r="DB138" s="114">
        <f t="shared" si="1109"/>
        <v>-5961.6454618456819</v>
      </c>
      <c r="DC138" s="114">
        <f t="shared" si="1109"/>
        <v>-5361.5684102081068</v>
      </c>
      <c r="DD138" s="114">
        <f t="shared" si="1109"/>
        <v>4509.1988659144627</v>
      </c>
      <c r="DE138" s="114">
        <f t="shared" si="1109"/>
        <v>-5164.8905596746154</v>
      </c>
      <c r="DF138" s="114">
        <f t="shared" si="1109"/>
        <v>8105.6413321173914</v>
      </c>
      <c r="DG138" s="114">
        <f t="shared" si="1109"/>
        <v>-597.31515727885198</v>
      </c>
    </row>
    <row r="139" spans="1:111" x14ac:dyDescent="0.3">
      <c r="B139" s="1" t="s">
        <v>42</v>
      </c>
      <c r="D139" s="114">
        <v>0</v>
      </c>
      <c r="E139" s="114">
        <v>0</v>
      </c>
      <c r="F139" s="114">
        <v>0</v>
      </c>
      <c r="G139" s="114">
        <v>0</v>
      </c>
      <c r="H139" s="114">
        <v>0</v>
      </c>
      <c r="I139" s="114">
        <v>0</v>
      </c>
      <c r="J139" s="114">
        <f t="shared" ref="J139:O139" si="1110">J125-H125</f>
        <v>0</v>
      </c>
      <c r="K139" s="114">
        <f t="shared" si="1110"/>
        <v>0</v>
      </c>
      <c r="L139" s="114">
        <f t="shared" si="1110"/>
        <v>0</v>
      </c>
      <c r="M139" s="114">
        <f t="shared" si="1110"/>
        <v>0</v>
      </c>
      <c r="N139" s="114">
        <f t="shared" si="1110"/>
        <v>0</v>
      </c>
      <c r="O139" s="114">
        <f t="shared" si="1110"/>
        <v>0</v>
      </c>
      <c r="P139" s="114">
        <f>P125-O125-(P119-O119)</f>
        <v>75</v>
      </c>
      <c r="Q139" s="114">
        <f>Q125-P125-(Q119-P119)</f>
        <v>0</v>
      </c>
      <c r="R139" s="114">
        <f t="shared" ref="R139:CC139" si="1111">R125-Q125-(R119-Q119)</f>
        <v>-30.950000000000003</v>
      </c>
      <c r="S139" s="114">
        <f t="shared" si="1111"/>
        <v>-29.049999999999997</v>
      </c>
      <c r="T139" s="114">
        <f t="shared" si="1111"/>
        <v>-101.25</v>
      </c>
      <c r="U139" s="114">
        <f t="shared" si="1111"/>
        <v>311.25</v>
      </c>
      <c r="V139" s="114">
        <f t="shared" si="1111"/>
        <v>75</v>
      </c>
      <c r="W139" s="114">
        <f t="shared" si="1111"/>
        <v>-65</v>
      </c>
      <c r="X139" s="114">
        <f t="shared" si="1111"/>
        <v>-250</v>
      </c>
      <c r="Y139" s="114">
        <f t="shared" si="1111"/>
        <v>90</v>
      </c>
      <c r="Z139" s="114">
        <f t="shared" si="1111"/>
        <v>-97.5</v>
      </c>
      <c r="AA139" s="114">
        <f t="shared" si="1111"/>
        <v>247.5</v>
      </c>
      <c r="AB139" s="114">
        <f t="shared" si="1111"/>
        <v>-210</v>
      </c>
      <c r="AC139" s="114">
        <f t="shared" si="1111"/>
        <v>37.5</v>
      </c>
      <c r="AD139" s="114">
        <f t="shared" si="1111"/>
        <v>-50</v>
      </c>
      <c r="AE139" s="114">
        <f t="shared" si="1111"/>
        <v>237.5</v>
      </c>
      <c r="AF139" s="114">
        <f t="shared" si="1111"/>
        <v>-157.53</v>
      </c>
      <c r="AG139" s="114">
        <f t="shared" si="1111"/>
        <v>779.04</v>
      </c>
      <c r="AH139" s="114">
        <f t="shared" si="1111"/>
        <v>583.3599999999999</v>
      </c>
      <c r="AI139" s="114">
        <f t="shared" si="1111"/>
        <v>-470.25</v>
      </c>
      <c r="AJ139" s="197">
        <f t="shared" si="1111"/>
        <v>27.170000000000073</v>
      </c>
      <c r="AK139" s="114">
        <f t="shared" si="1111"/>
        <v>-1001.79</v>
      </c>
      <c r="AL139" s="114">
        <f t="shared" si="1111"/>
        <v>0</v>
      </c>
      <c r="AM139" s="197">
        <f t="shared" si="1111"/>
        <v>0</v>
      </c>
      <c r="AN139" s="114">
        <f t="shared" si="1111"/>
        <v>0</v>
      </c>
      <c r="AO139" s="114">
        <f t="shared" si="1111"/>
        <v>0</v>
      </c>
      <c r="AP139" s="114">
        <f t="shared" si="1111"/>
        <v>0</v>
      </c>
      <c r="AQ139" s="114">
        <f t="shared" si="1111"/>
        <v>0</v>
      </c>
      <c r="AR139" s="114">
        <f t="shared" si="1111"/>
        <v>0</v>
      </c>
      <c r="AS139" s="114">
        <f t="shared" si="1111"/>
        <v>0</v>
      </c>
      <c r="AT139" s="114">
        <f t="shared" si="1111"/>
        <v>0</v>
      </c>
      <c r="AU139" s="114">
        <f t="shared" si="1111"/>
        <v>0</v>
      </c>
      <c r="AV139" s="114">
        <f t="shared" si="1111"/>
        <v>0</v>
      </c>
      <c r="AW139" s="114">
        <f t="shared" si="1111"/>
        <v>0</v>
      </c>
      <c r="AX139" s="114">
        <f t="shared" si="1111"/>
        <v>0</v>
      </c>
      <c r="AY139" s="197">
        <f t="shared" si="1111"/>
        <v>0</v>
      </c>
      <c r="AZ139" s="114">
        <f t="shared" si="1111"/>
        <v>0</v>
      </c>
      <c r="BA139" s="114">
        <f t="shared" si="1111"/>
        <v>0</v>
      </c>
      <c r="BB139" s="114">
        <f t="shared" si="1111"/>
        <v>0</v>
      </c>
      <c r="BC139" s="114">
        <f t="shared" si="1111"/>
        <v>0</v>
      </c>
      <c r="BD139" s="114">
        <f t="shared" si="1111"/>
        <v>0</v>
      </c>
      <c r="BE139" s="114">
        <f t="shared" si="1111"/>
        <v>0</v>
      </c>
      <c r="BF139" s="114">
        <f t="shared" si="1111"/>
        <v>0</v>
      </c>
      <c r="BG139" s="114">
        <f t="shared" si="1111"/>
        <v>0</v>
      </c>
      <c r="BH139" s="114">
        <f t="shared" si="1111"/>
        <v>0</v>
      </c>
      <c r="BI139" s="114">
        <f t="shared" si="1111"/>
        <v>0</v>
      </c>
      <c r="BJ139" s="114">
        <f t="shared" si="1111"/>
        <v>0</v>
      </c>
      <c r="BK139" s="197">
        <f t="shared" si="1111"/>
        <v>0</v>
      </c>
      <c r="BL139" s="114">
        <f t="shared" si="1111"/>
        <v>0</v>
      </c>
      <c r="BM139" s="114">
        <f t="shared" si="1111"/>
        <v>0</v>
      </c>
      <c r="BN139" s="114">
        <f t="shared" si="1111"/>
        <v>0</v>
      </c>
      <c r="BO139" s="114">
        <f t="shared" si="1111"/>
        <v>0</v>
      </c>
      <c r="BP139" s="114">
        <f t="shared" si="1111"/>
        <v>0</v>
      </c>
      <c r="BQ139" s="114">
        <f t="shared" si="1111"/>
        <v>0</v>
      </c>
      <c r="BR139" s="114">
        <f t="shared" si="1111"/>
        <v>0</v>
      </c>
      <c r="BS139" s="114">
        <f t="shared" si="1111"/>
        <v>0</v>
      </c>
      <c r="BT139" s="114">
        <f t="shared" si="1111"/>
        <v>0</v>
      </c>
      <c r="BU139" s="114">
        <f t="shared" si="1111"/>
        <v>0</v>
      </c>
      <c r="BV139" s="114">
        <f t="shared" si="1111"/>
        <v>0</v>
      </c>
      <c r="BW139" s="197">
        <f t="shared" si="1111"/>
        <v>0</v>
      </c>
      <c r="BX139" s="114">
        <f t="shared" si="1111"/>
        <v>0</v>
      </c>
      <c r="BY139" s="114">
        <f t="shared" si="1111"/>
        <v>0</v>
      </c>
      <c r="BZ139" s="114">
        <f t="shared" si="1111"/>
        <v>0</v>
      </c>
      <c r="CA139" s="114">
        <f t="shared" si="1111"/>
        <v>0</v>
      </c>
      <c r="CB139" s="114">
        <f t="shared" si="1111"/>
        <v>0</v>
      </c>
      <c r="CC139" s="114">
        <f t="shared" si="1111"/>
        <v>0</v>
      </c>
      <c r="CD139" s="114">
        <f t="shared" ref="CD139:DG139" si="1112">CD125-CC125-(CD119-CC119)</f>
        <v>0</v>
      </c>
      <c r="CE139" s="114">
        <f t="shared" si="1112"/>
        <v>0</v>
      </c>
      <c r="CF139" s="114">
        <f t="shared" si="1112"/>
        <v>0</v>
      </c>
      <c r="CG139" s="114">
        <f t="shared" si="1112"/>
        <v>0</v>
      </c>
      <c r="CH139" s="114">
        <f t="shared" si="1112"/>
        <v>0</v>
      </c>
      <c r="CI139" s="197">
        <f t="shared" si="1112"/>
        <v>0</v>
      </c>
      <c r="CJ139" s="114">
        <f t="shared" si="1112"/>
        <v>0</v>
      </c>
      <c r="CK139" s="114">
        <f t="shared" si="1112"/>
        <v>0</v>
      </c>
      <c r="CL139" s="114">
        <f t="shared" si="1112"/>
        <v>0</v>
      </c>
      <c r="CM139" s="114">
        <f t="shared" si="1112"/>
        <v>0</v>
      </c>
      <c r="CN139" s="114">
        <f t="shared" si="1112"/>
        <v>0</v>
      </c>
      <c r="CO139" s="114">
        <f t="shared" si="1112"/>
        <v>0</v>
      </c>
      <c r="CP139" s="114">
        <f t="shared" si="1112"/>
        <v>0</v>
      </c>
      <c r="CQ139" s="114">
        <f t="shared" si="1112"/>
        <v>0</v>
      </c>
      <c r="CR139" s="114">
        <f t="shared" si="1112"/>
        <v>0</v>
      </c>
      <c r="CS139" s="114">
        <f t="shared" si="1112"/>
        <v>0</v>
      </c>
      <c r="CT139" s="114">
        <f t="shared" si="1112"/>
        <v>0</v>
      </c>
      <c r="CU139" s="197">
        <f t="shared" si="1112"/>
        <v>0</v>
      </c>
      <c r="CV139" s="114">
        <f t="shared" si="1112"/>
        <v>0</v>
      </c>
      <c r="CW139" s="114">
        <f t="shared" si="1112"/>
        <v>0</v>
      </c>
      <c r="CX139" s="114">
        <f t="shared" si="1112"/>
        <v>0</v>
      </c>
      <c r="CY139" s="114">
        <f t="shared" si="1112"/>
        <v>0</v>
      </c>
      <c r="CZ139" s="114">
        <f t="shared" si="1112"/>
        <v>0</v>
      </c>
      <c r="DA139" s="114">
        <f t="shared" si="1112"/>
        <v>0</v>
      </c>
      <c r="DB139" s="114">
        <f t="shared" si="1112"/>
        <v>0</v>
      </c>
      <c r="DC139" s="114">
        <f t="shared" si="1112"/>
        <v>0</v>
      </c>
      <c r="DD139" s="114">
        <f t="shared" si="1112"/>
        <v>0</v>
      </c>
      <c r="DE139" s="114">
        <f t="shared" si="1112"/>
        <v>0</v>
      </c>
      <c r="DF139" s="114">
        <f t="shared" si="1112"/>
        <v>0</v>
      </c>
      <c r="DG139" s="114">
        <f t="shared" si="1112"/>
        <v>0</v>
      </c>
    </row>
    <row r="140" spans="1:111" s="3" customFormat="1" x14ac:dyDescent="0.3">
      <c r="A140"/>
      <c r="B140" s="4" t="s">
        <v>40</v>
      </c>
      <c r="D140" s="10">
        <f>SUM(D137:D139)</f>
        <v>0</v>
      </c>
      <c r="E140" s="10">
        <f t="shared" ref="E140:BP140" si="1113">SUM(E137:E139)</f>
        <v>0</v>
      </c>
      <c r="F140" s="10">
        <f t="shared" si="1113"/>
        <v>0</v>
      </c>
      <c r="G140" s="10">
        <f t="shared" si="1113"/>
        <v>0</v>
      </c>
      <c r="H140" s="10">
        <f t="shared" si="1113"/>
        <v>0</v>
      </c>
      <c r="I140" s="10">
        <f t="shared" si="1113"/>
        <v>0</v>
      </c>
      <c r="J140" s="10">
        <f t="shared" si="1113"/>
        <v>0</v>
      </c>
      <c r="K140" s="10">
        <f t="shared" si="1113"/>
        <v>0</v>
      </c>
      <c r="L140" s="10">
        <f t="shared" si="1113"/>
        <v>223</v>
      </c>
      <c r="M140" s="10">
        <f t="shared" si="1113"/>
        <v>803.36000000000013</v>
      </c>
      <c r="N140" s="10">
        <f t="shared" si="1113"/>
        <v>3022.8</v>
      </c>
      <c r="O140" s="10">
        <f t="shared" si="1113"/>
        <v>1930.41</v>
      </c>
      <c r="P140" s="10">
        <f>SUM(P137:P139)</f>
        <v>2225.86</v>
      </c>
      <c r="Q140" s="10">
        <f t="shared" si="1113"/>
        <v>1092.99</v>
      </c>
      <c r="R140" s="10">
        <f t="shared" si="1113"/>
        <v>1064.44</v>
      </c>
      <c r="S140" s="10">
        <f t="shared" si="1113"/>
        <v>1543.0300000000002</v>
      </c>
      <c r="T140" s="10">
        <f t="shared" si="1113"/>
        <v>1986.2599999999998</v>
      </c>
      <c r="U140" s="10">
        <f t="shared" si="1113"/>
        <v>1353.3600000000001</v>
      </c>
      <c r="V140" s="10">
        <f t="shared" si="1113"/>
        <v>2597.77</v>
      </c>
      <c r="W140" s="10">
        <f t="shared" si="1113"/>
        <v>6341.72</v>
      </c>
      <c r="X140" s="10">
        <f t="shared" si="1113"/>
        <v>5837.73</v>
      </c>
      <c r="Y140" s="10">
        <f t="shared" si="1113"/>
        <v>7750.9000000000005</v>
      </c>
      <c r="Z140" s="10">
        <f t="shared" si="1113"/>
        <v>4074.1899999999996</v>
      </c>
      <c r="AA140" s="10">
        <f t="shared" ref="AA140:AB140" si="1114">SUM(AA137:AA139)</f>
        <v>1694.53</v>
      </c>
      <c r="AB140" s="10">
        <f t="shared" si="1114"/>
        <v>2194.7600000000002</v>
      </c>
      <c r="AC140" s="10">
        <f t="shared" ref="AC140" si="1115">SUM(AC137:AC139)</f>
        <v>2584.54</v>
      </c>
      <c r="AD140" s="10">
        <f t="shared" si="1113"/>
        <v>2846.4700000000003</v>
      </c>
      <c r="AE140" s="10">
        <f t="shared" si="1113"/>
        <v>1090.1999999999998</v>
      </c>
      <c r="AF140" s="10">
        <f t="shared" si="1113"/>
        <v>4035.1</v>
      </c>
      <c r="AG140" s="10">
        <f t="shared" ref="AG140:AH140" si="1116">SUM(AG137:AG139)</f>
        <v>3087.61</v>
      </c>
      <c r="AH140" s="10">
        <f t="shared" si="1116"/>
        <v>4447.2300000000005</v>
      </c>
      <c r="AI140" s="10">
        <f t="shared" ref="AI140" si="1117">SUM(AI137:AI139)</f>
        <v>9808.6200000000008</v>
      </c>
      <c r="AJ140" s="380">
        <f t="shared" ref="AJ140" si="1118">SUM(AJ137:AJ139)</f>
        <v>7997.42</v>
      </c>
      <c r="AK140" s="10">
        <f t="shared" si="1113"/>
        <v>3442.8538614192203</v>
      </c>
      <c r="AL140" s="10">
        <f t="shared" si="1113"/>
        <v>4122.7355945347517</v>
      </c>
      <c r="AM140" s="380">
        <f t="shared" si="1113"/>
        <v>2425.843797816945</v>
      </c>
      <c r="AN140" s="10">
        <f t="shared" si="1113"/>
        <v>924.11228298345839</v>
      </c>
      <c r="AO140" s="10">
        <f t="shared" si="1113"/>
        <v>3974.2141883867989</v>
      </c>
      <c r="AP140" s="10">
        <f t="shared" si="1113"/>
        <v>3347.776458319312</v>
      </c>
      <c r="AQ140" s="10">
        <f t="shared" si="1113"/>
        <v>2746.4447049761329</v>
      </c>
      <c r="AR140" s="10">
        <f t="shared" si="1113"/>
        <v>4617.4220104049637</v>
      </c>
      <c r="AS140" s="10">
        <f t="shared" si="1113"/>
        <v>2685.9492983411637</v>
      </c>
      <c r="AT140" s="10">
        <f t="shared" si="1113"/>
        <v>2966.9083980891764</v>
      </c>
      <c r="AU140" s="10">
        <f t="shared" si="1113"/>
        <v>5008.5174729374721</v>
      </c>
      <c r="AV140" s="10">
        <f t="shared" si="1113"/>
        <v>6497.5405563369522</v>
      </c>
      <c r="AW140" s="10">
        <f t="shared" si="1113"/>
        <v>3867.8960728939628</v>
      </c>
      <c r="AX140" s="10">
        <f t="shared" si="1113"/>
        <v>5328.9338833143647</v>
      </c>
      <c r="AY140" s="380">
        <f t="shared" si="1113"/>
        <v>4443.7148311260162</v>
      </c>
      <c r="AZ140" s="10">
        <f t="shared" si="1113"/>
        <v>1545.1631422179366</v>
      </c>
      <c r="BA140" s="10">
        <f t="shared" si="1113"/>
        <v>3832.5933654511937</v>
      </c>
      <c r="BB140" s="10">
        <f t="shared" si="1113"/>
        <v>5549.7115278560523</v>
      </c>
      <c r="BC140" s="10">
        <f t="shared" si="1113"/>
        <v>2700.2968322411216</v>
      </c>
      <c r="BD140" s="10">
        <f t="shared" si="1113"/>
        <v>4908.0498462027517</v>
      </c>
      <c r="BE140" s="10">
        <f t="shared" si="1113"/>
        <v>4895.8841016492852</v>
      </c>
      <c r="BF140" s="10">
        <f t="shared" si="1113"/>
        <v>2625.0972797904342</v>
      </c>
      <c r="BG140" s="10">
        <f t="shared" si="1113"/>
        <v>5582.4000862108223</v>
      </c>
      <c r="BH140" s="10">
        <f t="shared" si="1113"/>
        <v>7572.4055962240072</v>
      </c>
      <c r="BI140" s="10">
        <f t="shared" si="1113"/>
        <v>3874.7176107006289</v>
      </c>
      <c r="BJ140" s="10">
        <f t="shared" si="1113"/>
        <v>7123.8826796522444</v>
      </c>
      <c r="BK140" s="380">
        <f t="shared" si="1113"/>
        <v>4914.382684525046</v>
      </c>
      <c r="BL140" s="10">
        <f t="shared" si="1113"/>
        <v>3126.1097798881638</v>
      </c>
      <c r="BM140" s="10">
        <f t="shared" si="1113"/>
        <v>3738.9928132719219</v>
      </c>
      <c r="BN140" s="10">
        <f t="shared" si="1113"/>
        <v>6169.4742789808934</v>
      </c>
      <c r="BO140" s="10">
        <f t="shared" si="1113"/>
        <v>2287.992157384007</v>
      </c>
      <c r="BP140" s="10">
        <f t="shared" si="1113"/>
        <v>5358.4819723752535</v>
      </c>
      <c r="BQ140" s="10">
        <f t="shared" ref="BQ140:DG140" si="1119">SUM(BQ137:BQ139)</f>
        <v>6460.5500421210099</v>
      </c>
      <c r="BR140" s="10">
        <f t="shared" si="1119"/>
        <v>2105.2162533415294</v>
      </c>
      <c r="BS140" s="10">
        <f t="shared" si="1119"/>
        <v>6088.4047692608365</v>
      </c>
      <c r="BT140" s="10">
        <f t="shared" si="1119"/>
        <v>9371.4463232373582</v>
      </c>
      <c r="BU140" s="10">
        <f t="shared" si="1119"/>
        <v>3886.4726815014046</v>
      </c>
      <c r="BV140" s="10">
        <f t="shared" si="1119"/>
        <v>8150.3742959767806</v>
      </c>
      <c r="BW140" s="380">
        <f t="shared" si="1119"/>
        <v>5503.714142250944</v>
      </c>
      <c r="BX140" s="10">
        <f t="shared" si="1119"/>
        <v>2933.5488687811535</v>
      </c>
      <c r="BY140" s="10">
        <f t="shared" si="1119"/>
        <v>3613.5149605095244</v>
      </c>
      <c r="BZ140" s="10">
        <f t="shared" si="1119"/>
        <v>7406.3475245865047</v>
      </c>
      <c r="CA140" s="10">
        <f t="shared" si="1119"/>
        <v>1753.275541879827</v>
      </c>
      <c r="CB140" s="10">
        <f t="shared" si="1119"/>
        <v>5325.4914690132427</v>
      </c>
      <c r="CC140" s="10">
        <f t="shared" si="1119"/>
        <v>8019.8095935541623</v>
      </c>
      <c r="CD140" s="10">
        <f t="shared" si="1119"/>
        <v>1351.203728685357</v>
      </c>
      <c r="CE140" s="10">
        <f t="shared" si="1119"/>
        <v>6632.4729909559883</v>
      </c>
      <c r="CF140" s="10">
        <f t="shared" si="1119"/>
        <v>12007.75687991349</v>
      </c>
      <c r="CG140" s="10">
        <f t="shared" si="1119"/>
        <v>3395.726715976336</v>
      </c>
      <c r="CH140" s="10">
        <f t="shared" si="1119"/>
        <v>10241.04425544028</v>
      </c>
      <c r="CI140" s="380">
        <f t="shared" si="1119"/>
        <v>6384.4099297595276</v>
      </c>
      <c r="CJ140" s="10">
        <f t="shared" si="1119"/>
        <v>1896.1094313696226</v>
      </c>
      <c r="CK140" s="10">
        <f t="shared" si="1119"/>
        <v>4038.4631410265506</v>
      </c>
      <c r="CL140" s="10">
        <f t="shared" si="1119"/>
        <v>8589.2971499974719</v>
      </c>
      <c r="CM140" s="10">
        <f t="shared" si="1119"/>
        <v>441.95557901036773</v>
      </c>
      <c r="CN140" s="10">
        <f t="shared" si="1119"/>
        <v>6292.7694189095137</v>
      </c>
      <c r="CO140" s="10">
        <f t="shared" si="1119"/>
        <v>9808.1077821536528</v>
      </c>
      <c r="CP140" s="10">
        <f t="shared" si="1119"/>
        <v>-39.31747906588862</v>
      </c>
      <c r="CQ140" s="10">
        <f t="shared" si="1119"/>
        <v>8183.4286613116965</v>
      </c>
      <c r="CR140" s="10">
        <f t="shared" si="1119"/>
        <v>15391.123663823741</v>
      </c>
      <c r="CS140" s="10">
        <f t="shared" si="1119"/>
        <v>2577.3740371533322</v>
      </c>
      <c r="CT140" s="10">
        <f t="shared" si="1119"/>
        <v>13439.753167061543</v>
      </c>
      <c r="CU140" s="380">
        <f t="shared" si="1119"/>
        <v>7442.5249698192192</v>
      </c>
      <c r="CV140" s="10">
        <f t="shared" si="1119"/>
        <v>970.75859657439912</v>
      </c>
      <c r="CW140" s="10">
        <f t="shared" si="1119"/>
        <v>4198.4982653877514</v>
      </c>
      <c r="CX140" s="10">
        <f t="shared" si="1119"/>
        <v>10673.115596771453</v>
      </c>
      <c r="CY140" s="10">
        <f t="shared" si="1119"/>
        <v>-1584.9552591724714</v>
      </c>
      <c r="CZ140" s="10">
        <f t="shared" si="1119"/>
        <v>7764.8509411457289</v>
      </c>
      <c r="DA140" s="10">
        <f t="shared" si="1119"/>
        <v>12324.285145492711</v>
      </c>
      <c r="DB140" s="10">
        <f t="shared" si="1119"/>
        <v>-2211.5710076388732</v>
      </c>
      <c r="DC140" s="10">
        <f t="shared" si="1119"/>
        <v>10650.721606634061</v>
      </c>
      <c r="DD140" s="10">
        <f t="shared" si="1119"/>
        <v>19313.521658731392</v>
      </c>
      <c r="DE140" s="10">
        <f t="shared" si="1119"/>
        <v>2382.7170240258774</v>
      </c>
      <c r="DF140" s="10">
        <f t="shared" si="1119"/>
        <v>17556.063388482398</v>
      </c>
      <c r="DG140" s="10">
        <f t="shared" si="1119"/>
        <v>8314.3719105056571</v>
      </c>
    </row>
    <row r="141" spans="1:111" x14ac:dyDescent="0.3">
      <c r="AJ141" s="381"/>
      <c r="AM141" s="196"/>
      <c r="AY141" s="196"/>
      <c r="BK141" s="196"/>
      <c r="BW141" s="196"/>
      <c r="CI141" s="196"/>
      <c r="CU141" s="196"/>
    </row>
    <row r="142" spans="1:111" x14ac:dyDescent="0.3">
      <c r="AJ142" s="196"/>
      <c r="AM142" s="196"/>
      <c r="AY142" s="196"/>
      <c r="BK142" s="196"/>
      <c r="BW142" s="196"/>
      <c r="CI142" s="196"/>
      <c r="CU142" s="196"/>
    </row>
    <row r="143" spans="1:111" x14ac:dyDescent="0.3">
      <c r="B143" s="1" t="s">
        <v>43</v>
      </c>
      <c r="E143" s="114">
        <f t="shared" ref="E143:J143" si="1120">SUM(E127:E129)-SUM(D127:D129)</f>
        <v>0</v>
      </c>
      <c r="F143" s="114">
        <f t="shared" si="1120"/>
        <v>0</v>
      </c>
      <c r="G143" s="114">
        <f t="shared" si="1120"/>
        <v>0</v>
      </c>
      <c r="H143" s="114">
        <f t="shared" si="1120"/>
        <v>0</v>
      </c>
      <c r="I143" s="114">
        <f t="shared" si="1120"/>
        <v>0</v>
      </c>
      <c r="J143" s="114">
        <f t="shared" si="1120"/>
        <v>0</v>
      </c>
      <c r="K143" s="114">
        <f>SUM(K127:K128)-SUM(J127:J128)</f>
        <v>255</v>
      </c>
      <c r="L143" s="114">
        <f t="shared" ref="L143:BW143" si="1121">SUM(L127:L128)-SUM(K127:K128)</f>
        <v>0</v>
      </c>
      <c r="M143" s="114">
        <f t="shared" si="1121"/>
        <v>-261</v>
      </c>
      <c r="N143" s="114">
        <f t="shared" si="1121"/>
        <v>-3180.76</v>
      </c>
      <c r="O143" s="114">
        <f t="shared" si="1121"/>
        <v>-2848.71</v>
      </c>
      <c r="P143" s="114">
        <f t="shared" si="1121"/>
        <v>-1999.9999999999991</v>
      </c>
      <c r="Q143" s="114">
        <f t="shared" si="1121"/>
        <v>-1050</v>
      </c>
      <c r="R143" s="114">
        <f t="shared" si="1121"/>
        <v>-1150</v>
      </c>
      <c r="S143" s="114">
        <f t="shared" si="1121"/>
        <v>-1275</v>
      </c>
      <c r="T143" s="114">
        <f t="shared" si="1121"/>
        <v>-2081.4699999999993</v>
      </c>
      <c r="U143" s="114">
        <f t="shared" si="1121"/>
        <v>-1220</v>
      </c>
      <c r="V143" s="114">
        <f t="shared" si="1121"/>
        <v>-2464.6100000000042</v>
      </c>
      <c r="W143" s="114">
        <f t="shared" si="1121"/>
        <v>-6405</v>
      </c>
      <c r="X143" s="114">
        <f t="shared" si="1121"/>
        <v>-5600</v>
      </c>
      <c r="Y143" s="114">
        <f t="shared" si="1121"/>
        <v>-7838.7799999999988</v>
      </c>
      <c r="Z143" s="114">
        <f t="shared" si="1121"/>
        <v>-4000</v>
      </c>
      <c r="AA143" s="114">
        <f t="shared" si="1121"/>
        <v>-1425</v>
      </c>
      <c r="AB143" s="114">
        <f t="shared" si="1121"/>
        <v>-1900</v>
      </c>
      <c r="AC143" s="114">
        <f t="shared" si="1121"/>
        <v>-3325</v>
      </c>
      <c r="AD143" s="114">
        <f t="shared" si="1121"/>
        <v>-3220</v>
      </c>
      <c r="AE143" s="114">
        <f t="shared" si="1121"/>
        <v>75</v>
      </c>
      <c r="AF143" s="114">
        <f t="shared" si="1121"/>
        <v>-4100</v>
      </c>
      <c r="AG143" s="114">
        <f t="shared" si="1121"/>
        <v>-2750</v>
      </c>
      <c r="AH143" s="114">
        <f t="shared" si="1121"/>
        <v>-2903.9499999999971</v>
      </c>
      <c r="AI143" s="114">
        <f t="shared" si="1121"/>
        <v>-9775</v>
      </c>
      <c r="AJ143" s="197">
        <f t="shared" si="1121"/>
        <v>-6767.5</v>
      </c>
      <c r="AK143" s="114">
        <f t="shared" si="1121"/>
        <v>-2898.7397136212094</v>
      </c>
      <c r="AL143" s="114">
        <f t="shared" si="1121"/>
        <v>-1807.6730816490308</v>
      </c>
      <c r="AM143" s="197">
        <f t="shared" si="1121"/>
        <v>-1664.0682986084284</v>
      </c>
      <c r="AN143" s="114">
        <f t="shared" si="1121"/>
        <v>-499.94009878025099</v>
      </c>
      <c r="AO143" s="114">
        <f t="shared" si="1121"/>
        <v>-3403.6574837308872</v>
      </c>
      <c r="AP143" s="114">
        <f t="shared" si="1121"/>
        <v>-1851.139742614585</v>
      </c>
      <c r="AQ143" s="114">
        <f t="shared" si="1121"/>
        <v>-2216.3339023894659</v>
      </c>
      <c r="AR143" s="114">
        <f t="shared" si="1121"/>
        <v>-3368.8333263389068</v>
      </c>
      <c r="AS143" s="114">
        <f t="shared" si="1121"/>
        <v>-1325.0691028384026</v>
      </c>
      <c r="AT143" s="114">
        <f t="shared" si="1121"/>
        <v>-2722.6244752027851</v>
      </c>
      <c r="AU143" s="114">
        <f t="shared" si="1121"/>
        <v>-4157.5310952227155</v>
      </c>
      <c r="AV143" s="114">
        <f t="shared" si="1121"/>
        <v>-4160.1129494840134</v>
      </c>
      <c r="AW143" s="114">
        <f t="shared" si="1121"/>
        <v>-3278.9893704721035</v>
      </c>
      <c r="AX143" s="114">
        <f t="shared" si="1121"/>
        <v>-2536.6411275089049</v>
      </c>
      <c r="AY143" s="197">
        <f t="shared" si="1121"/>
        <v>-3288.7991086448892</v>
      </c>
      <c r="AZ143" s="114">
        <f t="shared" si="1121"/>
        <v>-766.75831447716337</v>
      </c>
      <c r="BA143" s="114">
        <f t="shared" si="1121"/>
        <v>-3626.6623908305482</v>
      </c>
      <c r="BB143" s="114">
        <f t="shared" si="1121"/>
        <v>-3304.7023086880654</v>
      </c>
      <c r="BC143" s="114">
        <f t="shared" si="1121"/>
        <v>-2240.6160168177594</v>
      </c>
      <c r="BD143" s="114">
        <f t="shared" si="1121"/>
        <v>-3576.3704604973755</v>
      </c>
      <c r="BE143" s="114">
        <f t="shared" si="1121"/>
        <v>-2781.9778032516479</v>
      </c>
      <c r="BF143" s="114">
        <f t="shared" si="1121"/>
        <v>-2783.2727904309286</v>
      </c>
      <c r="BG143" s="114">
        <f t="shared" si="1121"/>
        <v>-4746.5538737877214</v>
      </c>
      <c r="BH143" s="114">
        <f t="shared" si="1121"/>
        <v>-4738.6648745441344</v>
      </c>
      <c r="BI143" s="114">
        <f t="shared" si="1121"/>
        <v>-3388.0631528098893</v>
      </c>
      <c r="BJ143" s="114">
        <f t="shared" si="1121"/>
        <v>-3679.775207562634</v>
      </c>
      <c r="BK143" s="197">
        <f t="shared" si="1121"/>
        <v>-3634.4945270008175</v>
      </c>
      <c r="BL143" s="114">
        <f t="shared" si="1121"/>
        <v>-1496.1868663534115</v>
      </c>
      <c r="BM143" s="114">
        <f t="shared" si="1121"/>
        <v>-3989.8883604961156</v>
      </c>
      <c r="BN143" s="114">
        <f t="shared" si="1121"/>
        <v>-3592.4859601892822</v>
      </c>
      <c r="BO143" s="114">
        <f t="shared" si="1121"/>
        <v>-2037.815342311631</v>
      </c>
      <c r="BP143" s="114">
        <f t="shared" si="1121"/>
        <v>-3924.231768709491</v>
      </c>
      <c r="BQ143" s="114">
        <f t="shared" si="1121"/>
        <v>-3622.3051413521462</v>
      </c>
      <c r="BR143" s="114">
        <f t="shared" si="1121"/>
        <v>-2717.5974887615594</v>
      </c>
      <c r="BS143" s="114">
        <f t="shared" si="1121"/>
        <v>-5732.9041417364788</v>
      </c>
      <c r="BT143" s="114">
        <f t="shared" si="1121"/>
        <v>-5568.5696555948816</v>
      </c>
      <c r="BU143" s="114">
        <f t="shared" si="1121"/>
        <v>-3494.3695228581782</v>
      </c>
      <c r="BV143" s="114">
        <f t="shared" si="1121"/>
        <v>-4148.752210248902</v>
      </c>
      <c r="BW143" s="197">
        <f t="shared" si="1121"/>
        <v>-4000.8533511344867</v>
      </c>
      <c r="BX143" s="114">
        <f t="shared" ref="BX143:DG143" si="1122">SUM(BX127:BX128)-SUM(BW127:BW128)</f>
        <v>-1105.4308762288128</v>
      </c>
      <c r="BY143" s="114">
        <f t="shared" si="1122"/>
        <v>-4638.4133210726432</v>
      </c>
      <c r="BZ143" s="114">
        <f t="shared" si="1122"/>
        <v>-3953.229557943414</v>
      </c>
      <c r="CA143" s="114">
        <f t="shared" si="1122"/>
        <v>-1533.5768789850117</v>
      </c>
      <c r="CB143" s="114">
        <f t="shared" si="1122"/>
        <v>-4633.4087277469225</v>
      </c>
      <c r="CC143" s="114">
        <f t="shared" si="1122"/>
        <v>-3990.6224670931697</v>
      </c>
      <c r="CD143" s="114">
        <f t="shared" si="1122"/>
        <v>-2512.0469490954711</v>
      </c>
      <c r="CE143" s="114">
        <f t="shared" si="1122"/>
        <v>-7172.0291300525132</v>
      </c>
      <c r="CF143" s="114">
        <f t="shared" si="1122"/>
        <v>-6518.5119752662722</v>
      </c>
      <c r="CG143" s="114">
        <f t="shared" si="1122"/>
        <v>-3936.6564443847747</v>
      </c>
      <c r="CH143" s="114">
        <f t="shared" si="1122"/>
        <v>-4751.5573042181204</v>
      </c>
      <c r="CI143" s="197">
        <f t="shared" si="1122"/>
        <v>-4351.2016294932982</v>
      </c>
      <c r="CJ143" s="114">
        <f t="shared" si="1122"/>
        <v>-544.68842086670338</v>
      </c>
      <c r="CK143" s="114">
        <f t="shared" si="1122"/>
        <v>-5293.4407468259742</v>
      </c>
      <c r="CL143" s="114">
        <f t="shared" si="1122"/>
        <v>-4395.021664916625</v>
      </c>
      <c r="CM143" s="114">
        <f t="shared" si="1122"/>
        <v>-1129.7067902307026</v>
      </c>
      <c r="CN143" s="114">
        <f t="shared" si="1122"/>
        <v>-5453.5202299763332</v>
      </c>
      <c r="CO143" s="114">
        <f t="shared" si="1122"/>
        <v>-4453.0345534362132</v>
      </c>
      <c r="CP143" s="114">
        <f t="shared" si="1122"/>
        <v>-2564.6907227901393</v>
      </c>
      <c r="CQ143" s="114">
        <f t="shared" si="1122"/>
        <v>-9024.8679631960113</v>
      </c>
      <c r="CR143" s="114">
        <f t="shared" si="1122"/>
        <v>-7854.4229256897816</v>
      </c>
      <c r="CS143" s="114">
        <f t="shared" si="1122"/>
        <v>-4646.9771770106163</v>
      </c>
      <c r="CT143" s="114">
        <f t="shared" si="1122"/>
        <v>-5609.7913318409119</v>
      </c>
      <c r="CU143" s="197">
        <f t="shared" si="1122"/>
        <v>-5051.8680156012997</v>
      </c>
      <c r="CV143" s="114">
        <f t="shared" si="1122"/>
        <v>423.22069973690668</v>
      </c>
      <c r="CW143" s="114">
        <f t="shared" si="1122"/>
        <v>-6384.070110347704</v>
      </c>
      <c r="CX143" s="114">
        <f t="shared" si="1122"/>
        <v>-4995.3869968152721</v>
      </c>
      <c r="CY143" s="114">
        <f t="shared" si="1122"/>
        <v>-541.88522892596666</v>
      </c>
      <c r="CZ143" s="114">
        <f t="shared" si="1122"/>
        <v>-6602.6985839401605</v>
      </c>
      <c r="DA143" s="114">
        <f t="shared" si="1122"/>
        <v>-5055.3469347860664</v>
      </c>
      <c r="DB143" s="114">
        <f t="shared" si="1122"/>
        <v>-2625.0521179447533</v>
      </c>
      <c r="DC143" s="114">
        <f t="shared" si="1122"/>
        <v>-11208.603011789499</v>
      </c>
      <c r="DD143" s="114">
        <f t="shared" si="1122"/>
        <v>-10363.025954971847</v>
      </c>
      <c r="DE143" s="114">
        <f t="shared" si="1122"/>
        <v>-5283.3253085903707</v>
      </c>
      <c r="DF143" s="114">
        <f t="shared" si="1122"/>
        <v>-6615.2954394554836</v>
      </c>
      <c r="DG143" s="114">
        <f t="shared" si="1122"/>
        <v>-6238.1809474491747</v>
      </c>
    </row>
    <row r="144" spans="1:111" x14ac:dyDescent="0.3">
      <c r="A144" s="3"/>
      <c r="B144" s="4" t="s">
        <v>44</v>
      </c>
      <c r="C144" s="3"/>
      <c r="D144" s="10">
        <v>0</v>
      </c>
      <c r="E144" s="10">
        <f>E143</f>
        <v>0</v>
      </c>
      <c r="F144" s="10">
        <f t="shared" ref="F144:BQ144" si="1123">F143</f>
        <v>0</v>
      </c>
      <c r="G144" s="10">
        <f t="shared" si="1123"/>
        <v>0</v>
      </c>
      <c r="H144" s="10">
        <f t="shared" si="1123"/>
        <v>0</v>
      </c>
      <c r="I144" s="10">
        <f t="shared" si="1123"/>
        <v>0</v>
      </c>
      <c r="J144" s="10">
        <f t="shared" si="1123"/>
        <v>0</v>
      </c>
      <c r="K144" s="10">
        <f t="shared" si="1123"/>
        <v>255</v>
      </c>
      <c r="L144" s="10">
        <f t="shared" si="1123"/>
        <v>0</v>
      </c>
      <c r="M144" s="10">
        <f t="shared" si="1123"/>
        <v>-261</v>
      </c>
      <c r="N144" s="10">
        <f t="shared" si="1123"/>
        <v>-3180.76</v>
      </c>
      <c r="O144" s="10">
        <f t="shared" si="1123"/>
        <v>-2848.71</v>
      </c>
      <c r="P144" s="10">
        <f>P143</f>
        <v>-1999.9999999999991</v>
      </c>
      <c r="Q144" s="10">
        <f t="shared" si="1123"/>
        <v>-1050</v>
      </c>
      <c r="R144" s="10">
        <f t="shared" si="1123"/>
        <v>-1150</v>
      </c>
      <c r="S144" s="10">
        <f t="shared" si="1123"/>
        <v>-1275</v>
      </c>
      <c r="T144" s="10">
        <f t="shared" si="1123"/>
        <v>-2081.4699999999993</v>
      </c>
      <c r="U144" s="10">
        <f t="shared" si="1123"/>
        <v>-1220</v>
      </c>
      <c r="V144" s="10">
        <f t="shared" si="1123"/>
        <v>-2464.6100000000042</v>
      </c>
      <c r="W144" s="10">
        <f t="shared" si="1123"/>
        <v>-6405</v>
      </c>
      <c r="X144" s="10">
        <f t="shared" si="1123"/>
        <v>-5600</v>
      </c>
      <c r="Y144" s="10">
        <f t="shared" si="1123"/>
        <v>-7838.7799999999988</v>
      </c>
      <c r="Z144" s="10">
        <f t="shared" si="1123"/>
        <v>-4000</v>
      </c>
      <c r="AA144" s="10">
        <f t="shared" ref="AA144:AB144" si="1124">AA143</f>
        <v>-1425</v>
      </c>
      <c r="AB144" s="10">
        <f t="shared" si="1124"/>
        <v>-1900</v>
      </c>
      <c r="AC144" s="10">
        <f t="shared" ref="AC144" si="1125">AC143</f>
        <v>-3325</v>
      </c>
      <c r="AD144" s="10">
        <f t="shared" si="1123"/>
        <v>-3220</v>
      </c>
      <c r="AE144" s="10">
        <f t="shared" si="1123"/>
        <v>75</v>
      </c>
      <c r="AF144" s="10">
        <f t="shared" si="1123"/>
        <v>-4100</v>
      </c>
      <c r="AG144" s="10">
        <f t="shared" ref="AG144:AH144" si="1126">AG143</f>
        <v>-2750</v>
      </c>
      <c r="AH144" s="10">
        <f t="shared" si="1126"/>
        <v>-2903.9499999999971</v>
      </c>
      <c r="AI144" s="10">
        <f t="shared" ref="AI144" si="1127">AI143</f>
        <v>-9775</v>
      </c>
      <c r="AJ144" s="380">
        <f t="shared" ref="AJ144" si="1128">AJ143</f>
        <v>-6767.5</v>
      </c>
      <c r="AK144" s="10">
        <f t="shared" si="1123"/>
        <v>-2898.7397136212094</v>
      </c>
      <c r="AL144" s="10">
        <f t="shared" si="1123"/>
        <v>-1807.6730816490308</v>
      </c>
      <c r="AM144" s="380">
        <f t="shared" si="1123"/>
        <v>-1664.0682986084284</v>
      </c>
      <c r="AN144" s="10">
        <f t="shared" si="1123"/>
        <v>-499.94009878025099</v>
      </c>
      <c r="AO144" s="10">
        <f t="shared" si="1123"/>
        <v>-3403.6574837308872</v>
      </c>
      <c r="AP144" s="10">
        <f t="shared" si="1123"/>
        <v>-1851.139742614585</v>
      </c>
      <c r="AQ144" s="10">
        <f t="shared" si="1123"/>
        <v>-2216.3339023894659</v>
      </c>
      <c r="AR144" s="10">
        <f t="shared" si="1123"/>
        <v>-3368.8333263389068</v>
      </c>
      <c r="AS144" s="10">
        <f t="shared" si="1123"/>
        <v>-1325.0691028384026</v>
      </c>
      <c r="AT144" s="10">
        <f t="shared" si="1123"/>
        <v>-2722.6244752027851</v>
      </c>
      <c r="AU144" s="10">
        <f t="shared" si="1123"/>
        <v>-4157.5310952227155</v>
      </c>
      <c r="AV144" s="10">
        <f t="shared" si="1123"/>
        <v>-4160.1129494840134</v>
      </c>
      <c r="AW144" s="10">
        <f t="shared" si="1123"/>
        <v>-3278.9893704721035</v>
      </c>
      <c r="AX144" s="10">
        <f t="shared" si="1123"/>
        <v>-2536.6411275089049</v>
      </c>
      <c r="AY144" s="380">
        <f t="shared" si="1123"/>
        <v>-3288.7991086448892</v>
      </c>
      <c r="AZ144" s="10">
        <f t="shared" si="1123"/>
        <v>-766.75831447716337</v>
      </c>
      <c r="BA144" s="10">
        <f t="shared" si="1123"/>
        <v>-3626.6623908305482</v>
      </c>
      <c r="BB144" s="10">
        <f t="shared" si="1123"/>
        <v>-3304.7023086880654</v>
      </c>
      <c r="BC144" s="10">
        <f t="shared" si="1123"/>
        <v>-2240.6160168177594</v>
      </c>
      <c r="BD144" s="10">
        <f t="shared" si="1123"/>
        <v>-3576.3704604973755</v>
      </c>
      <c r="BE144" s="10">
        <f t="shared" si="1123"/>
        <v>-2781.9778032516479</v>
      </c>
      <c r="BF144" s="10">
        <f t="shared" si="1123"/>
        <v>-2783.2727904309286</v>
      </c>
      <c r="BG144" s="10">
        <f t="shared" si="1123"/>
        <v>-4746.5538737877214</v>
      </c>
      <c r="BH144" s="10">
        <f t="shared" si="1123"/>
        <v>-4738.6648745441344</v>
      </c>
      <c r="BI144" s="10">
        <f t="shared" si="1123"/>
        <v>-3388.0631528098893</v>
      </c>
      <c r="BJ144" s="10">
        <f t="shared" si="1123"/>
        <v>-3679.775207562634</v>
      </c>
      <c r="BK144" s="380">
        <f t="shared" si="1123"/>
        <v>-3634.4945270008175</v>
      </c>
      <c r="BL144" s="10">
        <f t="shared" si="1123"/>
        <v>-1496.1868663534115</v>
      </c>
      <c r="BM144" s="10">
        <f t="shared" si="1123"/>
        <v>-3989.8883604961156</v>
      </c>
      <c r="BN144" s="10">
        <f t="shared" si="1123"/>
        <v>-3592.4859601892822</v>
      </c>
      <c r="BO144" s="10">
        <f t="shared" si="1123"/>
        <v>-2037.815342311631</v>
      </c>
      <c r="BP144" s="10">
        <f t="shared" si="1123"/>
        <v>-3924.231768709491</v>
      </c>
      <c r="BQ144" s="10">
        <f t="shared" si="1123"/>
        <v>-3622.3051413521462</v>
      </c>
      <c r="BR144" s="10">
        <f t="shared" ref="BR144:DG144" si="1129">BR143</f>
        <v>-2717.5974887615594</v>
      </c>
      <c r="BS144" s="10">
        <f t="shared" si="1129"/>
        <v>-5732.9041417364788</v>
      </c>
      <c r="BT144" s="10">
        <f t="shared" si="1129"/>
        <v>-5568.5696555948816</v>
      </c>
      <c r="BU144" s="10">
        <f t="shared" si="1129"/>
        <v>-3494.3695228581782</v>
      </c>
      <c r="BV144" s="10">
        <f t="shared" si="1129"/>
        <v>-4148.752210248902</v>
      </c>
      <c r="BW144" s="380">
        <f t="shared" si="1129"/>
        <v>-4000.8533511344867</v>
      </c>
      <c r="BX144" s="10">
        <f t="shared" si="1129"/>
        <v>-1105.4308762288128</v>
      </c>
      <c r="BY144" s="10">
        <f t="shared" si="1129"/>
        <v>-4638.4133210726432</v>
      </c>
      <c r="BZ144" s="10">
        <f t="shared" si="1129"/>
        <v>-3953.229557943414</v>
      </c>
      <c r="CA144" s="10">
        <f t="shared" si="1129"/>
        <v>-1533.5768789850117</v>
      </c>
      <c r="CB144" s="10">
        <f t="shared" si="1129"/>
        <v>-4633.4087277469225</v>
      </c>
      <c r="CC144" s="10">
        <f t="shared" si="1129"/>
        <v>-3990.6224670931697</v>
      </c>
      <c r="CD144" s="10">
        <f t="shared" si="1129"/>
        <v>-2512.0469490954711</v>
      </c>
      <c r="CE144" s="10">
        <f t="shared" si="1129"/>
        <v>-7172.0291300525132</v>
      </c>
      <c r="CF144" s="10">
        <f t="shared" si="1129"/>
        <v>-6518.5119752662722</v>
      </c>
      <c r="CG144" s="10">
        <f t="shared" si="1129"/>
        <v>-3936.6564443847747</v>
      </c>
      <c r="CH144" s="10">
        <f t="shared" si="1129"/>
        <v>-4751.5573042181204</v>
      </c>
      <c r="CI144" s="380">
        <f t="shared" si="1129"/>
        <v>-4351.2016294932982</v>
      </c>
      <c r="CJ144" s="10">
        <f t="shared" si="1129"/>
        <v>-544.68842086670338</v>
      </c>
      <c r="CK144" s="10">
        <f t="shared" si="1129"/>
        <v>-5293.4407468259742</v>
      </c>
      <c r="CL144" s="10">
        <f t="shared" si="1129"/>
        <v>-4395.021664916625</v>
      </c>
      <c r="CM144" s="10">
        <f t="shared" si="1129"/>
        <v>-1129.7067902307026</v>
      </c>
      <c r="CN144" s="10">
        <f t="shared" si="1129"/>
        <v>-5453.5202299763332</v>
      </c>
      <c r="CO144" s="10">
        <f t="shared" si="1129"/>
        <v>-4453.0345534362132</v>
      </c>
      <c r="CP144" s="10">
        <f t="shared" si="1129"/>
        <v>-2564.6907227901393</v>
      </c>
      <c r="CQ144" s="10">
        <f t="shared" si="1129"/>
        <v>-9024.8679631960113</v>
      </c>
      <c r="CR144" s="10">
        <f t="shared" si="1129"/>
        <v>-7854.4229256897816</v>
      </c>
      <c r="CS144" s="10">
        <f t="shared" si="1129"/>
        <v>-4646.9771770106163</v>
      </c>
      <c r="CT144" s="10">
        <f t="shared" si="1129"/>
        <v>-5609.7913318409119</v>
      </c>
      <c r="CU144" s="380">
        <f t="shared" si="1129"/>
        <v>-5051.8680156012997</v>
      </c>
      <c r="CV144" s="10">
        <f t="shared" si="1129"/>
        <v>423.22069973690668</v>
      </c>
      <c r="CW144" s="10">
        <f t="shared" si="1129"/>
        <v>-6384.070110347704</v>
      </c>
      <c r="CX144" s="10">
        <f t="shared" si="1129"/>
        <v>-4995.3869968152721</v>
      </c>
      <c r="CY144" s="10">
        <f t="shared" si="1129"/>
        <v>-541.88522892596666</v>
      </c>
      <c r="CZ144" s="10">
        <f t="shared" si="1129"/>
        <v>-6602.6985839401605</v>
      </c>
      <c r="DA144" s="10">
        <f t="shared" si="1129"/>
        <v>-5055.3469347860664</v>
      </c>
      <c r="DB144" s="10">
        <f t="shared" si="1129"/>
        <v>-2625.0521179447533</v>
      </c>
      <c r="DC144" s="10">
        <f t="shared" si="1129"/>
        <v>-11208.603011789499</v>
      </c>
      <c r="DD144" s="10">
        <f t="shared" si="1129"/>
        <v>-10363.025954971847</v>
      </c>
      <c r="DE144" s="10">
        <f t="shared" si="1129"/>
        <v>-5283.3253085903707</v>
      </c>
      <c r="DF144" s="10">
        <f t="shared" si="1129"/>
        <v>-6615.2954394554836</v>
      </c>
      <c r="DG144" s="10">
        <f t="shared" si="1129"/>
        <v>-6238.1809474491747</v>
      </c>
    </row>
    <row r="145" spans="1:111" x14ac:dyDescent="0.3">
      <c r="AJ145" s="196"/>
      <c r="AM145" s="196"/>
      <c r="AY145" s="196"/>
      <c r="BK145" s="196"/>
      <c r="BW145" s="196"/>
      <c r="CI145" s="196"/>
      <c r="CU145" s="196"/>
    </row>
    <row r="146" spans="1:111" x14ac:dyDescent="0.3">
      <c r="B146" s="1" t="s">
        <v>45</v>
      </c>
      <c r="D146" s="9">
        <f>D144+D140</f>
        <v>0</v>
      </c>
      <c r="E146" s="9">
        <f t="shared" ref="E146:BP146" si="1130">E144+E140</f>
        <v>0</v>
      </c>
      <c r="F146" s="9">
        <f t="shared" si="1130"/>
        <v>0</v>
      </c>
      <c r="G146" s="9">
        <f t="shared" si="1130"/>
        <v>0</v>
      </c>
      <c r="H146" s="9">
        <f t="shared" si="1130"/>
        <v>0</v>
      </c>
      <c r="I146" s="9">
        <f t="shared" si="1130"/>
        <v>0</v>
      </c>
      <c r="J146" s="9">
        <f t="shared" si="1130"/>
        <v>0</v>
      </c>
      <c r="K146" s="9">
        <f>K144+K140</f>
        <v>255</v>
      </c>
      <c r="L146" s="9">
        <f t="shared" si="1130"/>
        <v>223</v>
      </c>
      <c r="M146" s="9">
        <f t="shared" si="1130"/>
        <v>542.36000000000013</v>
      </c>
      <c r="N146" s="9">
        <f t="shared" si="1130"/>
        <v>-157.96000000000004</v>
      </c>
      <c r="O146" s="9">
        <f t="shared" si="1130"/>
        <v>-918.3</v>
      </c>
      <c r="P146" s="9">
        <f t="shared" si="1130"/>
        <v>225.86000000000104</v>
      </c>
      <c r="Q146" s="9">
        <f t="shared" si="1130"/>
        <v>42.990000000000009</v>
      </c>
      <c r="R146" s="9">
        <f t="shared" si="1130"/>
        <v>-85.559999999999945</v>
      </c>
      <c r="S146" s="9">
        <f t="shared" si="1130"/>
        <v>268.0300000000002</v>
      </c>
      <c r="T146" s="9">
        <f t="shared" si="1130"/>
        <v>-95.209999999999582</v>
      </c>
      <c r="U146" s="9">
        <f t="shared" si="1130"/>
        <v>133.36000000000013</v>
      </c>
      <c r="V146" s="9">
        <f t="shared" si="1130"/>
        <v>133.15999999999576</v>
      </c>
      <c r="W146" s="9">
        <f t="shared" si="1130"/>
        <v>-63.279999999999745</v>
      </c>
      <c r="X146" s="9">
        <f t="shared" si="1130"/>
        <v>237.72999999999956</v>
      </c>
      <c r="Y146" s="9">
        <f t="shared" si="1130"/>
        <v>-87.87999999999829</v>
      </c>
      <c r="Z146" s="9">
        <f t="shared" si="1130"/>
        <v>74.1899999999996</v>
      </c>
      <c r="AA146" s="9">
        <f t="shared" ref="AA146:AB146" si="1131">AA144+AA140</f>
        <v>269.52999999999997</v>
      </c>
      <c r="AB146" s="9">
        <f t="shared" si="1131"/>
        <v>294.76000000000022</v>
      </c>
      <c r="AC146" s="9">
        <f t="shared" ref="AC146" si="1132">AC144+AC140</f>
        <v>-740.46</v>
      </c>
      <c r="AD146" s="9">
        <f t="shared" si="1130"/>
        <v>-373.52999999999975</v>
      </c>
      <c r="AE146" s="9">
        <f t="shared" si="1130"/>
        <v>1165.1999999999998</v>
      </c>
      <c r="AF146" s="9">
        <f t="shared" si="1130"/>
        <v>-64.900000000000091</v>
      </c>
      <c r="AG146" s="9">
        <f t="shared" ref="AG146:AH146" si="1133">AG144+AG140</f>
        <v>337.61000000000013</v>
      </c>
      <c r="AH146" s="9">
        <f t="shared" si="1133"/>
        <v>1543.2800000000034</v>
      </c>
      <c r="AI146" s="9">
        <f t="shared" ref="AI146" si="1134">AI144+AI140</f>
        <v>33.6200000000008</v>
      </c>
      <c r="AJ146" s="381">
        <f t="shared" ref="AJ146" si="1135">AJ144+AJ140</f>
        <v>1229.92</v>
      </c>
      <c r="AK146" s="9">
        <f t="shared" si="1130"/>
        <v>544.11414779801089</v>
      </c>
      <c r="AL146" s="9">
        <f t="shared" si="1130"/>
        <v>2315.0625128857209</v>
      </c>
      <c r="AM146" s="381">
        <f t="shared" si="1130"/>
        <v>761.77549920851652</v>
      </c>
      <c r="AN146" s="9">
        <f t="shared" si="1130"/>
        <v>424.17218420320739</v>
      </c>
      <c r="AO146" s="9">
        <f t="shared" si="1130"/>
        <v>570.55670465591174</v>
      </c>
      <c r="AP146" s="9">
        <f t="shared" si="1130"/>
        <v>1496.6367157047271</v>
      </c>
      <c r="AQ146" s="9">
        <f t="shared" si="1130"/>
        <v>530.11080258666698</v>
      </c>
      <c r="AR146" s="9">
        <f t="shared" si="1130"/>
        <v>1248.5886840660569</v>
      </c>
      <c r="AS146" s="9">
        <f t="shared" si="1130"/>
        <v>1360.8801955027611</v>
      </c>
      <c r="AT146" s="9">
        <f t="shared" si="1130"/>
        <v>244.28392288639134</v>
      </c>
      <c r="AU146" s="9">
        <f t="shared" si="1130"/>
        <v>850.9863777147566</v>
      </c>
      <c r="AV146" s="9">
        <f t="shared" si="1130"/>
        <v>2337.4276068529389</v>
      </c>
      <c r="AW146" s="9">
        <f t="shared" si="1130"/>
        <v>588.90670242185934</v>
      </c>
      <c r="AX146" s="9">
        <f t="shared" si="1130"/>
        <v>2792.2927558054598</v>
      </c>
      <c r="AY146" s="381">
        <f t="shared" si="1130"/>
        <v>1154.915722481127</v>
      </c>
      <c r="AZ146" s="9">
        <f t="shared" si="1130"/>
        <v>778.40482774077327</v>
      </c>
      <c r="BA146" s="9">
        <f t="shared" si="1130"/>
        <v>205.93097462064543</v>
      </c>
      <c r="BB146" s="9">
        <f t="shared" si="1130"/>
        <v>2245.0092191679869</v>
      </c>
      <c r="BC146" s="9">
        <f t="shared" si="1130"/>
        <v>459.68081542336222</v>
      </c>
      <c r="BD146" s="9">
        <f t="shared" si="1130"/>
        <v>1331.6793857053763</v>
      </c>
      <c r="BE146" s="9">
        <f t="shared" si="1130"/>
        <v>2113.9062983976373</v>
      </c>
      <c r="BF146" s="9">
        <f t="shared" si="1130"/>
        <v>-158.17551064049439</v>
      </c>
      <c r="BG146" s="9">
        <f t="shared" si="1130"/>
        <v>835.84621242310095</v>
      </c>
      <c r="BH146" s="9">
        <f t="shared" si="1130"/>
        <v>2833.7407216798729</v>
      </c>
      <c r="BI146" s="9">
        <f t="shared" si="1130"/>
        <v>486.65445789073965</v>
      </c>
      <c r="BJ146" s="9">
        <f t="shared" si="1130"/>
        <v>3444.1074720896104</v>
      </c>
      <c r="BK146" s="381">
        <f t="shared" si="1130"/>
        <v>1279.8881575242285</v>
      </c>
      <c r="BL146" s="9">
        <f t="shared" si="1130"/>
        <v>1629.9229135347523</v>
      </c>
      <c r="BM146" s="9">
        <f t="shared" si="1130"/>
        <v>-250.89554722419371</v>
      </c>
      <c r="BN146" s="9">
        <f t="shared" si="1130"/>
        <v>2576.9883187916112</v>
      </c>
      <c r="BO146" s="9">
        <f t="shared" si="1130"/>
        <v>250.17681507237603</v>
      </c>
      <c r="BP146" s="9">
        <f t="shared" si="1130"/>
        <v>1434.2502036657625</v>
      </c>
      <c r="BQ146" s="9">
        <f t="shared" ref="BQ146:DG146" si="1136">BQ144+BQ140</f>
        <v>2838.2449007688638</v>
      </c>
      <c r="BR146" s="9">
        <f t="shared" si="1136"/>
        <v>-612.38123542002995</v>
      </c>
      <c r="BS146" s="9">
        <f t="shared" si="1136"/>
        <v>355.5006275243577</v>
      </c>
      <c r="BT146" s="9">
        <f t="shared" si="1136"/>
        <v>3802.8766676424766</v>
      </c>
      <c r="BU146" s="9">
        <f t="shared" si="1136"/>
        <v>392.10315864322638</v>
      </c>
      <c r="BV146" s="9">
        <f t="shared" si="1136"/>
        <v>4001.6220857278786</v>
      </c>
      <c r="BW146" s="381">
        <f t="shared" si="1136"/>
        <v>1502.8607911164572</v>
      </c>
      <c r="BX146" s="9">
        <f t="shared" si="1136"/>
        <v>1828.1179925523406</v>
      </c>
      <c r="BY146" s="9">
        <f t="shared" si="1136"/>
        <v>-1024.8983605631188</v>
      </c>
      <c r="BZ146" s="9">
        <f t="shared" si="1136"/>
        <v>3453.1179666430908</v>
      </c>
      <c r="CA146" s="9">
        <f t="shared" si="1136"/>
        <v>219.69866289481524</v>
      </c>
      <c r="CB146" s="9">
        <f t="shared" si="1136"/>
        <v>692.08274126632023</v>
      </c>
      <c r="CC146" s="9">
        <f t="shared" si="1136"/>
        <v>4029.1871264609927</v>
      </c>
      <c r="CD146" s="9">
        <f t="shared" si="1136"/>
        <v>-1160.8432204101141</v>
      </c>
      <c r="CE146" s="9">
        <f t="shared" si="1136"/>
        <v>-539.55613909652493</v>
      </c>
      <c r="CF146" s="9">
        <f t="shared" si="1136"/>
        <v>5489.2449046472175</v>
      </c>
      <c r="CG146" s="9">
        <f t="shared" si="1136"/>
        <v>-540.92972840843868</v>
      </c>
      <c r="CH146" s="9">
        <f t="shared" si="1136"/>
        <v>5489.4869512221594</v>
      </c>
      <c r="CI146" s="381">
        <f t="shared" si="1136"/>
        <v>2033.2083002662293</v>
      </c>
      <c r="CJ146" s="9">
        <f t="shared" si="1136"/>
        <v>1351.4210105029192</v>
      </c>
      <c r="CK146" s="9">
        <f t="shared" si="1136"/>
        <v>-1254.9776057994236</v>
      </c>
      <c r="CL146" s="9">
        <f t="shared" si="1136"/>
        <v>4194.2754850808469</v>
      </c>
      <c r="CM146" s="9">
        <f t="shared" si="1136"/>
        <v>-687.75121122033488</v>
      </c>
      <c r="CN146" s="9">
        <f t="shared" si="1136"/>
        <v>839.24918893318045</v>
      </c>
      <c r="CO146" s="9">
        <f t="shared" si="1136"/>
        <v>5355.0732287174396</v>
      </c>
      <c r="CP146" s="9">
        <f t="shared" si="1136"/>
        <v>-2604.0082018560279</v>
      </c>
      <c r="CQ146" s="9">
        <f t="shared" si="1136"/>
        <v>-841.43930188431477</v>
      </c>
      <c r="CR146" s="9">
        <f t="shared" si="1136"/>
        <v>7536.700738133959</v>
      </c>
      <c r="CS146" s="9">
        <f t="shared" si="1136"/>
        <v>-2069.6031398572841</v>
      </c>
      <c r="CT146" s="9">
        <f t="shared" si="1136"/>
        <v>7829.9618352206307</v>
      </c>
      <c r="CU146" s="381">
        <f t="shared" si="1136"/>
        <v>2390.6569542179195</v>
      </c>
      <c r="CV146" s="9">
        <f t="shared" si="1136"/>
        <v>1393.9792963113059</v>
      </c>
      <c r="CW146" s="9">
        <f t="shared" si="1136"/>
        <v>-2185.5718449599526</v>
      </c>
      <c r="CX146" s="9">
        <f t="shared" si="1136"/>
        <v>5677.7285999561809</v>
      </c>
      <c r="CY146" s="9">
        <f t="shared" si="1136"/>
        <v>-2126.8404880984381</v>
      </c>
      <c r="CZ146" s="9">
        <f t="shared" si="1136"/>
        <v>1162.1523572055685</v>
      </c>
      <c r="DA146" s="9">
        <f t="shared" si="1136"/>
        <v>7268.9382107066449</v>
      </c>
      <c r="DB146" s="9">
        <f t="shared" si="1136"/>
        <v>-4836.6231255836265</v>
      </c>
      <c r="DC146" s="9">
        <f t="shared" si="1136"/>
        <v>-557.88140515543819</v>
      </c>
      <c r="DD146" s="9">
        <f t="shared" si="1136"/>
        <v>8950.495703759545</v>
      </c>
      <c r="DE146" s="9">
        <f t="shared" si="1136"/>
        <v>-2900.6082845644933</v>
      </c>
      <c r="DF146" s="9">
        <f t="shared" si="1136"/>
        <v>10940.767949026915</v>
      </c>
      <c r="DG146" s="9">
        <f t="shared" si="1136"/>
        <v>2076.1909630564824</v>
      </c>
    </row>
    <row r="147" spans="1:111" x14ac:dyDescent="0.3">
      <c r="AJ147" s="196"/>
      <c r="AM147" s="196"/>
      <c r="AY147" s="196"/>
      <c r="BK147" s="196"/>
      <c r="BW147" s="196"/>
      <c r="CI147" s="196"/>
      <c r="CU147" s="196"/>
    </row>
    <row r="148" spans="1:111" x14ac:dyDescent="0.3">
      <c r="B148" s="1" t="s">
        <v>46</v>
      </c>
      <c r="D148" s="9">
        <v>0</v>
      </c>
      <c r="E148" s="9">
        <f>D149</f>
        <v>0</v>
      </c>
      <c r="F148" s="9">
        <f t="shared" ref="F148:BQ148" si="1137">E149</f>
        <v>0</v>
      </c>
      <c r="G148" s="9">
        <f t="shared" si="1137"/>
        <v>0</v>
      </c>
      <c r="H148" s="9">
        <f t="shared" si="1137"/>
        <v>0</v>
      </c>
      <c r="I148" s="9">
        <f t="shared" si="1137"/>
        <v>0</v>
      </c>
      <c r="J148" s="9">
        <f t="shared" si="1137"/>
        <v>0</v>
      </c>
      <c r="K148" s="9">
        <f t="shared" si="1137"/>
        <v>0</v>
      </c>
      <c r="L148" s="9">
        <f t="shared" si="1137"/>
        <v>255</v>
      </c>
      <c r="M148" s="9">
        <f t="shared" si="1137"/>
        <v>478</v>
      </c>
      <c r="N148" s="9">
        <f t="shared" si="1137"/>
        <v>1020.3600000000001</v>
      </c>
      <c r="O148" s="9">
        <f t="shared" si="1137"/>
        <v>862.40000000000009</v>
      </c>
      <c r="P148" s="9">
        <f t="shared" si="1137"/>
        <v>-55.899999999999864</v>
      </c>
      <c r="Q148" s="9">
        <f t="shared" si="1137"/>
        <v>169.96000000000117</v>
      </c>
      <c r="R148" s="9">
        <f t="shared" si="1137"/>
        <v>212.95000000000118</v>
      </c>
      <c r="S148" s="9">
        <f t="shared" si="1137"/>
        <v>127.39000000000124</v>
      </c>
      <c r="T148" s="9">
        <f t="shared" si="1137"/>
        <v>395.42000000000144</v>
      </c>
      <c r="U148" s="9">
        <f t="shared" si="1137"/>
        <v>300.21000000000186</v>
      </c>
      <c r="V148" s="9">
        <f t="shared" si="1137"/>
        <v>433.57000000000198</v>
      </c>
      <c r="W148" s="9">
        <f t="shared" si="1137"/>
        <v>566.72999999999774</v>
      </c>
      <c r="X148" s="9">
        <f t="shared" si="1137"/>
        <v>503.449999999998</v>
      </c>
      <c r="Y148" s="9">
        <f t="shared" si="1137"/>
        <v>741.17999999999756</v>
      </c>
      <c r="Z148" s="9">
        <f t="shared" si="1137"/>
        <v>653.29999999999927</v>
      </c>
      <c r="AA148" s="9">
        <f t="shared" si="1137"/>
        <v>727.48999999999887</v>
      </c>
      <c r="AB148" s="9">
        <f t="shared" si="1137"/>
        <v>997.01999999999884</v>
      </c>
      <c r="AC148" s="9">
        <f t="shared" si="1137"/>
        <v>1291.7799999999991</v>
      </c>
      <c r="AD148" s="9">
        <f t="shared" si="1137"/>
        <v>551.31999999999903</v>
      </c>
      <c r="AE148" s="9">
        <f t="shared" si="1137"/>
        <v>177.78999999999928</v>
      </c>
      <c r="AF148" s="9">
        <f t="shared" si="1137"/>
        <v>1342.9899999999991</v>
      </c>
      <c r="AG148" s="9">
        <f t="shared" si="1137"/>
        <v>1278.089999999999</v>
      </c>
      <c r="AH148" s="9">
        <f t="shared" si="1137"/>
        <v>1615.6999999999991</v>
      </c>
      <c r="AI148" s="9">
        <f t="shared" si="1137"/>
        <v>3158.9800000000023</v>
      </c>
      <c r="AJ148" s="381">
        <f t="shared" si="1137"/>
        <v>3192.6000000000031</v>
      </c>
      <c r="AK148" s="9">
        <f t="shared" si="1137"/>
        <v>4422.5200000000032</v>
      </c>
      <c r="AL148" s="9">
        <f t="shared" si="1137"/>
        <v>4966.6341477980141</v>
      </c>
      <c r="AM148" s="381">
        <f t="shared" si="1137"/>
        <v>7281.696660683735</v>
      </c>
      <c r="AN148" s="9">
        <f t="shared" si="1137"/>
        <v>8043.4721598922515</v>
      </c>
      <c r="AO148" s="9">
        <f t="shared" si="1137"/>
        <v>8467.644344095459</v>
      </c>
      <c r="AP148" s="9">
        <f t="shared" si="1137"/>
        <v>9038.2010487513708</v>
      </c>
      <c r="AQ148" s="9">
        <f t="shared" si="1137"/>
        <v>10534.837764456097</v>
      </c>
      <c r="AR148" s="9">
        <f t="shared" si="1137"/>
        <v>11064.948567042764</v>
      </c>
      <c r="AS148" s="9">
        <f t="shared" si="1137"/>
        <v>12313.537251108821</v>
      </c>
      <c r="AT148" s="9">
        <f t="shared" si="1137"/>
        <v>13674.417446611582</v>
      </c>
      <c r="AU148" s="9">
        <f t="shared" si="1137"/>
        <v>13918.701369497972</v>
      </c>
      <c r="AV148" s="9">
        <f t="shared" si="1137"/>
        <v>14769.687747212729</v>
      </c>
      <c r="AW148" s="9">
        <f t="shared" si="1137"/>
        <v>17107.115354065667</v>
      </c>
      <c r="AX148" s="9">
        <f t="shared" si="1137"/>
        <v>17696.022056487527</v>
      </c>
      <c r="AY148" s="381">
        <f t="shared" si="1137"/>
        <v>20488.314812292985</v>
      </c>
      <c r="AZ148" s="9">
        <f t="shared" si="1137"/>
        <v>21643.230534774113</v>
      </c>
      <c r="BA148" s="9">
        <f t="shared" si="1137"/>
        <v>22421.635362514888</v>
      </c>
      <c r="BB148" s="9">
        <f t="shared" si="1137"/>
        <v>22627.566337135533</v>
      </c>
      <c r="BC148" s="9">
        <f t="shared" si="1137"/>
        <v>24872.57555630352</v>
      </c>
      <c r="BD148" s="9">
        <f t="shared" si="1137"/>
        <v>25332.256371726882</v>
      </c>
      <c r="BE148" s="9">
        <f t="shared" si="1137"/>
        <v>26663.935757432257</v>
      </c>
      <c r="BF148" s="9">
        <f t="shared" si="1137"/>
        <v>28777.842055829893</v>
      </c>
      <c r="BG148" s="9">
        <f t="shared" si="1137"/>
        <v>28619.6665451894</v>
      </c>
      <c r="BH148" s="9">
        <f t="shared" si="1137"/>
        <v>29455.512757612501</v>
      </c>
      <c r="BI148" s="9">
        <f t="shared" si="1137"/>
        <v>32289.253479292376</v>
      </c>
      <c r="BJ148" s="9">
        <f t="shared" si="1137"/>
        <v>32775.907937183118</v>
      </c>
      <c r="BK148" s="381">
        <f t="shared" si="1137"/>
        <v>36220.015409272732</v>
      </c>
      <c r="BL148" s="9">
        <f t="shared" si="1137"/>
        <v>37499.903566796958</v>
      </c>
      <c r="BM148" s="9">
        <f t="shared" si="1137"/>
        <v>39129.826480331714</v>
      </c>
      <c r="BN148" s="9">
        <f t="shared" si="1137"/>
        <v>38878.93093310752</v>
      </c>
      <c r="BO148" s="9">
        <f t="shared" si="1137"/>
        <v>41455.919251899133</v>
      </c>
      <c r="BP148" s="9">
        <f t="shared" si="1137"/>
        <v>41706.096066971506</v>
      </c>
      <c r="BQ148" s="9">
        <f t="shared" si="1137"/>
        <v>43140.346270637267</v>
      </c>
      <c r="BR148" s="9">
        <f t="shared" ref="BR148:DG148" si="1138">BQ149</f>
        <v>45978.591171406129</v>
      </c>
      <c r="BS148" s="9">
        <f t="shared" si="1138"/>
        <v>45366.209935986102</v>
      </c>
      <c r="BT148" s="9">
        <f t="shared" si="1138"/>
        <v>45721.71056351046</v>
      </c>
      <c r="BU148" s="9">
        <f t="shared" si="1138"/>
        <v>49524.587231152938</v>
      </c>
      <c r="BV148" s="9">
        <f t="shared" si="1138"/>
        <v>49916.690389796167</v>
      </c>
      <c r="BW148" s="381">
        <f t="shared" si="1138"/>
        <v>53918.312475524042</v>
      </c>
      <c r="BX148" s="9">
        <f t="shared" si="1138"/>
        <v>55421.173266640501</v>
      </c>
      <c r="BY148" s="9">
        <f t="shared" si="1138"/>
        <v>57249.29125919284</v>
      </c>
      <c r="BZ148" s="9">
        <f t="shared" si="1138"/>
        <v>56224.392898629718</v>
      </c>
      <c r="CA148" s="9">
        <f t="shared" si="1138"/>
        <v>59677.510865272809</v>
      </c>
      <c r="CB148" s="9">
        <f t="shared" si="1138"/>
        <v>59897.209528167623</v>
      </c>
      <c r="CC148" s="9">
        <f t="shared" si="1138"/>
        <v>60589.292269433943</v>
      </c>
      <c r="CD148" s="9">
        <f t="shared" si="1138"/>
        <v>64618.479395894938</v>
      </c>
      <c r="CE148" s="9">
        <f t="shared" si="1138"/>
        <v>63457.636175484826</v>
      </c>
      <c r="CF148" s="9">
        <f t="shared" si="1138"/>
        <v>62918.080036388303</v>
      </c>
      <c r="CG148" s="9">
        <f t="shared" si="1138"/>
        <v>68407.32494103552</v>
      </c>
      <c r="CH148" s="9">
        <f t="shared" si="1138"/>
        <v>67866.395212627074</v>
      </c>
      <c r="CI148" s="381">
        <f t="shared" si="1138"/>
        <v>73355.882163849237</v>
      </c>
      <c r="CJ148" s="9">
        <f t="shared" si="1138"/>
        <v>75389.090464115463</v>
      </c>
      <c r="CK148" s="9">
        <f t="shared" si="1138"/>
        <v>76740.511474618383</v>
      </c>
      <c r="CL148" s="9">
        <f t="shared" si="1138"/>
        <v>75485.533868818966</v>
      </c>
      <c r="CM148" s="9">
        <f t="shared" si="1138"/>
        <v>79679.809353899807</v>
      </c>
      <c r="CN148" s="9">
        <f t="shared" si="1138"/>
        <v>78992.058142679467</v>
      </c>
      <c r="CO148" s="9">
        <f t="shared" si="1138"/>
        <v>79831.307331612654</v>
      </c>
      <c r="CP148" s="9">
        <f t="shared" si="1138"/>
        <v>85186.380560330086</v>
      </c>
      <c r="CQ148" s="9">
        <f t="shared" si="1138"/>
        <v>82582.372358474066</v>
      </c>
      <c r="CR148" s="9">
        <f t="shared" si="1138"/>
        <v>81740.933056589754</v>
      </c>
      <c r="CS148" s="9">
        <f t="shared" si="1138"/>
        <v>89277.633794723719</v>
      </c>
      <c r="CT148" s="9">
        <f t="shared" si="1138"/>
        <v>87208.030654866438</v>
      </c>
      <c r="CU148" s="381">
        <f t="shared" si="1138"/>
        <v>95037.992490087068</v>
      </c>
      <c r="CV148" s="9">
        <f t="shared" si="1138"/>
        <v>97428.649444304989</v>
      </c>
      <c r="CW148" s="9">
        <f t="shared" si="1138"/>
        <v>98822.628740616288</v>
      </c>
      <c r="CX148" s="9">
        <f t="shared" si="1138"/>
        <v>96637.056895656337</v>
      </c>
      <c r="CY148" s="9">
        <f t="shared" si="1138"/>
        <v>102314.78549561252</v>
      </c>
      <c r="CZ148" s="9">
        <f t="shared" si="1138"/>
        <v>100187.94500751409</v>
      </c>
      <c r="DA148" s="9">
        <f t="shared" si="1138"/>
        <v>101350.09736471967</v>
      </c>
      <c r="DB148" s="9">
        <f t="shared" si="1138"/>
        <v>108619.03557542631</v>
      </c>
      <c r="DC148" s="9">
        <f t="shared" si="1138"/>
        <v>103782.41244984268</v>
      </c>
      <c r="DD148" s="9">
        <f t="shared" si="1138"/>
        <v>103224.53104468725</v>
      </c>
      <c r="DE148" s="9">
        <f t="shared" si="1138"/>
        <v>112175.02674844679</v>
      </c>
      <c r="DF148" s="9">
        <f t="shared" si="1138"/>
        <v>109274.41846388229</v>
      </c>
      <c r="DG148" s="9">
        <f t="shared" si="1138"/>
        <v>120215.18641290921</v>
      </c>
    </row>
    <row r="149" spans="1:111" x14ac:dyDescent="0.3">
      <c r="B149" s="1" t="s">
        <v>47</v>
      </c>
      <c r="D149" s="9">
        <v>0</v>
      </c>
      <c r="E149" s="9">
        <f>E148+E146</f>
        <v>0</v>
      </c>
      <c r="F149" s="9">
        <f t="shared" ref="F149:BQ149" si="1139">F148+F146</f>
        <v>0</v>
      </c>
      <c r="G149" s="9">
        <f t="shared" si="1139"/>
        <v>0</v>
      </c>
      <c r="H149" s="9">
        <f t="shared" si="1139"/>
        <v>0</v>
      </c>
      <c r="I149" s="9">
        <f t="shared" si="1139"/>
        <v>0</v>
      </c>
      <c r="J149" s="9">
        <f t="shared" si="1139"/>
        <v>0</v>
      </c>
      <c r="K149" s="9">
        <f t="shared" si="1139"/>
        <v>255</v>
      </c>
      <c r="L149" s="9">
        <f t="shared" si="1139"/>
        <v>478</v>
      </c>
      <c r="M149" s="9">
        <f t="shared" si="1139"/>
        <v>1020.3600000000001</v>
      </c>
      <c r="N149" s="9">
        <f t="shared" si="1139"/>
        <v>862.40000000000009</v>
      </c>
      <c r="O149" s="9">
        <f t="shared" si="1139"/>
        <v>-55.899999999999864</v>
      </c>
      <c r="P149" s="9">
        <f>P148+P146</f>
        <v>169.96000000000117</v>
      </c>
      <c r="Q149" s="9">
        <f t="shared" si="1139"/>
        <v>212.95000000000118</v>
      </c>
      <c r="R149" s="9">
        <f t="shared" si="1139"/>
        <v>127.39000000000124</v>
      </c>
      <c r="S149" s="9">
        <f t="shared" si="1139"/>
        <v>395.42000000000144</v>
      </c>
      <c r="T149" s="9">
        <f t="shared" si="1139"/>
        <v>300.21000000000186</v>
      </c>
      <c r="U149" s="9">
        <f t="shared" si="1139"/>
        <v>433.57000000000198</v>
      </c>
      <c r="V149" s="9">
        <f t="shared" si="1139"/>
        <v>566.72999999999774</v>
      </c>
      <c r="W149" s="9">
        <f t="shared" si="1139"/>
        <v>503.449999999998</v>
      </c>
      <c r="X149" s="9">
        <f t="shared" si="1139"/>
        <v>741.17999999999756</v>
      </c>
      <c r="Y149" s="9">
        <f t="shared" si="1139"/>
        <v>653.29999999999927</v>
      </c>
      <c r="Z149" s="9">
        <f t="shared" si="1139"/>
        <v>727.48999999999887</v>
      </c>
      <c r="AA149" s="9">
        <f t="shared" ref="AA149:AB149" si="1140">AA148+AA146</f>
        <v>997.01999999999884</v>
      </c>
      <c r="AB149" s="9">
        <f t="shared" si="1140"/>
        <v>1291.7799999999991</v>
      </c>
      <c r="AC149" s="9">
        <f t="shared" ref="AC149" si="1141">AC148+AC146</f>
        <v>551.31999999999903</v>
      </c>
      <c r="AD149" s="9">
        <f t="shared" si="1139"/>
        <v>177.78999999999928</v>
      </c>
      <c r="AE149" s="9">
        <f t="shared" si="1139"/>
        <v>1342.9899999999991</v>
      </c>
      <c r="AF149" s="9">
        <f t="shared" si="1139"/>
        <v>1278.089999999999</v>
      </c>
      <c r="AG149" s="9">
        <f t="shared" ref="AG149:AH149" si="1142">AG148+AG146</f>
        <v>1615.6999999999991</v>
      </c>
      <c r="AH149" s="9">
        <f t="shared" si="1142"/>
        <v>3158.9800000000023</v>
      </c>
      <c r="AI149" s="9">
        <f t="shared" ref="AI149" si="1143">AI148+AI146</f>
        <v>3192.6000000000031</v>
      </c>
      <c r="AJ149" s="381">
        <f t="shared" ref="AJ149" si="1144">AJ148+AJ146</f>
        <v>4422.5200000000032</v>
      </c>
      <c r="AK149" s="9">
        <f t="shared" si="1139"/>
        <v>4966.6341477980141</v>
      </c>
      <c r="AL149" s="9">
        <f t="shared" si="1139"/>
        <v>7281.696660683735</v>
      </c>
      <c r="AM149" s="381">
        <f t="shared" si="1139"/>
        <v>8043.4721598922515</v>
      </c>
      <c r="AN149" s="9">
        <f t="shared" si="1139"/>
        <v>8467.644344095459</v>
      </c>
      <c r="AO149" s="9">
        <f t="shared" si="1139"/>
        <v>9038.2010487513708</v>
      </c>
      <c r="AP149" s="9">
        <f t="shared" si="1139"/>
        <v>10534.837764456097</v>
      </c>
      <c r="AQ149" s="9">
        <f t="shared" si="1139"/>
        <v>11064.948567042764</v>
      </c>
      <c r="AR149" s="9">
        <f t="shared" si="1139"/>
        <v>12313.537251108821</v>
      </c>
      <c r="AS149" s="9">
        <f t="shared" si="1139"/>
        <v>13674.417446611582</v>
      </c>
      <c r="AT149" s="9">
        <f t="shared" si="1139"/>
        <v>13918.701369497972</v>
      </c>
      <c r="AU149" s="9">
        <f t="shared" si="1139"/>
        <v>14769.687747212729</v>
      </c>
      <c r="AV149" s="9">
        <f t="shared" si="1139"/>
        <v>17107.115354065667</v>
      </c>
      <c r="AW149" s="9">
        <f t="shared" si="1139"/>
        <v>17696.022056487527</v>
      </c>
      <c r="AX149" s="9">
        <f t="shared" si="1139"/>
        <v>20488.314812292985</v>
      </c>
      <c r="AY149" s="381">
        <f t="shared" si="1139"/>
        <v>21643.230534774113</v>
      </c>
      <c r="AZ149" s="9">
        <f t="shared" si="1139"/>
        <v>22421.635362514888</v>
      </c>
      <c r="BA149" s="9">
        <f t="shared" si="1139"/>
        <v>22627.566337135533</v>
      </c>
      <c r="BB149" s="9">
        <f t="shared" si="1139"/>
        <v>24872.57555630352</v>
      </c>
      <c r="BC149" s="9">
        <f t="shared" si="1139"/>
        <v>25332.256371726882</v>
      </c>
      <c r="BD149" s="9">
        <f t="shared" si="1139"/>
        <v>26663.935757432257</v>
      </c>
      <c r="BE149" s="9">
        <f t="shared" si="1139"/>
        <v>28777.842055829893</v>
      </c>
      <c r="BF149" s="9">
        <f t="shared" si="1139"/>
        <v>28619.6665451894</v>
      </c>
      <c r="BG149" s="9">
        <f t="shared" si="1139"/>
        <v>29455.512757612501</v>
      </c>
      <c r="BH149" s="9">
        <f t="shared" si="1139"/>
        <v>32289.253479292376</v>
      </c>
      <c r="BI149" s="9">
        <f t="shared" si="1139"/>
        <v>32775.907937183118</v>
      </c>
      <c r="BJ149" s="9">
        <f t="shared" si="1139"/>
        <v>36220.015409272732</v>
      </c>
      <c r="BK149" s="381">
        <f t="shared" si="1139"/>
        <v>37499.903566796958</v>
      </c>
      <c r="BL149" s="9">
        <f t="shared" si="1139"/>
        <v>39129.826480331714</v>
      </c>
      <c r="BM149" s="9">
        <f t="shared" si="1139"/>
        <v>38878.93093310752</v>
      </c>
      <c r="BN149" s="9">
        <f t="shared" si="1139"/>
        <v>41455.919251899133</v>
      </c>
      <c r="BO149" s="9">
        <f t="shared" si="1139"/>
        <v>41706.096066971506</v>
      </c>
      <c r="BP149" s="9">
        <f t="shared" si="1139"/>
        <v>43140.346270637267</v>
      </c>
      <c r="BQ149" s="9">
        <f t="shared" si="1139"/>
        <v>45978.591171406129</v>
      </c>
      <c r="BR149" s="9">
        <f t="shared" ref="BR149:DG149" si="1145">BR148+BR146</f>
        <v>45366.209935986102</v>
      </c>
      <c r="BS149" s="9">
        <f t="shared" si="1145"/>
        <v>45721.71056351046</v>
      </c>
      <c r="BT149" s="9">
        <f t="shared" si="1145"/>
        <v>49524.587231152938</v>
      </c>
      <c r="BU149" s="9">
        <f t="shared" si="1145"/>
        <v>49916.690389796167</v>
      </c>
      <c r="BV149" s="9">
        <f t="shared" si="1145"/>
        <v>53918.312475524042</v>
      </c>
      <c r="BW149" s="381">
        <f t="shared" si="1145"/>
        <v>55421.173266640501</v>
      </c>
      <c r="BX149" s="9">
        <f t="shared" si="1145"/>
        <v>57249.29125919284</v>
      </c>
      <c r="BY149" s="9">
        <f t="shared" si="1145"/>
        <v>56224.392898629718</v>
      </c>
      <c r="BZ149" s="9">
        <f t="shared" si="1145"/>
        <v>59677.510865272809</v>
      </c>
      <c r="CA149" s="9">
        <f t="shared" si="1145"/>
        <v>59897.209528167623</v>
      </c>
      <c r="CB149" s="9">
        <f t="shared" si="1145"/>
        <v>60589.292269433943</v>
      </c>
      <c r="CC149" s="9">
        <f t="shared" si="1145"/>
        <v>64618.479395894938</v>
      </c>
      <c r="CD149" s="9">
        <f t="shared" si="1145"/>
        <v>63457.636175484826</v>
      </c>
      <c r="CE149" s="9">
        <f t="shared" si="1145"/>
        <v>62918.080036388303</v>
      </c>
      <c r="CF149" s="9">
        <f t="shared" si="1145"/>
        <v>68407.32494103552</v>
      </c>
      <c r="CG149" s="9">
        <f t="shared" si="1145"/>
        <v>67866.395212627074</v>
      </c>
      <c r="CH149" s="9">
        <f t="shared" si="1145"/>
        <v>73355.882163849237</v>
      </c>
      <c r="CI149" s="381">
        <f t="shared" si="1145"/>
        <v>75389.090464115463</v>
      </c>
      <c r="CJ149" s="9">
        <f t="shared" si="1145"/>
        <v>76740.511474618383</v>
      </c>
      <c r="CK149" s="9">
        <f t="shared" si="1145"/>
        <v>75485.533868818966</v>
      </c>
      <c r="CL149" s="9">
        <f t="shared" si="1145"/>
        <v>79679.809353899807</v>
      </c>
      <c r="CM149" s="9">
        <f t="shared" si="1145"/>
        <v>78992.058142679467</v>
      </c>
      <c r="CN149" s="9">
        <f t="shared" si="1145"/>
        <v>79831.307331612654</v>
      </c>
      <c r="CO149" s="9">
        <f t="shared" si="1145"/>
        <v>85186.380560330086</v>
      </c>
      <c r="CP149" s="9">
        <f t="shared" si="1145"/>
        <v>82582.372358474066</v>
      </c>
      <c r="CQ149" s="9">
        <f t="shared" si="1145"/>
        <v>81740.933056589754</v>
      </c>
      <c r="CR149" s="9">
        <f t="shared" si="1145"/>
        <v>89277.633794723719</v>
      </c>
      <c r="CS149" s="9">
        <f t="shared" si="1145"/>
        <v>87208.030654866438</v>
      </c>
      <c r="CT149" s="9">
        <f t="shared" si="1145"/>
        <v>95037.992490087068</v>
      </c>
      <c r="CU149" s="381">
        <f t="shared" si="1145"/>
        <v>97428.649444304989</v>
      </c>
      <c r="CV149" s="9">
        <f t="shared" si="1145"/>
        <v>98822.628740616288</v>
      </c>
      <c r="CW149" s="9">
        <f t="shared" si="1145"/>
        <v>96637.056895656337</v>
      </c>
      <c r="CX149" s="9">
        <f t="shared" si="1145"/>
        <v>102314.78549561252</v>
      </c>
      <c r="CY149" s="9">
        <f t="shared" si="1145"/>
        <v>100187.94500751409</v>
      </c>
      <c r="CZ149" s="9">
        <f t="shared" si="1145"/>
        <v>101350.09736471967</v>
      </c>
      <c r="DA149" s="9">
        <f t="shared" si="1145"/>
        <v>108619.03557542631</v>
      </c>
      <c r="DB149" s="9">
        <f t="shared" si="1145"/>
        <v>103782.41244984268</v>
      </c>
      <c r="DC149" s="9">
        <f t="shared" si="1145"/>
        <v>103224.53104468725</v>
      </c>
      <c r="DD149" s="9">
        <f t="shared" si="1145"/>
        <v>112175.02674844679</v>
      </c>
      <c r="DE149" s="9">
        <f t="shared" si="1145"/>
        <v>109274.41846388229</v>
      </c>
      <c r="DF149" s="9">
        <f t="shared" si="1145"/>
        <v>120215.18641290921</v>
      </c>
      <c r="DG149" s="9">
        <f t="shared" si="1145"/>
        <v>122291.37737596569</v>
      </c>
    </row>
    <row r="150" spans="1:111" x14ac:dyDescent="0.3">
      <c r="C150" s="8" t="s">
        <v>48</v>
      </c>
      <c r="D150" s="9">
        <f t="shared" ref="D150:AF150" si="1146">D149-D111</f>
        <v>0</v>
      </c>
      <c r="E150" s="9">
        <f t="shared" si="1146"/>
        <v>0</v>
      </c>
      <c r="F150" s="9">
        <f t="shared" si="1146"/>
        <v>0</v>
      </c>
      <c r="G150" s="9">
        <f t="shared" si="1146"/>
        <v>0</v>
      </c>
      <c r="H150" s="9">
        <f t="shared" si="1146"/>
        <v>0</v>
      </c>
      <c r="I150" s="9">
        <f t="shared" si="1146"/>
        <v>0</v>
      </c>
      <c r="J150" s="9">
        <f t="shared" si="1146"/>
        <v>0</v>
      </c>
      <c r="K150" s="9">
        <f t="shared" si="1146"/>
        <v>0</v>
      </c>
      <c r="L150" s="9">
        <f t="shared" si="1146"/>
        <v>0</v>
      </c>
      <c r="M150" s="9">
        <f t="shared" si="1146"/>
        <v>0</v>
      </c>
      <c r="N150" s="133">
        <f t="shared" si="1146"/>
        <v>0</v>
      </c>
      <c r="O150" s="133">
        <f t="shared" si="1146"/>
        <v>1.3500311979441904E-13</v>
      </c>
      <c r="P150" s="133">
        <f t="shared" si="1146"/>
        <v>1.1937117960769683E-12</v>
      </c>
      <c r="Q150" s="9">
        <f t="shared" si="1146"/>
        <v>1.1937117960769683E-12</v>
      </c>
      <c r="R150" s="133">
        <f t="shared" si="1146"/>
        <v>1.2363443602225743E-12</v>
      </c>
      <c r="S150" s="9">
        <f t="shared" si="1146"/>
        <v>1.4210854715202004E-12</v>
      </c>
      <c r="T150" s="9">
        <f t="shared" si="1146"/>
        <v>1.8758328224066645E-12</v>
      </c>
      <c r="U150" s="9">
        <f t="shared" si="1146"/>
        <v>1.9895196601282805E-12</v>
      </c>
      <c r="V150" s="133">
        <f t="shared" si="1146"/>
        <v>-2.2737367544323206E-12</v>
      </c>
      <c r="W150" s="133">
        <f t="shared" si="1146"/>
        <v>-1.9895196601282805E-12</v>
      </c>
      <c r="X150" s="133">
        <f t="shared" si="1146"/>
        <v>-2.5011104298755527E-12</v>
      </c>
      <c r="Y150" s="133">
        <f t="shared" si="1146"/>
        <v>0</v>
      </c>
      <c r="Z150" s="133">
        <f t="shared" si="1146"/>
        <v>-1.1368683772161603E-12</v>
      </c>
      <c r="AA150" s="133">
        <f t="shared" ref="AA150:AB150" si="1147">AA149-AA111</f>
        <v>-1.1368683772161603E-12</v>
      </c>
      <c r="AB150" s="133">
        <f t="shared" si="1147"/>
        <v>0</v>
      </c>
      <c r="AC150" s="9">
        <f t="shared" ref="AC150" si="1148">AC149-AC111</f>
        <v>-1.0231815394945443E-12</v>
      </c>
      <c r="AD150" s="133">
        <f t="shared" si="1146"/>
        <v>-7.1054273576010019E-13</v>
      </c>
      <c r="AE150" s="133">
        <f t="shared" si="1146"/>
        <v>0</v>
      </c>
      <c r="AF150" s="133">
        <f t="shared" si="1146"/>
        <v>0</v>
      </c>
      <c r="AG150" s="133">
        <f t="shared" ref="AG150" si="1149">AG149-AG111</f>
        <v>0</v>
      </c>
      <c r="AH150" s="133">
        <f t="shared" ref="AH150" si="1150">AH149-AH111</f>
        <v>0</v>
      </c>
      <c r="AI150" s="133">
        <f t="shared" ref="AI150" si="1151">AI149-AI111</f>
        <v>0</v>
      </c>
      <c r="AJ150" s="382">
        <f t="shared" ref="AJ150" si="1152">AJ149-AJ111</f>
        <v>15.000000000002728</v>
      </c>
      <c r="AK150" s="9">
        <f t="shared" ref="AK150:BO150" si="1153">AK149-AK111</f>
        <v>15.000000000002728</v>
      </c>
      <c r="AL150" s="9">
        <f t="shared" si="1153"/>
        <v>15.000000000002728</v>
      </c>
      <c r="AM150" s="382">
        <f t="shared" si="1153"/>
        <v>15.000000000002728</v>
      </c>
      <c r="AN150" s="9">
        <f t="shared" si="1153"/>
        <v>15.000000000003638</v>
      </c>
      <c r="AO150" s="9">
        <f t="shared" si="1153"/>
        <v>15.000000000003638</v>
      </c>
      <c r="AP150" s="9">
        <f t="shared" si="1153"/>
        <v>15.000000000003638</v>
      </c>
      <c r="AQ150" s="9">
        <f t="shared" si="1153"/>
        <v>15.000000000003638</v>
      </c>
      <c r="AR150" s="9">
        <f t="shared" si="1153"/>
        <v>15.000000000003638</v>
      </c>
      <c r="AS150" s="9">
        <f t="shared" si="1153"/>
        <v>15.000000000003638</v>
      </c>
      <c r="AT150" s="9">
        <f t="shared" si="1153"/>
        <v>15.000000000003638</v>
      </c>
      <c r="AU150" s="9">
        <f t="shared" si="1153"/>
        <v>15.000000000003638</v>
      </c>
      <c r="AV150" s="9">
        <f t="shared" si="1153"/>
        <v>15.000000000003638</v>
      </c>
      <c r="AW150" s="9">
        <f t="shared" si="1153"/>
        <v>15.000000000003638</v>
      </c>
      <c r="AX150" s="9">
        <f t="shared" si="1153"/>
        <v>15</v>
      </c>
      <c r="AY150" s="382">
        <f t="shared" si="1153"/>
        <v>15</v>
      </c>
      <c r="AZ150" s="9">
        <f t="shared" si="1153"/>
        <v>15</v>
      </c>
      <c r="BA150" s="9">
        <f t="shared" si="1153"/>
        <v>15</v>
      </c>
      <c r="BB150" s="9">
        <f t="shared" si="1153"/>
        <v>15</v>
      </c>
      <c r="BC150" s="9">
        <f t="shared" si="1153"/>
        <v>15</v>
      </c>
      <c r="BD150" s="9">
        <f t="shared" si="1153"/>
        <v>15</v>
      </c>
      <c r="BE150" s="9">
        <f t="shared" si="1153"/>
        <v>15</v>
      </c>
      <c r="BF150" s="9">
        <f t="shared" si="1153"/>
        <v>15</v>
      </c>
      <c r="BG150" s="9">
        <f t="shared" si="1153"/>
        <v>15</v>
      </c>
      <c r="BH150" s="9">
        <f t="shared" si="1153"/>
        <v>15</v>
      </c>
      <c r="BI150" s="9">
        <f t="shared" si="1153"/>
        <v>15</v>
      </c>
      <c r="BJ150" s="9">
        <f t="shared" si="1153"/>
        <v>15</v>
      </c>
      <c r="BK150" s="382">
        <f t="shared" si="1153"/>
        <v>15</v>
      </c>
      <c r="BL150" s="9">
        <f t="shared" si="1153"/>
        <v>15</v>
      </c>
      <c r="BM150" s="9">
        <f t="shared" si="1153"/>
        <v>15</v>
      </c>
      <c r="BN150" s="9">
        <f t="shared" si="1153"/>
        <v>15</v>
      </c>
      <c r="BO150" s="9">
        <f t="shared" si="1153"/>
        <v>15</v>
      </c>
      <c r="BP150" s="9">
        <f t="shared" ref="BP150:CU150" si="1154">BP149-BP111</f>
        <v>15</v>
      </c>
      <c r="BQ150" s="9">
        <f t="shared" si="1154"/>
        <v>15</v>
      </c>
      <c r="BR150" s="9">
        <f t="shared" si="1154"/>
        <v>15</v>
      </c>
      <c r="BS150" s="9">
        <f t="shared" si="1154"/>
        <v>15</v>
      </c>
      <c r="BT150" s="9">
        <f t="shared" si="1154"/>
        <v>15</v>
      </c>
      <c r="BU150" s="9">
        <f t="shared" si="1154"/>
        <v>15</v>
      </c>
      <c r="BV150" s="9">
        <f t="shared" si="1154"/>
        <v>15</v>
      </c>
      <c r="BW150" s="382">
        <f t="shared" si="1154"/>
        <v>15</v>
      </c>
      <c r="BX150" s="9">
        <f t="shared" si="1154"/>
        <v>15</v>
      </c>
      <c r="BY150" s="9">
        <f t="shared" si="1154"/>
        <v>15</v>
      </c>
      <c r="BZ150" s="9">
        <f t="shared" si="1154"/>
        <v>15</v>
      </c>
      <c r="CA150" s="9">
        <f t="shared" si="1154"/>
        <v>15</v>
      </c>
      <c r="CB150" s="9">
        <f t="shared" si="1154"/>
        <v>15</v>
      </c>
      <c r="CC150" s="9">
        <f t="shared" si="1154"/>
        <v>15</v>
      </c>
      <c r="CD150" s="9">
        <f t="shared" si="1154"/>
        <v>15</v>
      </c>
      <c r="CE150" s="9">
        <f t="shared" si="1154"/>
        <v>15</v>
      </c>
      <c r="CF150" s="9">
        <f t="shared" si="1154"/>
        <v>15</v>
      </c>
      <c r="CG150" s="9">
        <f t="shared" si="1154"/>
        <v>15</v>
      </c>
      <c r="CH150" s="9">
        <f t="shared" si="1154"/>
        <v>15</v>
      </c>
      <c r="CI150" s="382">
        <f t="shared" si="1154"/>
        <v>15</v>
      </c>
      <c r="CJ150" s="9">
        <f t="shared" si="1154"/>
        <v>15</v>
      </c>
      <c r="CK150" s="9">
        <f t="shared" si="1154"/>
        <v>15</v>
      </c>
      <c r="CL150" s="9">
        <f t="shared" si="1154"/>
        <v>15</v>
      </c>
      <c r="CM150" s="9">
        <f t="shared" si="1154"/>
        <v>15</v>
      </c>
      <c r="CN150" s="9">
        <f t="shared" si="1154"/>
        <v>15</v>
      </c>
      <c r="CO150" s="9">
        <f t="shared" si="1154"/>
        <v>15</v>
      </c>
      <c r="CP150" s="9">
        <f t="shared" si="1154"/>
        <v>15</v>
      </c>
      <c r="CQ150" s="9">
        <f t="shared" si="1154"/>
        <v>15</v>
      </c>
      <c r="CR150" s="9">
        <f t="shared" si="1154"/>
        <v>15</v>
      </c>
      <c r="CS150" s="9">
        <f t="shared" si="1154"/>
        <v>15</v>
      </c>
      <c r="CT150" s="9">
        <f t="shared" si="1154"/>
        <v>15</v>
      </c>
      <c r="CU150" s="382">
        <f t="shared" si="1154"/>
        <v>15</v>
      </c>
      <c r="CV150" s="9">
        <f t="shared" ref="CV150:DG150" si="1155">CV149-CV111</f>
        <v>15</v>
      </c>
      <c r="CW150" s="9">
        <f t="shared" si="1155"/>
        <v>15</v>
      </c>
      <c r="CX150" s="9">
        <f t="shared" si="1155"/>
        <v>15</v>
      </c>
      <c r="CY150" s="9">
        <f t="shared" si="1155"/>
        <v>15</v>
      </c>
      <c r="CZ150" s="9">
        <f t="shared" si="1155"/>
        <v>15</v>
      </c>
      <c r="DA150" s="9">
        <f t="shared" si="1155"/>
        <v>15</v>
      </c>
      <c r="DB150" s="9">
        <f t="shared" si="1155"/>
        <v>15</v>
      </c>
      <c r="DC150" s="9">
        <f t="shared" si="1155"/>
        <v>15</v>
      </c>
      <c r="DD150" s="9">
        <f t="shared" si="1155"/>
        <v>15</v>
      </c>
      <c r="DE150" s="9">
        <f t="shared" si="1155"/>
        <v>15</v>
      </c>
      <c r="DF150" s="9">
        <f t="shared" si="1155"/>
        <v>15</v>
      </c>
      <c r="DG150" s="9">
        <f t="shared" si="1155"/>
        <v>15</v>
      </c>
    </row>
    <row r="151" spans="1:11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59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10">
        <f>+AG149-AD149</f>
        <v>1437.9099999999999</v>
      </c>
      <c r="AH151" s="3"/>
      <c r="AI151" s="3"/>
      <c r="AJ151" s="10">
        <f>+AJ149-AG149</f>
        <v>2806.8200000000043</v>
      </c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</row>
  </sheetData>
  <conditionalFormatting sqref="P149:DG149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7" bestFit="1" customWidth="1"/>
    <col min="2" max="2" width="7.44140625" style="37" bestFit="1" customWidth="1"/>
    <col min="3" max="3" width="8.44140625" style="37" bestFit="1" customWidth="1"/>
    <col min="4" max="4" width="12.88671875" style="37" bestFit="1" customWidth="1"/>
    <col min="5" max="5" width="7.33203125" style="37" bestFit="1" customWidth="1"/>
    <col min="6" max="6" width="31.5546875" style="37" bestFit="1" customWidth="1"/>
    <col min="7" max="7" width="21" style="37" bestFit="1" customWidth="1"/>
    <col min="8" max="8" width="43.33203125" style="37" bestFit="1" customWidth="1"/>
    <col min="9" max="9" width="7" style="37" bestFit="1" customWidth="1"/>
    <col min="10" max="10" width="106.109375" style="37" bestFit="1" customWidth="1"/>
    <col min="11" max="11" width="8.5546875" style="37" bestFit="1" customWidth="1"/>
    <col min="12" max="13" width="9.109375" style="37"/>
    <col min="14" max="14" width="39.109375" style="37" bestFit="1" customWidth="1"/>
    <col min="15" max="15" width="17.33203125" style="37" bestFit="1" customWidth="1"/>
    <col min="16" max="16" width="12.6640625" style="37" bestFit="1" customWidth="1"/>
    <col min="17" max="17" width="11.5546875" style="37" bestFit="1" customWidth="1"/>
    <col min="18" max="16384" width="9.109375" style="37"/>
  </cols>
  <sheetData>
    <row r="1" spans="1:14" x14ac:dyDescent="0.3">
      <c r="A1" s="37" t="s">
        <v>68</v>
      </c>
      <c r="B1" s="37" t="s">
        <v>69</v>
      </c>
      <c r="C1" s="37" t="s">
        <v>70</v>
      </c>
      <c r="D1" s="37" t="s">
        <v>71</v>
      </c>
      <c r="E1" s="37" t="s">
        <v>72</v>
      </c>
      <c r="F1" s="37" t="s">
        <v>73</v>
      </c>
      <c r="G1" s="37" t="s">
        <v>74</v>
      </c>
      <c r="H1" s="37" t="s">
        <v>75</v>
      </c>
      <c r="I1" s="37" t="s">
        <v>76</v>
      </c>
      <c r="J1" s="38" t="s">
        <v>77</v>
      </c>
      <c r="K1" s="37" t="s">
        <v>78</v>
      </c>
    </row>
    <row r="2" spans="1:14" x14ac:dyDescent="0.3">
      <c r="A2" s="39" t="s">
        <v>79</v>
      </c>
      <c r="B2" s="40">
        <v>44836</v>
      </c>
      <c r="C2" s="39">
        <v>1</v>
      </c>
      <c r="D2" s="39">
        <v>50</v>
      </c>
      <c r="E2" s="39">
        <v>50</v>
      </c>
      <c r="F2" s="39" t="s">
        <v>80</v>
      </c>
      <c r="G2" s="39" t="s">
        <v>80</v>
      </c>
      <c r="H2" s="39" t="s">
        <v>81</v>
      </c>
      <c r="I2" s="39" t="s">
        <v>82</v>
      </c>
      <c r="J2" s="41" t="s">
        <v>82</v>
      </c>
      <c r="K2" s="39">
        <v>50</v>
      </c>
      <c r="N2" s="37" t="s">
        <v>83</v>
      </c>
    </row>
    <row r="3" spans="1:14" x14ac:dyDescent="0.3">
      <c r="A3" s="39" t="s">
        <v>79</v>
      </c>
      <c r="B3" s="40">
        <v>44846</v>
      </c>
      <c r="C3" s="39">
        <v>2</v>
      </c>
      <c r="D3" s="39">
        <v>50</v>
      </c>
      <c r="E3" s="39">
        <v>100</v>
      </c>
      <c r="F3" s="39" t="s">
        <v>80</v>
      </c>
      <c r="G3" s="39" t="s">
        <v>80</v>
      </c>
      <c r="H3" s="39" t="s">
        <v>84</v>
      </c>
      <c r="I3" s="39" t="s">
        <v>82</v>
      </c>
      <c r="J3" s="39" t="s">
        <v>85</v>
      </c>
      <c r="K3" s="39">
        <v>100</v>
      </c>
    </row>
    <row r="4" spans="1:14" x14ac:dyDescent="0.3">
      <c r="A4" s="39" t="s">
        <v>79</v>
      </c>
      <c r="B4" s="40">
        <v>44858</v>
      </c>
      <c r="C4" s="39">
        <v>1</v>
      </c>
      <c r="D4" s="39">
        <v>50</v>
      </c>
      <c r="E4" s="39">
        <v>50</v>
      </c>
      <c r="F4" s="39" t="s">
        <v>80</v>
      </c>
      <c r="G4" s="39" t="s">
        <v>80</v>
      </c>
      <c r="H4" s="39" t="s">
        <v>86</v>
      </c>
      <c r="I4" s="39" t="s">
        <v>82</v>
      </c>
      <c r="J4" s="39" t="s">
        <v>85</v>
      </c>
      <c r="K4" s="39">
        <v>50</v>
      </c>
    </row>
    <row r="5" spans="1:14" x14ac:dyDescent="0.3">
      <c r="A5" s="39" t="s">
        <v>79</v>
      </c>
      <c r="B5" s="40">
        <v>44859</v>
      </c>
      <c r="C5" s="39">
        <v>0.75</v>
      </c>
      <c r="D5" s="39">
        <v>50</v>
      </c>
      <c r="E5" s="39">
        <v>37.5</v>
      </c>
      <c r="F5" s="39" t="s">
        <v>80</v>
      </c>
      <c r="G5" s="39" t="s">
        <v>80</v>
      </c>
      <c r="H5" s="39" t="s">
        <v>87</v>
      </c>
      <c r="I5" s="39" t="s">
        <v>82</v>
      </c>
      <c r="J5" s="39" t="s">
        <v>85</v>
      </c>
      <c r="K5" s="39">
        <v>37.5</v>
      </c>
    </row>
    <row r="6" spans="1:14" x14ac:dyDescent="0.3">
      <c r="A6" s="39" t="s">
        <v>79</v>
      </c>
      <c r="B6" s="40">
        <v>44861</v>
      </c>
      <c r="C6" s="39">
        <v>1</v>
      </c>
      <c r="D6" s="39">
        <v>50</v>
      </c>
      <c r="E6" s="39">
        <v>50</v>
      </c>
      <c r="F6" s="39" t="s">
        <v>80</v>
      </c>
      <c r="G6" s="39" t="s">
        <v>80</v>
      </c>
      <c r="H6" s="39" t="s">
        <v>88</v>
      </c>
      <c r="I6" s="39" t="s">
        <v>82</v>
      </c>
      <c r="J6" s="39" t="s">
        <v>85</v>
      </c>
      <c r="K6" s="39">
        <v>50</v>
      </c>
    </row>
    <row r="7" spans="1:14" x14ac:dyDescent="0.3">
      <c r="A7" s="39" t="s">
        <v>89</v>
      </c>
      <c r="B7" s="40">
        <v>44849</v>
      </c>
      <c r="C7" s="39">
        <v>1</v>
      </c>
      <c r="D7" s="39">
        <v>60</v>
      </c>
      <c r="E7" s="39">
        <v>60</v>
      </c>
      <c r="F7" s="39" t="s">
        <v>80</v>
      </c>
      <c r="G7" s="39" t="s">
        <v>80</v>
      </c>
      <c r="H7" s="39" t="s">
        <v>90</v>
      </c>
      <c r="I7" s="39" t="s">
        <v>82</v>
      </c>
      <c r="J7" s="39" t="s">
        <v>85</v>
      </c>
      <c r="K7" s="39">
        <v>60</v>
      </c>
    </row>
    <row r="8" spans="1:14" x14ac:dyDescent="0.3">
      <c r="A8" s="39" t="s">
        <v>91</v>
      </c>
      <c r="B8" s="40">
        <v>44852</v>
      </c>
      <c r="C8" s="39">
        <v>3.5</v>
      </c>
      <c r="D8" s="39">
        <v>50</v>
      </c>
      <c r="E8" s="39">
        <v>175</v>
      </c>
      <c r="F8" s="39" t="s">
        <v>80</v>
      </c>
      <c r="G8" s="39" t="s">
        <v>80</v>
      </c>
      <c r="H8" s="39" t="s">
        <v>92</v>
      </c>
      <c r="I8" s="39" t="s">
        <v>80</v>
      </c>
      <c r="J8" s="39" t="s">
        <v>93</v>
      </c>
      <c r="K8" s="39">
        <v>200</v>
      </c>
    </row>
    <row r="9" spans="1:14" x14ac:dyDescent="0.3">
      <c r="A9" s="39" t="s">
        <v>91</v>
      </c>
      <c r="B9" s="40">
        <v>44857</v>
      </c>
      <c r="C9" s="39">
        <v>1</v>
      </c>
      <c r="D9" s="39">
        <v>50</v>
      </c>
      <c r="E9" s="39">
        <v>50</v>
      </c>
      <c r="F9" s="39" t="s">
        <v>80</v>
      </c>
      <c r="G9" s="39" t="s">
        <v>80</v>
      </c>
      <c r="H9" s="39" t="s">
        <v>94</v>
      </c>
      <c r="I9" s="39" t="s">
        <v>82</v>
      </c>
      <c r="J9" s="39" t="s">
        <v>95</v>
      </c>
      <c r="K9" s="39">
        <v>50</v>
      </c>
    </row>
    <row r="10" spans="1:14" x14ac:dyDescent="0.3">
      <c r="A10" s="39" t="s">
        <v>96</v>
      </c>
      <c r="B10" s="40">
        <v>44837</v>
      </c>
      <c r="C10" s="39">
        <v>1</v>
      </c>
      <c r="D10" s="39">
        <v>50</v>
      </c>
      <c r="E10" s="39">
        <v>50</v>
      </c>
      <c r="F10" s="39" t="s">
        <v>80</v>
      </c>
      <c r="G10" s="39" t="s">
        <v>80</v>
      </c>
      <c r="H10" s="39" t="s">
        <v>97</v>
      </c>
      <c r="I10" s="39" t="s">
        <v>82</v>
      </c>
      <c r="J10" s="39" t="s">
        <v>85</v>
      </c>
      <c r="K10" s="39">
        <v>50</v>
      </c>
    </row>
    <row r="11" spans="1:14" x14ac:dyDescent="0.3">
      <c r="A11" s="39" t="s">
        <v>98</v>
      </c>
      <c r="B11" s="40">
        <v>44842</v>
      </c>
      <c r="C11" s="39">
        <v>1</v>
      </c>
      <c r="D11" s="39">
        <v>60</v>
      </c>
      <c r="E11" s="39">
        <v>60</v>
      </c>
      <c r="F11" s="39" t="s">
        <v>80</v>
      </c>
      <c r="G11" s="39" t="s">
        <v>80</v>
      </c>
      <c r="H11" s="39" t="s">
        <v>99</v>
      </c>
      <c r="I11" s="39" t="s">
        <v>82</v>
      </c>
      <c r="J11" s="39" t="s">
        <v>85</v>
      </c>
      <c r="K11" s="39">
        <v>60</v>
      </c>
    </row>
    <row r="12" spans="1:14" x14ac:dyDescent="0.3">
      <c r="A12" s="39" t="s">
        <v>98</v>
      </c>
      <c r="B12" s="40">
        <v>44846</v>
      </c>
      <c r="C12" s="39">
        <v>1</v>
      </c>
      <c r="D12" s="39">
        <v>60</v>
      </c>
      <c r="E12" s="39">
        <v>60</v>
      </c>
      <c r="F12" s="39" t="s">
        <v>80</v>
      </c>
      <c r="G12" s="39" t="s">
        <v>80</v>
      </c>
      <c r="H12" s="39" t="s">
        <v>99</v>
      </c>
      <c r="I12" s="39" t="s">
        <v>82</v>
      </c>
      <c r="J12" s="39" t="s">
        <v>85</v>
      </c>
      <c r="K12" s="39">
        <v>60</v>
      </c>
    </row>
    <row r="13" spans="1:14" x14ac:dyDescent="0.3">
      <c r="A13" s="39" t="s">
        <v>98</v>
      </c>
      <c r="B13" s="40">
        <v>44853</v>
      </c>
      <c r="C13" s="39">
        <v>1.25</v>
      </c>
      <c r="D13" s="39">
        <v>60</v>
      </c>
      <c r="E13" s="39">
        <v>75</v>
      </c>
      <c r="F13" s="39" t="s">
        <v>80</v>
      </c>
      <c r="G13" s="39" t="s">
        <v>80</v>
      </c>
      <c r="H13" s="39" t="s">
        <v>100</v>
      </c>
      <c r="I13" s="39" t="s">
        <v>82</v>
      </c>
      <c r="J13" s="39" t="s">
        <v>85</v>
      </c>
      <c r="K13" s="39">
        <v>75</v>
      </c>
    </row>
    <row r="14" spans="1:14" x14ac:dyDescent="0.3">
      <c r="A14" s="39" t="s">
        <v>101</v>
      </c>
      <c r="B14" s="40">
        <v>44856</v>
      </c>
      <c r="C14" s="39">
        <v>1</v>
      </c>
      <c r="D14" s="39">
        <v>60</v>
      </c>
      <c r="E14" s="39">
        <v>60</v>
      </c>
      <c r="F14" s="39" t="s">
        <v>80</v>
      </c>
      <c r="G14" s="39" t="s">
        <v>80</v>
      </c>
      <c r="H14" s="39" t="s">
        <v>99</v>
      </c>
      <c r="I14" s="39" t="s">
        <v>82</v>
      </c>
      <c r="J14" s="39" t="s">
        <v>85</v>
      </c>
      <c r="K14" s="39">
        <v>60</v>
      </c>
      <c r="N14" s="37" t="s">
        <v>102</v>
      </c>
    </row>
    <row r="15" spans="1:14" x14ac:dyDescent="0.3">
      <c r="A15" s="39" t="s">
        <v>103</v>
      </c>
      <c r="B15" s="40">
        <v>44845</v>
      </c>
      <c r="C15" s="39">
        <v>1</v>
      </c>
      <c r="D15" s="39">
        <v>50</v>
      </c>
      <c r="E15" s="39">
        <v>50</v>
      </c>
      <c r="F15" s="39" t="s">
        <v>80</v>
      </c>
      <c r="G15" s="39" t="s">
        <v>80</v>
      </c>
      <c r="H15" s="39" t="s">
        <v>104</v>
      </c>
      <c r="I15" s="39" t="s">
        <v>82</v>
      </c>
      <c r="J15" s="39" t="s">
        <v>85</v>
      </c>
      <c r="K15" s="39">
        <v>50</v>
      </c>
    </row>
    <row r="16" spans="1:14" x14ac:dyDescent="0.3">
      <c r="A16" s="39" t="s">
        <v>103</v>
      </c>
      <c r="B16" s="40">
        <v>44851</v>
      </c>
      <c r="C16" s="39">
        <v>1.5</v>
      </c>
      <c r="D16" s="39">
        <v>50</v>
      </c>
      <c r="E16" s="39">
        <v>75</v>
      </c>
      <c r="F16" s="39" t="s">
        <v>80</v>
      </c>
      <c r="G16" s="39" t="s">
        <v>80</v>
      </c>
      <c r="H16" s="39" t="s">
        <v>105</v>
      </c>
      <c r="I16" s="39" t="s">
        <v>82</v>
      </c>
      <c r="J16" s="39" t="s">
        <v>85</v>
      </c>
      <c r="K16" s="39">
        <v>75</v>
      </c>
    </row>
    <row r="17" spans="1:17" x14ac:dyDescent="0.3">
      <c r="A17" s="39" t="s">
        <v>106</v>
      </c>
      <c r="B17" s="40">
        <v>44851</v>
      </c>
      <c r="C17" s="39">
        <v>1.5</v>
      </c>
      <c r="D17" s="39">
        <v>50</v>
      </c>
      <c r="E17" s="39">
        <v>75</v>
      </c>
      <c r="F17" s="39" t="s">
        <v>80</v>
      </c>
      <c r="G17" s="39" t="s">
        <v>80</v>
      </c>
      <c r="H17" s="39" t="s">
        <v>107</v>
      </c>
      <c r="I17" s="39" t="s">
        <v>82</v>
      </c>
      <c r="J17" s="39" t="s">
        <v>85</v>
      </c>
      <c r="K17" s="39">
        <v>75</v>
      </c>
    </row>
    <row r="18" spans="1:17" x14ac:dyDescent="0.3">
      <c r="A18" s="39" t="s">
        <v>106</v>
      </c>
      <c r="B18" s="40">
        <v>44857</v>
      </c>
      <c r="C18" s="39">
        <v>1.5</v>
      </c>
      <c r="D18" s="39">
        <v>50</v>
      </c>
      <c r="E18" s="39">
        <v>75</v>
      </c>
      <c r="F18" s="39" t="s">
        <v>80</v>
      </c>
      <c r="G18" s="39" t="s">
        <v>80</v>
      </c>
      <c r="H18" s="39" t="s">
        <v>107</v>
      </c>
      <c r="I18" s="39" t="s">
        <v>82</v>
      </c>
      <c r="J18" s="39" t="s">
        <v>85</v>
      </c>
      <c r="K18" s="39">
        <v>75</v>
      </c>
      <c r="O18" s="47" t="s">
        <v>149</v>
      </c>
      <c r="P18" t="s">
        <v>151</v>
      </c>
      <c r="Q18" t="s">
        <v>152</v>
      </c>
    </row>
    <row r="19" spans="1:17" x14ac:dyDescent="0.3">
      <c r="A19" s="39" t="s">
        <v>108</v>
      </c>
      <c r="B19" s="40">
        <v>44836</v>
      </c>
      <c r="C19" s="39">
        <v>1.5</v>
      </c>
      <c r="D19" s="39">
        <v>50</v>
      </c>
      <c r="E19" s="39">
        <v>75</v>
      </c>
      <c r="F19" s="39" t="s">
        <v>80</v>
      </c>
      <c r="G19" s="39" t="s">
        <v>80</v>
      </c>
      <c r="H19" s="39" t="s">
        <v>109</v>
      </c>
      <c r="I19" s="39" t="s">
        <v>82</v>
      </c>
      <c r="J19" s="41" t="s">
        <v>82</v>
      </c>
      <c r="K19" s="39">
        <v>75</v>
      </c>
      <c r="O19" s="48" t="s">
        <v>79</v>
      </c>
      <c r="P19">
        <v>5.75</v>
      </c>
      <c r="Q19">
        <v>287.5</v>
      </c>
    </row>
    <row r="20" spans="1:17" x14ac:dyDescent="0.3">
      <c r="A20" s="39" t="s">
        <v>110</v>
      </c>
      <c r="B20" s="40">
        <v>44836</v>
      </c>
      <c r="C20" s="39">
        <v>2</v>
      </c>
      <c r="D20" s="39">
        <v>50</v>
      </c>
      <c r="E20" s="39">
        <v>100</v>
      </c>
      <c r="F20" s="39" t="s">
        <v>80</v>
      </c>
      <c r="G20" s="39" t="s">
        <v>80</v>
      </c>
      <c r="H20" s="39" t="s">
        <v>111</v>
      </c>
      <c r="I20" s="39" t="s">
        <v>82</v>
      </c>
      <c r="J20" s="41" t="s">
        <v>82</v>
      </c>
      <c r="K20" s="39">
        <v>100</v>
      </c>
      <c r="O20" s="48" t="s">
        <v>89</v>
      </c>
      <c r="P20">
        <v>1</v>
      </c>
      <c r="Q20">
        <v>60</v>
      </c>
    </row>
    <row r="21" spans="1:17" ht="14.25" customHeight="1" x14ac:dyDescent="0.3">
      <c r="A21" s="39" t="s">
        <v>110</v>
      </c>
      <c r="B21" s="40">
        <v>44854</v>
      </c>
      <c r="C21" s="39">
        <v>1.5</v>
      </c>
      <c r="D21" s="39">
        <v>50</v>
      </c>
      <c r="E21" s="39">
        <v>75</v>
      </c>
      <c r="F21" s="39" t="s">
        <v>80</v>
      </c>
      <c r="G21" s="39" t="s">
        <v>80</v>
      </c>
      <c r="H21" s="39" t="s">
        <v>111</v>
      </c>
      <c r="I21" s="39" t="s">
        <v>82</v>
      </c>
      <c r="J21" s="39" t="s">
        <v>112</v>
      </c>
      <c r="K21" s="39">
        <v>75</v>
      </c>
      <c r="O21" s="48" t="s">
        <v>91</v>
      </c>
      <c r="P21">
        <v>4.5</v>
      </c>
      <c r="Q21">
        <v>225</v>
      </c>
    </row>
    <row r="22" spans="1:17" x14ac:dyDescent="0.3">
      <c r="A22" s="39" t="s">
        <v>113</v>
      </c>
      <c r="B22" s="40">
        <v>44847</v>
      </c>
      <c r="C22" s="39">
        <v>2</v>
      </c>
      <c r="D22" s="39">
        <v>50</v>
      </c>
      <c r="E22" s="39">
        <v>100</v>
      </c>
      <c r="F22" s="39" t="s">
        <v>80</v>
      </c>
      <c r="G22" s="39" t="s">
        <v>80</v>
      </c>
      <c r="H22" s="39" t="s">
        <v>114</v>
      </c>
      <c r="I22" s="39" t="s">
        <v>82</v>
      </c>
      <c r="J22" s="39" t="s">
        <v>85</v>
      </c>
      <c r="K22" s="39">
        <v>100</v>
      </c>
      <c r="O22" s="48" t="s">
        <v>96</v>
      </c>
      <c r="P22">
        <v>1</v>
      </c>
      <c r="Q22">
        <v>50</v>
      </c>
    </row>
    <row r="23" spans="1:17" x14ac:dyDescent="0.3">
      <c r="A23" s="39" t="s">
        <v>115</v>
      </c>
      <c r="B23" s="40">
        <v>44856</v>
      </c>
      <c r="C23" s="39">
        <v>0.5</v>
      </c>
      <c r="D23" s="39">
        <v>60</v>
      </c>
      <c r="E23" s="39">
        <v>30</v>
      </c>
      <c r="F23" s="39" t="s">
        <v>80</v>
      </c>
      <c r="G23" s="39" t="s">
        <v>80</v>
      </c>
      <c r="H23" s="39" t="s">
        <v>116</v>
      </c>
      <c r="I23" s="39" t="s">
        <v>82</v>
      </c>
      <c r="J23" s="39" t="s">
        <v>85</v>
      </c>
      <c r="K23" s="39">
        <v>30</v>
      </c>
      <c r="O23" s="48" t="s">
        <v>98</v>
      </c>
      <c r="P23">
        <v>3.25</v>
      </c>
      <c r="Q23">
        <v>195</v>
      </c>
    </row>
    <row r="24" spans="1:17" x14ac:dyDescent="0.3">
      <c r="A24" s="39" t="s">
        <v>117</v>
      </c>
      <c r="B24" s="40">
        <v>44857</v>
      </c>
      <c r="C24" s="39">
        <v>2</v>
      </c>
      <c r="D24" s="39">
        <v>50</v>
      </c>
      <c r="E24" s="39">
        <v>100</v>
      </c>
      <c r="F24" s="39" t="s">
        <v>80</v>
      </c>
      <c r="G24" s="39" t="s">
        <v>80</v>
      </c>
      <c r="H24" s="39" t="s">
        <v>118</v>
      </c>
      <c r="I24" s="39" t="s">
        <v>82</v>
      </c>
      <c r="J24" s="39" t="s">
        <v>85</v>
      </c>
      <c r="K24" s="39">
        <v>100</v>
      </c>
      <c r="O24" s="48" t="s">
        <v>101</v>
      </c>
      <c r="P24">
        <v>1</v>
      </c>
      <c r="Q24">
        <v>60</v>
      </c>
    </row>
    <row r="25" spans="1:17" x14ac:dyDescent="0.3">
      <c r="A25" s="39" t="s">
        <v>117</v>
      </c>
      <c r="B25" s="40">
        <v>44863</v>
      </c>
      <c r="C25" s="39">
        <v>1</v>
      </c>
      <c r="D25" s="39">
        <v>50</v>
      </c>
      <c r="E25" s="39">
        <v>50</v>
      </c>
      <c r="F25" s="39" t="s">
        <v>80</v>
      </c>
      <c r="G25" s="39" t="s">
        <v>80</v>
      </c>
      <c r="H25" s="39" t="s">
        <v>119</v>
      </c>
      <c r="I25" s="39" t="s">
        <v>82</v>
      </c>
      <c r="J25" s="39" t="s">
        <v>85</v>
      </c>
      <c r="K25" s="39">
        <v>50</v>
      </c>
      <c r="O25" s="48" t="s">
        <v>103</v>
      </c>
      <c r="P25">
        <v>2.5</v>
      </c>
      <c r="Q25">
        <v>125</v>
      </c>
    </row>
    <row r="26" spans="1:17" x14ac:dyDescent="0.3">
      <c r="A26" s="39" t="s">
        <v>117</v>
      </c>
      <c r="B26" s="40">
        <v>44865</v>
      </c>
      <c r="C26" s="39">
        <v>1</v>
      </c>
      <c r="D26" s="39">
        <v>50</v>
      </c>
      <c r="E26" s="39">
        <v>50</v>
      </c>
      <c r="F26" s="39" t="s">
        <v>80</v>
      </c>
      <c r="G26" s="39" t="s">
        <v>80</v>
      </c>
      <c r="H26" s="39" t="s">
        <v>119</v>
      </c>
      <c r="I26" s="39" t="s">
        <v>82</v>
      </c>
      <c r="J26" s="39" t="s">
        <v>85</v>
      </c>
      <c r="K26" s="39">
        <v>50</v>
      </c>
      <c r="O26" s="48" t="s">
        <v>106</v>
      </c>
      <c r="P26">
        <v>3</v>
      </c>
      <c r="Q26">
        <v>150</v>
      </c>
    </row>
    <row r="27" spans="1:17" x14ac:dyDescent="0.3">
      <c r="A27" s="39" t="s">
        <v>120</v>
      </c>
      <c r="B27" s="40">
        <v>44838</v>
      </c>
      <c r="C27" s="39">
        <v>1</v>
      </c>
      <c r="D27" s="39">
        <v>50</v>
      </c>
      <c r="E27" s="39">
        <v>50</v>
      </c>
      <c r="F27" s="39" t="s">
        <v>80</v>
      </c>
      <c r="G27" s="39" t="s">
        <v>80</v>
      </c>
      <c r="H27" s="39" t="s">
        <v>121</v>
      </c>
      <c r="I27" s="39" t="s">
        <v>82</v>
      </c>
      <c r="J27" s="39" t="s">
        <v>85</v>
      </c>
      <c r="K27" s="39">
        <v>50</v>
      </c>
      <c r="O27" s="48" t="s">
        <v>108</v>
      </c>
      <c r="P27">
        <v>1.5</v>
      </c>
      <c r="Q27">
        <v>75</v>
      </c>
    </row>
    <row r="28" spans="1:17" x14ac:dyDescent="0.3">
      <c r="A28" s="39" t="s">
        <v>120</v>
      </c>
      <c r="B28" s="40">
        <v>44840</v>
      </c>
      <c r="C28" s="39">
        <v>2</v>
      </c>
      <c r="D28" s="39">
        <v>50</v>
      </c>
      <c r="E28" s="39">
        <v>100</v>
      </c>
      <c r="F28" s="39" t="s">
        <v>80</v>
      </c>
      <c r="G28" s="39" t="s">
        <v>80</v>
      </c>
      <c r="H28" s="39" t="s">
        <v>121</v>
      </c>
      <c r="I28" s="39" t="s">
        <v>82</v>
      </c>
      <c r="J28" s="39" t="s">
        <v>85</v>
      </c>
      <c r="K28" s="39">
        <v>100</v>
      </c>
      <c r="O28" s="48" t="s">
        <v>110</v>
      </c>
      <c r="P28">
        <v>3.5</v>
      </c>
      <c r="Q28">
        <v>175</v>
      </c>
    </row>
    <row r="29" spans="1:17" x14ac:dyDescent="0.3">
      <c r="A29" s="39" t="s">
        <v>120</v>
      </c>
      <c r="B29" s="40">
        <v>44851</v>
      </c>
      <c r="C29" s="39">
        <v>1.5</v>
      </c>
      <c r="D29" s="39">
        <v>50</v>
      </c>
      <c r="E29" s="39">
        <v>75</v>
      </c>
      <c r="F29" s="39" t="s">
        <v>80</v>
      </c>
      <c r="G29" s="39" t="s">
        <v>80</v>
      </c>
      <c r="H29" s="39" t="s">
        <v>122</v>
      </c>
      <c r="I29" s="39" t="s">
        <v>82</v>
      </c>
      <c r="J29" s="39" t="s">
        <v>85</v>
      </c>
      <c r="K29" s="39">
        <v>75</v>
      </c>
      <c r="O29" s="48" t="s">
        <v>113</v>
      </c>
      <c r="P29">
        <v>2</v>
      </c>
      <c r="Q29">
        <v>100</v>
      </c>
    </row>
    <row r="30" spans="1:17" x14ac:dyDescent="0.3">
      <c r="A30" s="39" t="s">
        <v>120</v>
      </c>
      <c r="B30" s="40">
        <v>44857</v>
      </c>
      <c r="C30" s="39">
        <v>1</v>
      </c>
      <c r="D30" s="39">
        <v>50</v>
      </c>
      <c r="E30" s="39">
        <v>75</v>
      </c>
      <c r="F30" s="39" t="s">
        <v>80</v>
      </c>
      <c r="G30" s="39" t="s">
        <v>80</v>
      </c>
      <c r="H30" s="39" t="s">
        <v>121</v>
      </c>
      <c r="I30" s="39" t="s">
        <v>82</v>
      </c>
      <c r="J30" s="39" t="s">
        <v>85</v>
      </c>
      <c r="K30" s="39">
        <v>75</v>
      </c>
      <c r="O30" s="48" t="s">
        <v>115</v>
      </c>
      <c r="P30">
        <v>0.5</v>
      </c>
      <c r="Q30">
        <v>30</v>
      </c>
    </row>
    <row r="31" spans="1:17" x14ac:dyDescent="0.3">
      <c r="A31" s="39" t="s">
        <v>120</v>
      </c>
      <c r="B31" s="40">
        <v>44858</v>
      </c>
      <c r="C31" s="39">
        <v>1</v>
      </c>
      <c r="D31" s="39">
        <v>50</v>
      </c>
      <c r="E31" s="39">
        <v>50</v>
      </c>
      <c r="F31" s="39" t="s">
        <v>80</v>
      </c>
      <c r="G31" s="39" t="s">
        <v>80</v>
      </c>
      <c r="H31" s="39" t="s">
        <v>121</v>
      </c>
      <c r="I31" s="39" t="s">
        <v>82</v>
      </c>
      <c r="J31" s="39" t="s">
        <v>85</v>
      </c>
      <c r="K31" s="39">
        <v>50</v>
      </c>
      <c r="O31" s="48" t="s">
        <v>117</v>
      </c>
      <c r="P31">
        <v>4</v>
      </c>
      <c r="Q31">
        <v>200</v>
      </c>
    </row>
    <row r="32" spans="1:17" x14ac:dyDescent="0.3">
      <c r="A32" s="39" t="s">
        <v>120</v>
      </c>
      <c r="B32" s="40">
        <v>44859</v>
      </c>
      <c r="C32" s="39">
        <v>1</v>
      </c>
      <c r="D32" s="39">
        <v>50</v>
      </c>
      <c r="E32" s="39">
        <v>50</v>
      </c>
      <c r="F32" s="39" t="s">
        <v>80</v>
      </c>
      <c r="G32" s="39" t="s">
        <v>80</v>
      </c>
      <c r="H32" s="39" t="s">
        <v>121</v>
      </c>
      <c r="I32" s="39" t="s">
        <v>82</v>
      </c>
      <c r="J32" s="39" t="s">
        <v>85</v>
      </c>
      <c r="K32" s="39">
        <v>50</v>
      </c>
      <c r="O32" s="48" t="s">
        <v>120</v>
      </c>
      <c r="P32">
        <v>8.75</v>
      </c>
      <c r="Q32">
        <v>462.5</v>
      </c>
    </row>
    <row r="33" spans="1:17" x14ac:dyDescent="0.3">
      <c r="A33" s="39" t="s">
        <v>120</v>
      </c>
      <c r="B33" s="40">
        <v>44860</v>
      </c>
      <c r="C33" s="39">
        <v>1.25</v>
      </c>
      <c r="D33" s="39">
        <v>50</v>
      </c>
      <c r="E33" s="39">
        <v>62.5</v>
      </c>
      <c r="F33" s="39" t="s">
        <v>80</v>
      </c>
      <c r="G33" s="39" t="s">
        <v>80</v>
      </c>
      <c r="H33" s="39" t="s">
        <v>121</v>
      </c>
      <c r="I33" s="39" t="s">
        <v>82</v>
      </c>
      <c r="J33" s="39" t="s">
        <v>85</v>
      </c>
      <c r="K33" s="39">
        <v>62.5</v>
      </c>
      <c r="O33" s="48" t="s">
        <v>123</v>
      </c>
      <c r="P33">
        <v>1.5</v>
      </c>
      <c r="Q33">
        <v>75</v>
      </c>
    </row>
    <row r="34" spans="1:17" x14ac:dyDescent="0.3">
      <c r="A34" s="39" t="s">
        <v>123</v>
      </c>
      <c r="B34" s="40">
        <v>44846</v>
      </c>
      <c r="C34" s="39">
        <v>1.5</v>
      </c>
      <c r="D34" s="39">
        <v>50</v>
      </c>
      <c r="E34" s="39">
        <v>75</v>
      </c>
      <c r="F34" s="39" t="s">
        <v>80</v>
      </c>
      <c r="G34" s="39" t="s">
        <v>80</v>
      </c>
      <c r="H34" s="39" t="s">
        <v>124</v>
      </c>
      <c r="I34" s="39" t="s">
        <v>82</v>
      </c>
      <c r="J34" s="39" t="s">
        <v>85</v>
      </c>
      <c r="K34" s="39">
        <v>75</v>
      </c>
      <c r="O34" s="48" t="s">
        <v>125</v>
      </c>
      <c r="P34">
        <v>2</v>
      </c>
      <c r="Q34">
        <v>120</v>
      </c>
    </row>
    <row r="35" spans="1:17" x14ac:dyDescent="0.3">
      <c r="A35" s="39" t="s">
        <v>125</v>
      </c>
      <c r="B35" s="40">
        <v>44860</v>
      </c>
      <c r="C35" s="39">
        <v>1</v>
      </c>
      <c r="D35" s="39">
        <v>60</v>
      </c>
      <c r="E35" s="39">
        <v>60</v>
      </c>
      <c r="F35" s="39" t="s">
        <v>126</v>
      </c>
      <c r="G35" s="39" t="s">
        <v>80</v>
      </c>
      <c r="H35" s="39" t="s">
        <v>127</v>
      </c>
      <c r="I35" s="39" t="s">
        <v>82</v>
      </c>
      <c r="J35" s="39" t="s">
        <v>85</v>
      </c>
      <c r="K35" s="39">
        <v>60</v>
      </c>
      <c r="O35" s="48" t="s">
        <v>128</v>
      </c>
      <c r="P35">
        <v>11.5</v>
      </c>
      <c r="Q35">
        <v>450</v>
      </c>
    </row>
    <row r="36" spans="1:17" x14ac:dyDescent="0.3">
      <c r="A36" s="39" t="s">
        <v>125</v>
      </c>
      <c r="B36" s="40">
        <v>44861</v>
      </c>
      <c r="C36" s="39">
        <v>1</v>
      </c>
      <c r="D36" s="39">
        <v>60</v>
      </c>
      <c r="E36" s="39">
        <v>60</v>
      </c>
      <c r="F36" s="39" t="s">
        <v>80</v>
      </c>
      <c r="G36" s="39" t="s">
        <v>80</v>
      </c>
      <c r="H36" s="39" t="s">
        <v>127</v>
      </c>
      <c r="I36" s="39" t="s">
        <v>82</v>
      </c>
      <c r="J36" s="39" t="s">
        <v>85</v>
      </c>
      <c r="K36" s="39">
        <v>60</v>
      </c>
      <c r="O36" s="48" t="s">
        <v>150</v>
      </c>
      <c r="P36">
        <v>57.25</v>
      </c>
      <c r="Q36">
        <v>2840</v>
      </c>
    </row>
    <row r="37" spans="1:17" x14ac:dyDescent="0.3">
      <c r="A37" s="39" t="s">
        <v>128</v>
      </c>
      <c r="B37" s="40">
        <v>44840</v>
      </c>
      <c r="C37" s="39">
        <v>1.5</v>
      </c>
      <c r="D37" s="39">
        <v>50</v>
      </c>
      <c r="E37" s="39">
        <v>75</v>
      </c>
      <c r="F37" s="39" t="s">
        <v>80</v>
      </c>
      <c r="G37" s="39" t="s">
        <v>80</v>
      </c>
      <c r="H37" s="39" t="s">
        <v>129</v>
      </c>
      <c r="I37" s="39" t="s">
        <v>82</v>
      </c>
      <c r="J37" s="39" t="s">
        <v>85</v>
      </c>
      <c r="K37" s="39">
        <v>75</v>
      </c>
    </row>
    <row r="38" spans="1:17" x14ac:dyDescent="0.3">
      <c r="A38" s="39" t="s">
        <v>128</v>
      </c>
      <c r="B38" s="40">
        <v>44855</v>
      </c>
      <c r="C38" s="39">
        <v>2</v>
      </c>
      <c r="D38" s="39">
        <v>50</v>
      </c>
      <c r="E38" s="39">
        <v>100</v>
      </c>
      <c r="F38" s="39" t="s">
        <v>80</v>
      </c>
      <c r="G38" s="39" t="s">
        <v>80</v>
      </c>
      <c r="H38" s="39" t="s">
        <v>114</v>
      </c>
      <c r="I38" s="39" t="s">
        <v>82</v>
      </c>
      <c r="J38" s="39" t="s">
        <v>85</v>
      </c>
      <c r="K38" s="39">
        <v>100</v>
      </c>
    </row>
    <row r="39" spans="1:17" x14ac:dyDescent="0.3">
      <c r="A39" s="39" t="s">
        <v>128</v>
      </c>
      <c r="B39" s="40">
        <v>44857</v>
      </c>
      <c r="C39" s="39">
        <v>0.5</v>
      </c>
      <c r="D39" s="39">
        <v>50</v>
      </c>
      <c r="E39" s="39">
        <v>25</v>
      </c>
      <c r="F39" s="39" t="s">
        <v>82</v>
      </c>
      <c r="G39" s="39" t="s">
        <v>80</v>
      </c>
      <c r="H39" s="39" t="s">
        <v>114</v>
      </c>
      <c r="I39" s="39" t="s">
        <v>82</v>
      </c>
      <c r="J39" s="39" t="s">
        <v>85</v>
      </c>
      <c r="K39" s="39">
        <v>25</v>
      </c>
    </row>
    <row r="40" spans="1:17" x14ac:dyDescent="0.3">
      <c r="A40" s="39" t="s">
        <v>128</v>
      </c>
      <c r="B40" s="40">
        <v>44863</v>
      </c>
      <c r="C40" s="39">
        <v>5</v>
      </c>
      <c r="D40" s="39">
        <v>50</v>
      </c>
      <c r="E40" s="39">
        <v>125</v>
      </c>
      <c r="F40" s="39" t="s">
        <v>80</v>
      </c>
      <c r="G40" s="39" t="s">
        <v>80</v>
      </c>
      <c r="H40" s="39" t="s">
        <v>114</v>
      </c>
      <c r="I40" s="39" t="s">
        <v>82</v>
      </c>
      <c r="J40" s="39" t="s">
        <v>85</v>
      </c>
      <c r="K40" s="39">
        <v>250</v>
      </c>
    </row>
    <row r="41" spans="1:17" x14ac:dyDescent="0.3">
      <c r="A41" s="39" t="s">
        <v>128</v>
      </c>
      <c r="B41" s="40">
        <v>44864</v>
      </c>
      <c r="C41" s="39">
        <v>2.5</v>
      </c>
      <c r="D41" s="39">
        <v>50</v>
      </c>
      <c r="E41" s="39">
        <v>125</v>
      </c>
      <c r="F41" s="39" t="s">
        <v>80</v>
      </c>
      <c r="G41" s="39" t="s">
        <v>80</v>
      </c>
      <c r="H41" s="39" t="s">
        <v>114</v>
      </c>
      <c r="I41" s="39" t="s">
        <v>82</v>
      </c>
      <c r="J41" s="39" t="s">
        <v>130</v>
      </c>
      <c r="K41" s="39">
        <v>125</v>
      </c>
    </row>
    <row r="42" spans="1:17" x14ac:dyDescent="0.3">
      <c r="B42" s="42"/>
    </row>
    <row r="43" spans="1:17" x14ac:dyDescent="0.3">
      <c r="B43" s="42"/>
      <c r="K43" s="37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7" bestFit="1" customWidth="1"/>
    <col min="2" max="2" width="7" style="37" bestFit="1" customWidth="1"/>
    <col min="3" max="3" width="6.109375" style="37" bestFit="1" customWidth="1"/>
    <col min="4" max="4" width="10.5546875" style="37" bestFit="1" customWidth="1"/>
    <col min="5" max="5" width="5" style="37" bestFit="1" customWidth="1"/>
    <col min="6" max="6" width="7.109375" style="37" bestFit="1" customWidth="1"/>
    <col min="7" max="7" width="38.5546875" style="37" bestFit="1" customWidth="1"/>
    <col min="8" max="8" width="27.109375" style="37" bestFit="1" customWidth="1"/>
    <col min="9" max="9" width="4.6640625" style="37" bestFit="1" customWidth="1"/>
    <col min="10" max="10" width="6.33203125" style="37" bestFit="1" customWidth="1"/>
    <col min="11" max="14" width="9.109375" style="37"/>
    <col min="15" max="15" width="16.33203125" style="37" bestFit="1" customWidth="1"/>
    <col min="16" max="16" width="12.6640625" style="37" bestFit="1" customWidth="1"/>
    <col min="17" max="17" width="11.5546875" style="37" bestFit="1" customWidth="1"/>
    <col min="18" max="16384" width="9.109375" style="37"/>
  </cols>
  <sheetData>
    <row r="1" spans="1:17" x14ac:dyDescent="0.3">
      <c r="A1" s="37" t="s">
        <v>68</v>
      </c>
      <c r="B1" s="37" t="s">
        <v>69</v>
      </c>
      <c r="C1" s="37" t="s">
        <v>70</v>
      </c>
      <c r="D1" s="37" t="s">
        <v>71</v>
      </c>
      <c r="E1" s="37" t="s">
        <v>72</v>
      </c>
      <c r="F1" s="37" t="s">
        <v>73</v>
      </c>
      <c r="G1" s="37" t="s">
        <v>74</v>
      </c>
      <c r="H1" s="37" t="s">
        <v>75</v>
      </c>
      <c r="I1" s="37" t="s">
        <v>76</v>
      </c>
      <c r="J1" s="37" t="s">
        <v>78</v>
      </c>
    </row>
    <row r="2" spans="1:17" x14ac:dyDescent="0.3">
      <c r="A2" s="43" t="s">
        <v>120</v>
      </c>
      <c r="B2" s="44">
        <v>44822</v>
      </c>
      <c r="C2" s="43">
        <v>1</v>
      </c>
      <c r="D2" s="43">
        <v>50</v>
      </c>
      <c r="E2" s="43">
        <v>50</v>
      </c>
      <c r="F2" s="43" t="s">
        <v>80</v>
      </c>
      <c r="G2" s="43" t="s">
        <v>80</v>
      </c>
      <c r="H2" s="43" t="s">
        <v>131</v>
      </c>
      <c r="I2" s="43" t="s">
        <v>82</v>
      </c>
      <c r="J2" s="43">
        <v>50</v>
      </c>
      <c r="M2" s="37" t="s">
        <v>83</v>
      </c>
    </row>
    <row r="3" spans="1:17" x14ac:dyDescent="0.3">
      <c r="A3" s="43" t="s">
        <v>110</v>
      </c>
      <c r="B3" s="44">
        <v>44822</v>
      </c>
      <c r="C3" s="43">
        <v>2</v>
      </c>
      <c r="D3" s="43">
        <v>50</v>
      </c>
      <c r="E3" s="43">
        <v>100</v>
      </c>
      <c r="F3" s="43" t="s">
        <v>80</v>
      </c>
      <c r="G3" s="43" t="s">
        <v>80</v>
      </c>
      <c r="H3" s="43" t="s">
        <v>114</v>
      </c>
      <c r="I3" s="43" t="s">
        <v>82</v>
      </c>
      <c r="J3" s="43">
        <v>100</v>
      </c>
    </row>
    <row r="4" spans="1:17" x14ac:dyDescent="0.3">
      <c r="A4" s="43" t="s">
        <v>91</v>
      </c>
      <c r="B4" s="44">
        <v>44822</v>
      </c>
      <c r="C4" s="43">
        <v>1.5</v>
      </c>
      <c r="D4" s="43">
        <v>50</v>
      </c>
      <c r="E4" s="43">
        <v>75</v>
      </c>
      <c r="F4" s="43" t="s">
        <v>80</v>
      </c>
      <c r="G4" s="43" t="s">
        <v>80</v>
      </c>
      <c r="H4" s="43" t="s">
        <v>132</v>
      </c>
      <c r="I4" s="43">
        <v>25</v>
      </c>
      <c r="J4" s="43">
        <v>100</v>
      </c>
    </row>
    <row r="5" spans="1:17" x14ac:dyDescent="0.3">
      <c r="A5" s="43" t="s">
        <v>106</v>
      </c>
      <c r="B5" s="44">
        <v>44822</v>
      </c>
      <c r="C5" s="43">
        <v>1.5</v>
      </c>
      <c r="D5" s="43">
        <v>50</v>
      </c>
      <c r="E5" s="43">
        <v>75</v>
      </c>
      <c r="F5" s="43" t="s">
        <v>80</v>
      </c>
      <c r="G5" s="43" t="s">
        <v>80</v>
      </c>
      <c r="H5" s="43" t="s">
        <v>133</v>
      </c>
      <c r="I5" s="43" t="s">
        <v>82</v>
      </c>
      <c r="J5" s="43">
        <v>75</v>
      </c>
    </row>
    <row r="6" spans="1:17" x14ac:dyDescent="0.3">
      <c r="A6" s="43" t="s">
        <v>108</v>
      </c>
      <c r="B6" s="44">
        <v>44822</v>
      </c>
      <c r="C6" s="43">
        <v>1.5</v>
      </c>
      <c r="D6" s="43">
        <v>50</v>
      </c>
      <c r="E6" s="43">
        <v>75</v>
      </c>
      <c r="F6" s="43" t="s">
        <v>80</v>
      </c>
      <c r="G6" s="43" t="s">
        <v>80</v>
      </c>
      <c r="H6" s="43" t="s">
        <v>114</v>
      </c>
      <c r="I6" s="43" t="s">
        <v>82</v>
      </c>
      <c r="J6" s="43">
        <v>75</v>
      </c>
    </row>
    <row r="7" spans="1:17" x14ac:dyDescent="0.3">
      <c r="A7" s="43" t="s">
        <v>79</v>
      </c>
      <c r="B7" s="44">
        <v>44823</v>
      </c>
      <c r="C7" s="43">
        <v>2</v>
      </c>
      <c r="D7" s="43">
        <v>50</v>
      </c>
      <c r="E7" s="43">
        <v>100</v>
      </c>
      <c r="F7" s="43" t="s">
        <v>80</v>
      </c>
      <c r="G7" s="43" t="s">
        <v>80</v>
      </c>
      <c r="H7" s="43" t="s">
        <v>134</v>
      </c>
      <c r="I7" s="43" t="s">
        <v>82</v>
      </c>
      <c r="J7" s="43">
        <v>100</v>
      </c>
    </row>
    <row r="8" spans="1:17" x14ac:dyDescent="0.3">
      <c r="A8" s="43" t="s">
        <v>106</v>
      </c>
      <c r="B8" s="44">
        <v>44823</v>
      </c>
      <c r="C8" s="43">
        <v>1</v>
      </c>
      <c r="D8" s="43">
        <v>50</v>
      </c>
      <c r="E8" s="43">
        <v>50</v>
      </c>
      <c r="F8" s="43" t="s">
        <v>80</v>
      </c>
      <c r="G8" s="43" t="s">
        <v>80</v>
      </c>
      <c r="H8" s="43" t="s">
        <v>133</v>
      </c>
      <c r="I8" s="43" t="s">
        <v>82</v>
      </c>
      <c r="J8" s="43">
        <v>50</v>
      </c>
    </row>
    <row r="9" spans="1:17" x14ac:dyDescent="0.3">
      <c r="A9" s="43" t="s">
        <v>110</v>
      </c>
      <c r="B9" s="44">
        <v>44826</v>
      </c>
      <c r="C9" s="43">
        <v>1</v>
      </c>
      <c r="D9" s="43">
        <v>50</v>
      </c>
      <c r="E9" s="43">
        <v>50</v>
      </c>
      <c r="F9" s="43" t="s">
        <v>80</v>
      </c>
      <c r="G9" s="43" t="s">
        <v>80</v>
      </c>
      <c r="H9" s="43" t="s">
        <v>135</v>
      </c>
      <c r="I9" s="43" t="s">
        <v>82</v>
      </c>
      <c r="J9" s="43">
        <v>50</v>
      </c>
    </row>
    <row r="10" spans="1:17" x14ac:dyDescent="0.3">
      <c r="A10" s="43" t="s">
        <v>136</v>
      </c>
      <c r="B10" s="44">
        <v>44827</v>
      </c>
      <c r="C10" s="43">
        <v>0.5</v>
      </c>
      <c r="D10" s="43">
        <v>50</v>
      </c>
      <c r="E10" s="43">
        <v>25</v>
      </c>
      <c r="F10" s="43" t="s">
        <v>82</v>
      </c>
      <c r="G10" s="43" t="s">
        <v>137</v>
      </c>
      <c r="H10" s="43" t="s">
        <v>138</v>
      </c>
      <c r="I10" s="43"/>
      <c r="J10" s="43"/>
      <c r="O10" s="47" t="s">
        <v>149</v>
      </c>
      <c r="P10" t="s">
        <v>151</v>
      </c>
      <c r="Q10" t="s">
        <v>152</v>
      </c>
    </row>
    <row r="11" spans="1:17" x14ac:dyDescent="0.3">
      <c r="A11" s="43" t="s">
        <v>110</v>
      </c>
      <c r="B11" s="44">
        <v>44827</v>
      </c>
      <c r="C11" s="43">
        <v>1</v>
      </c>
      <c r="D11" s="43">
        <v>50</v>
      </c>
      <c r="E11" s="43">
        <v>50</v>
      </c>
      <c r="F11" s="43" t="s">
        <v>80</v>
      </c>
      <c r="G11" s="43" t="s">
        <v>80</v>
      </c>
      <c r="H11" s="43" t="s">
        <v>139</v>
      </c>
      <c r="I11" s="43" t="s">
        <v>82</v>
      </c>
      <c r="J11" s="43">
        <v>50</v>
      </c>
      <c r="O11" s="48" t="s">
        <v>79</v>
      </c>
      <c r="P11">
        <v>2</v>
      </c>
      <c r="Q11">
        <v>100</v>
      </c>
    </row>
    <row r="12" spans="1:17" x14ac:dyDescent="0.3">
      <c r="A12" s="43" t="s">
        <v>96</v>
      </c>
      <c r="B12" s="44">
        <v>44829</v>
      </c>
      <c r="C12" s="43">
        <v>1</v>
      </c>
      <c r="D12" s="43">
        <v>50</v>
      </c>
      <c r="E12" s="43">
        <v>50</v>
      </c>
      <c r="F12" s="43" t="s">
        <v>80</v>
      </c>
      <c r="G12" s="43" t="s">
        <v>80</v>
      </c>
      <c r="H12" s="43" t="s">
        <v>140</v>
      </c>
      <c r="I12" s="43" t="s">
        <v>82</v>
      </c>
      <c r="J12" s="43">
        <v>50</v>
      </c>
      <c r="O12" s="48" t="s">
        <v>91</v>
      </c>
      <c r="P12">
        <v>1.5</v>
      </c>
      <c r="Q12">
        <v>75</v>
      </c>
    </row>
    <row r="13" spans="1:17" x14ac:dyDescent="0.3">
      <c r="A13" s="43" t="s">
        <v>110</v>
      </c>
      <c r="B13" s="44">
        <v>44829</v>
      </c>
      <c r="C13" s="43">
        <v>2</v>
      </c>
      <c r="D13" s="43">
        <v>100</v>
      </c>
      <c r="E13" s="43">
        <v>100</v>
      </c>
      <c r="F13" s="43" t="s">
        <v>80</v>
      </c>
      <c r="G13" s="43" t="s">
        <v>80</v>
      </c>
      <c r="H13" s="43" t="s">
        <v>129</v>
      </c>
      <c r="I13" s="43" t="s">
        <v>82</v>
      </c>
      <c r="J13" s="43">
        <v>100</v>
      </c>
      <c r="O13" s="48" t="s">
        <v>96</v>
      </c>
      <c r="P13">
        <v>2</v>
      </c>
      <c r="Q13">
        <v>100</v>
      </c>
    </row>
    <row r="14" spans="1:17" x14ac:dyDescent="0.3">
      <c r="A14" s="43" t="s">
        <v>141</v>
      </c>
      <c r="B14" s="44">
        <v>44829</v>
      </c>
      <c r="C14" s="43">
        <v>2</v>
      </c>
      <c r="D14" s="43">
        <v>100</v>
      </c>
      <c r="E14" s="43">
        <v>100</v>
      </c>
      <c r="F14" s="43" t="s">
        <v>80</v>
      </c>
      <c r="G14" s="43" t="s">
        <v>80</v>
      </c>
      <c r="H14" s="43" t="s">
        <v>129</v>
      </c>
      <c r="I14" s="43" t="s">
        <v>82</v>
      </c>
      <c r="J14" s="43">
        <v>100</v>
      </c>
      <c r="O14" s="48" t="s">
        <v>106</v>
      </c>
      <c r="P14">
        <v>2.5</v>
      </c>
      <c r="Q14">
        <v>125</v>
      </c>
    </row>
    <row r="15" spans="1:17" x14ac:dyDescent="0.3">
      <c r="A15" s="43" t="s">
        <v>96</v>
      </c>
      <c r="B15" s="44">
        <v>44830</v>
      </c>
      <c r="C15" s="43">
        <v>1</v>
      </c>
      <c r="D15" s="43">
        <v>50</v>
      </c>
      <c r="E15" s="43">
        <v>50</v>
      </c>
      <c r="F15" s="43" t="s">
        <v>80</v>
      </c>
      <c r="G15" s="43" t="s">
        <v>80</v>
      </c>
      <c r="H15" s="43" t="s">
        <v>140</v>
      </c>
      <c r="I15" s="43" t="s">
        <v>82</v>
      </c>
      <c r="J15" s="43">
        <v>50</v>
      </c>
      <c r="O15" s="48" t="s">
        <v>108</v>
      </c>
      <c r="P15">
        <v>1.5</v>
      </c>
      <c r="Q15">
        <v>75</v>
      </c>
    </row>
    <row r="16" spans="1:17" x14ac:dyDescent="0.3">
      <c r="A16" s="43" t="s">
        <v>110</v>
      </c>
      <c r="B16" s="44">
        <v>44832</v>
      </c>
      <c r="C16" s="43">
        <v>1.5</v>
      </c>
      <c r="D16" s="43">
        <v>50</v>
      </c>
      <c r="E16" s="43">
        <v>75</v>
      </c>
      <c r="F16" s="43" t="s">
        <v>80</v>
      </c>
      <c r="G16" s="43" t="s">
        <v>80</v>
      </c>
      <c r="H16" s="43" t="s">
        <v>129</v>
      </c>
      <c r="I16" s="43" t="s">
        <v>82</v>
      </c>
      <c r="J16" s="43">
        <v>75</v>
      </c>
      <c r="O16" s="48" t="s">
        <v>110</v>
      </c>
      <c r="P16">
        <v>7.5</v>
      </c>
      <c r="Q16">
        <v>375</v>
      </c>
    </row>
    <row r="17" spans="2:17" x14ac:dyDescent="0.3">
      <c r="B17" s="42"/>
      <c r="O17" s="48" t="s">
        <v>136</v>
      </c>
      <c r="P17">
        <v>0.5</v>
      </c>
      <c r="Q17">
        <v>25</v>
      </c>
    </row>
    <row r="18" spans="2:17" x14ac:dyDescent="0.3">
      <c r="J18" s="37">
        <f>SUM(J2:J16)</f>
        <v>1025</v>
      </c>
      <c r="O18" s="48" t="s">
        <v>120</v>
      </c>
      <c r="P18">
        <v>1</v>
      </c>
      <c r="Q18">
        <v>50</v>
      </c>
    </row>
    <row r="19" spans="2:17" x14ac:dyDescent="0.3">
      <c r="O19" s="48" t="s">
        <v>141</v>
      </c>
      <c r="P19">
        <v>2</v>
      </c>
      <c r="Q19">
        <v>100</v>
      </c>
    </row>
    <row r="20" spans="2:17" x14ac:dyDescent="0.3">
      <c r="O20" s="48" t="s">
        <v>150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7" bestFit="1" customWidth="1"/>
    <col min="2" max="2" width="9.6640625" style="37" bestFit="1" customWidth="1"/>
    <col min="3" max="3" width="6.109375" style="37" bestFit="1" customWidth="1"/>
    <col min="4" max="6" width="9.109375" style="37"/>
    <col min="7" max="7" width="18.6640625" style="37" bestFit="1" customWidth="1"/>
    <col min="8" max="14" width="9.109375" style="37"/>
    <col min="15" max="15" width="16.33203125" style="37" bestFit="1" customWidth="1"/>
    <col min="16" max="16" width="12.6640625" style="37" bestFit="1" customWidth="1"/>
    <col min="17" max="17" width="11.5546875" style="37" bestFit="1" customWidth="1"/>
    <col min="18" max="16384" width="9.109375" style="37"/>
  </cols>
  <sheetData>
    <row r="1" spans="1:17" x14ac:dyDescent="0.3">
      <c r="A1" s="37" t="s">
        <v>68</v>
      </c>
      <c r="B1" s="37" t="s">
        <v>69</v>
      </c>
      <c r="C1" s="37" t="s">
        <v>70</v>
      </c>
      <c r="D1" s="37" t="s">
        <v>71</v>
      </c>
      <c r="E1" s="37" t="s">
        <v>72</v>
      </c>
      <c r="F1" s="37" t="s">
        <v>73</v>
      </c>
      <c r="G1" s="37" t="s">
        <v>74</v>
      </c>
      <c r="H1" s="37" t="s">
        <v>75</v>
      </c>
      <c r="I1" s="37" t="s">
        <v>76</v>
      </c>
      <c r="J1" s="37" t="s">
        <v>78</v>
      </c>
    </row>
    <row r="2" spans="1:17" x14ac:dyDescent="0.3">
      <c r="A2" s="45" t="s">
        <v>91</v>
      </c>
      <c r="B2" s="46">
        <v>44793</v>
      </c>
      <c r="C2" s="45">
        <v>0.5</v>
      </c>
      <c r="D2" s="45">
        <v>50</v>
      </c>
      <c r="E2" s="45">
        <f t="shared" ref="E2:E7" si="0">C2*D2</f>
        <v>25</v>
      </c>
      <c r="F2" s="45" t="s">
        <v>80</v>
      </c>
      <c r="G2" s="45" t="s">
        <v>80</v>
      </c>
      <c r="H2" s="45" t="s">
        <v>142</v>
      </c>
      <c r="I2" s="45">
        <v>10</v>
      </c>
      <c r="J2" s="45">
        <f t="shared" ref="J2:J7" si="1">E2+I2</f>
        <v>35</v>
      </c>
    </row>
    <row r="3" spans="1:17" x14ac:dyDescent="0.3">
      <c r="A3" s="45" t="s">
        <v>117</v>
      </c>
      <c r="B3" s="46">
        <v>44794</v>
      </c>
      <c r="C3" s="45">
        <v>1.5</v>
      </c>
      <c r="D3" s="45">
        <v>50</v>
      </c>
      <c r="E3" s="45">
        <f t="shared" si="0"/>
        <v>75</v>
      </c>
      <c r="F3" s="45" t="s">
        <v>82</v>
      </c>
      <c r="G3" s="45" t="s">
        <v>80</v>
      </c>
      <c r="H3" s="45" t="s">
        <v>143</v>
      </c>
      <c r="I3" s="45">
        <v>0</v>
      </c>
      <c r="J3" s="45">
        <f t="shared" si="1"/>
        <v>75</v>
      </c>
    </row>
    <row r="4" spans="1:17" x14ac:dyDescent="0.3">
      <c r="A4" s="45" t="s">
        <v>110</v>
      </c>
      <c r="B4" s="46">
        <v>44794</v>
      </c>
      <c r="C4" s="45">
        <v>1</v>
      </c>
      <c r="D4" s="45">
        <v>50</v>
      </c>
      <c r="E4" s="45">
        <f t="shared" si="0"/>
        <v>50</v>
      </c>
      <c r="F4" s="45" t="s">
        <v>82</v>
      </c>
      <c r="G4" s="45" t="s">
        <v>82</v>
      </c>
      <c r="H4" s="45" t="s">
        <v>144</v>
      </c>
      <c r="I4" s="45"/>
      <c r="J4" s="45">
        <f t="shared" si="1"/>
        <v>50</v>
      </c>
    </row>
    <row r="5" spans="1:17" x14ac:dyDescent="0.3">
      <c r="A5" s="45" t="s">
        <v>128</v>
      </c>
      <c r="B5" s="46">
        <v>44796</v>
      </c>
      <c r="C5" s="45">
        <v>2</v>
      </c>
      <c r="D5" s="45">
        <v>50</v>
      </c>
      <c r="E5" s="45">
        <f t="shared" si="0"/>
        <v>100</v>
      </c>
      <c r="F5" s="45" t="s">
        <v>80</v>
      </c>
      <c r="G5" s="45" t="s">
        <v>80</v>
      </c>
      <c r="H5" s="45" t="s">
        <v>145</v>
      </c>
      <c r="I5" s="45"/>
      <c r="J5" s="45">
        <f t="shared" si="1"/>
        <v>100</v>
      </c>
      <c r="O5" s="47" t="s">
        <v>149</v>
      </c>
      <c r="P5" t="s">
        <v>151</v>
      </c>
      <c r="Q5" t="s">
        <v>152</v>
      </c>
    </row>
    <row r="6" spans="1:17" x14ac:dyDescent="0.3">
      <c r="A6" s="45" t="s">
        <v>110</v>
      </c>
      <c r="B6" s="46">
        <v>44796</v>
      </c>
      <c r="C6" s="45">
        <v>2</v>
      </c>
      <c r="D6" s="45">
        <v>50</v>
      </c>
      <c r="E6" s="45">
        <f t="shared" si="0"/>
        <v>100</v>
      </c>
      <c r="F6" s="45" t="s">
        <v>82</v>
      </c>
      <c r="G6" s="45" t="s">
        <v>82</v>
      </c>
      <c r="H6" s="45" t="s">
        <v>146</v>
      </c>
      <c r="I6" s="45"/>
      <c r="J6" s="45">
        <f t="shared" si="1"/>
        <v>100</v>
      </c>
      <c r="O6" s="48" t="s">
        <v>91</v>
      </c>
      <c r="P6">
        <v>0.5</v>
      </c>
      <c r="Q6">
        <v>25</v>
      </c>
    </row>
    <row r="7" spans="1:17" x14ac:dyDescent="0.3">
      <c r="A7" s="45" t="s">
        <v>147</v>
      </c>
      <c r="B7" s="46">
        <v>44796</v>
      </c>
      <c r="C7" s="45">
        <v>0.5</v>
      </c>
      <c r="D7" s="45">
        <v>50</v>
      </c>
      <c r="E7" s="45">
        <f t="shared" si="0"/>
        <v>25</v>
      </c>
      <c r="F7" s="45" t="s">
        <v>80</v>
      </c>
      <c r="G7" s="45" t="s">
        <v>80</v>
      </c>
      <c r="H7" s="45" t="s">
        <v>148</v>
      </c>
      <c r="I7" s="45"/>
      <c r="J7" s="45">
        <f t="shared" si="1"/>
        <v>25</v>
      </c>
      <c r="O7" s="48" t="s">
        <v>110</v>
      </c>
      <c r="P7">
        <v>3</v>
      </c>
      <c r="Q7">
        <v>150</v>
      </c>
    </row>
    <row r="8" spans="1:17" x14ac:dyDescent="0.3">
      <c r="O8" s="48" t="s">
        <v>147</v>
      </c>
      <c r="P8">
        <v>0.5</v>
      </c>
      <c r="Q8">
        <v>25</v>
      </c>
    </row>
    <row r="9" spans="1:17" x14ac:dyDescent="0.3">
      <c r="O9" s="48" t="s">
        <v>117</v>
      </c>
      <c r="P9">
        <v>1.5</v>
      </c>
      <c r="Q9">
        <v>75</v>
      </c>
    </row>
    <row r="10" spans="1:17" x14ac:dyDescent="0.3">
      <c r="J10" s="37">
        <f>SUM(J2:J7)</f>
        <v>385</v>
      </c>
      <c r="O10" s="48" t="s">
        <v>128</v>
      </c>
      <c r="P10">
        <v>2</v>
      </c>
      <c r="Q10">
        <v>100</v>
      </c>
    </row>
    <row r="11" spans="1:17" x14ac:dyDescent="0.3">
      <c r="O11" s="48" t="s">
        <v>150</v>
      </c>
      <c r="P11">
        <v>7.5</v>
      </c>
      <c r="Q11">
        <v>375</v>
      </c>
    </row>
    <row r="12" spans="1:17" x14ac:dyDescent="0.3">
      <c r="J12" s="37" t="s">
        <v>83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249977111117893"/>
  </sheetPr>
  <dimension ref="B1:FB15"/>
  <sheetViews>
    <sheetView workbookViewId="0">
      <selection activeCell="K4" sqref="K4"/>
    </sheetView>
  </sheetViews>
  <sheetFormatPr defaultRowHeight="14.4" x14ac:dyDescent="0.3"/>
  <cols>
    <col min="3" max="3" width="14.5546875" bestFit="1" customWidth="1"/>
    <col min="4" max="4" width="11.33203125" bestFit="1" customWidth="1"/>
    <col min="5" max="5" width="10.44140625" bestFit="1" customWidth="1"/>
    <col min="6" max="6" width="24.33203125" bestFit="1" customWidth="1"/>
    <col min="7" max="7" width="0.33203125" customWidth="1"/>
    <col min="8" max="11" width="9.5546875" bestFit="1" customWidth="1"/>
    <col min="12" max="14" width="10.5546875" bestFit="1" customWidth="1"/>
    <col min="15" max="23" width="9.5546875" bestFit="1" customWidth="1"/>
    <col min="24" max="26" width="10.5546875" bestFit="1" customWidth="1"/>
    <col min="27" max="35" width="9.5546875" bestFit="1" customWidth="1"/>
    <col min="36" max="38" width="10.5546875" bestFit="1" customWidth="1"/>
    <col min="39" max="47" width="9.5546875" bestFit="1" customWidth="1"/>
    <col min="48" max="50" width="10.5546875" bestFit="1" customWidth="1"/>
    <col min="51" max="59" width="9.5546875" bestFit="1" customWidth="1"/>
    <col min="60" max="62" width="10.5546875" bestFit="1" customWidth="1"/>
    <col min="63" max="71" width="9.5546875" bestFit="1" customWidth="1"/>
    <col min="72" max="74" width="10.5546875" bestFit="1" customWidth="1"/>
    <col min="75" max="83" width="9.5546875" bestFit="1" customWidth="1"/>
    <col min="84" max="86" width="10.5546875" bestFit="1" customWidth="1"/>
    <col min="87" max="95" width="9.5546875" bestFit="1" customWidth="1"/>
    <col min="96" max="98" width="10.5546875" bestFit="1" customWidth="1"/>
    <col min="99" max="107" width="9.5546875" bestFit="1" customWidth="1"/>
    <col min="108" max="110" width="10.5546875" bestFit="1" customWidth="1"/>
    <col min="111" max="119" width="9.5546875" bestFit="1" customWidth="1"/>
    <col min="120" max="122" width="10.5546875" bestFit="1" customWidth="1"/>
    <col min="123" max="131" width="9.5546875" bestFit="1" customWidth="1"/>
    <col min="132" max="134" width="10.5546875" bestFit="1" customWidth="1"/>
    <col min="135" max="143" width="9.5546875" bestFit="1" customWidth="1"/>
    <col min="144" max="146" width="10.5546875" bestFit="1" customWidth="1"/>
    <col min="147" max="155" width="9.5546875" bestFit="1" customWidth="1"/>
    <col min="156" max="158" width="10.5546875" bestFit="1" customWidth="1"/>
  </cols>
  <sheetData>
    <row r="1" spans="2:158" ht="15" thickBot="1" x14ac:dyDescent="0.35"/>
    <row r="2" spans="2:158" ht="15" thickTop="1" x14ac:dyDescent="0.3">
      <c r="B2" s="534"/>
      <c r="C2" s="535"/>
      <c r="D2" s="535"/>
      <c r="E2" s="535"/>
      <c r="F2" s="535"/>
      <c r="G2" s="535"/>
      <c r="H2" s="536">
        <v>45473</v>
      </c>
      <c r="I2" s="541">
        <v>45504</v>
      </c>
      <c r="J2" s="537">
        <v>45535</v>
      </c>
      <c r="K2" s="541">
        <v>45565</v>
      </c>
      <c r="L2" s="541">
        <v>45596</v>
      </c>
      <c r="M2" s="541">
        <v>45626</v>
      </c>
      <c r="N2" s="541">
        <v>45657</v>
      </c>
      <c r="O2" s="541">
        <v>45688</v>
      </c>
      <c r="P2" s="541">
        <v>45716</v>
      </c>
      <c r="Q2" s="541">
        <v>45747</v>
      </c>
      <c r="R2" s="541">
        <v>45777</v>
      </c>
      <c r="S2" s="541">
        <v>45808</v>
      </c>
      <c r="T2" s="541">
        <v>45838</v>
      </c>
      <c r="U2" s="541">
        <v>45869</v>
      </c>
      <c r="V2" s="541">
        <v>45900</v>
      </c>
      <c r="W2" s="541">
        <v>45930</v>
      </c>
      <c r="X2" s="541">
        <v>45961</v>
      </c>
      <c r="Y2" s="541">
        <v>45991</v>
      </c>
      <c r="Z2" s="541">
        <v>46022</v>
      </c>
      <c r="AA2" s="541">
        <v>46053</v>
      </c>
      <c r="AB2" s="541">
        <v>46081</v>
      </c>
      <c r="AC2" s="541">
        <v>46112</v>
      </c>
      <c r="AD2" s="541">
        <v>46142</v>
      </c>
      <c r="AE2" s="541">
        <v>46173</v>
      </c>
      <c r="AF2" s="541">
        <v>46203</v>
      </c>
      <c r="AG2" s="541">
        <v>46234</v>
      </c>
      <c r="AH2" s="541">
        <v>46265</v>
      </c>
      <c r="AI2" s="541">
        <v>46295</v>
      </c>
      <c r="AJ2" s="541">
        <v>46326</v>
      </c>
      <c r="AK2" s="541">
        <v>46356</v>
      </c>
      <c r="AL2" s="541">
        <v>46387</v>
      </c>
      <c r="AM2" s="541">
        <v>46418</v>
      </c>
      <c r="AN2" s="541">
        <v>46446</v>
      </c>
      <c r="AO2" s="541">
        <v>46477</v>
      </c>
      <c r="AP2" s="541">
        <v>46507</v>
      </c>
      <c r="AQ2" s="541">
        <v>46538</v>
      </c>
      <c r="AR2" s="541">
        <v>46568</v>
      </c>
      <c r="AS2" s="541">
        <v>46599</v>
      </c>
      <c r="AT2" s="541">
        <v>46630</v>
      </c>
      <c r="AU2" s="541">
        <v>46660</v>
      </c>
      <c r="AV2" s="541">
        <v>46691</v>
      </c>
      <c r="AW2" s="541">
        <v>46721</v>
      </c>
      <c r="AX2" s="541">
        <v>46752</v>
      </c>
      <c r="AY2" s="541">
        <v>46783</v>
      </c>
      <c r="AZ2" s="541">
        <v>46812</v>
      </c>
      <c r="BA2" s="541">
        <v>46843</v>
      </c>
      <c r="BB2" s="541">
        <v>46873</v>
      </c>
      <c r="BC2" s="541">
        <v>46904</v>
      </c>
      <c r="BD2" s="541">
        <v>46934</v>
      </c>
      <c r="BE2" s="541">
        <v>46965</v>
      </c>
      <c r="BF2" s="541">
        <v>46996</v>
      </c>
      <c r="BG2" s="541">
        <v>47026</v>
      </c>
      <c r="BH2" s="541">
        <v>47057</v>
      </c>
      <c r="BI2" s="541">
        <v>47087</v>
      </c>
      <c r="BJ2" s="541">
        <v>47118</v>
      </c>
      <c r="BK2" s="541">
        <v>47149</v>
      </c>
      <c r="BL2" s="541">
        <v>47177</v>
      </c>
      <c r="BM2" s="541">
        <v>47208</v>
      </c>
      <c r="BN2" s="541">
        <v>47238</v>
      </c>
      <c r="BO2" s="541">
        <v>47269</v>
      </c>
      <c r="BP2" s="541">
        <v>47299</v>
      </c>
      <c r="BQ2" s="541">
        <v>47330</v>
      </c>
      <c r="BR2" s="541">
        <v>47361</v>
      </c>
      <c r="BS2" s="541">
        <v>47391</v>
      </c>
      <c r="BT2" s="541">
        <v>47422</v>
      </c>
      <c r="BU2" s="541">
        <v>47452</v>
      </c>
      <c r="BV2" s="541">
        <v>47483</v>
      </c>
      <c r="BW2" s="541">
        <v>47514</v>
      </c>
      <c r="BX2" s="541">
        <v>47542</v>
      </c>
      <c r="BY2" s="541">
        <v>47573</v>
      </c>
      <c r="BZ2" s="541">
        <v>47603</v>
      </c>
      <c r="CA2" s="541">
        <v>47634</v>
      </c>
      <c r="CB2" s="541">
        <v>47664</v>
      </c>
      <c r="CC2" s="541">
        <v>47695</v>
      </c>
      <c r="CD2" s="541">
        <v>47726</v>
      </c>
      <c r="CE2" s="541">
        <v>47756</v>
      </c>
      <c r="CF2" s="541">
        <v>47787</v>
      </c>
      <c r="CG2" s="541">
        <v>47817</v>
      </c>
      <c r="CH2" s="541">
        <v>47848</v>
      </c>
      <c r="CI2" s="541">
        <v>47879</v>
      </c>
      <c r="CJ2" s="541">
        <v>47907</v>
      </c>
      <c r="CK2" s="541">
        <v>47938</v>
      </c>
      <c r="CL2" s="541">
        <v>47968</v>
      </c>
      <c r="CM2" s="541">
        <v>47999</v>
      </c>
      <c r="CN2" s="541">
        <v>48029</v>
      </c>
      <c r="CO2" s="541">
        <v>48060</v>
      </c>
      <c r="CP2" s="541">
        <v>48091</v>
      </c>
      <c r="CQ2" s="541">
        <v>48121</v>
      </c>
      <c r="CR2" s="541">
        <v>48152</v>
      </c>
      <c r="CS2" s="541">
        <v>48182</v>
      </c>
      <c r="CT2" s="541">
        <v>48213</v>
      </c>
      <c r="CU2" s="541">
        <v>48244</v>
      </c>
      <c r="CV2" s="541">
        <v>48273</v>
      </c>
      <c r="CW2" s="541">
        <v>48304</v>
      </c>
      <c r="CX2" s="541">
        <v>48334</v>
      </c>
      <c r="CY2" s="541">
        <v>48365</v>
      </c>
      <c r="CZ2" s="541">
        <v>48395</v>
      </c>
      <c r="DA2" s="541">
        <v>48426</v>
      </c>
      <c r="DB2" s="541">
        <v>48457</v>
      </c>
      <c r="DC2" s="541">
        <v>48487</v>
      </c>
      <c r="DD2" s="541">
        <v>48518</v>
      </c>
      <c r="DE2" s="541">
        <v>48548</v>
      </c>
      <c r="DF2" s="541">
        <v>48579</v>
      </c>
      <c r="DG2" s="541">
        <v>48610</v>
      </c>
      <c r="DH2" s="541">
        <v>48638</v>
      </c>
      <c r="DI2" s="541">
        <v>48669</v>
      </c>
      <c r="DJ2" s="541">
        <v>48699</v>
      </c>
      <c r="DK2" s="541">
        <v>48730</v>
      </c>
      <c r="DL2" s="541">
        <v>48760</v>
      </c>
      <c r="DM2" s="541">
        <v>48791</v>
      </c>
      <c r="DN2" s="541">
        <v>48822</v>
      </c>
      <c r="DO2" s="541">
        <v>48852</v>
      </c>
      <c r="DP2" s="541">
        <v>48883</v>
      </c>
      <c r="DQ2" s="541">
        <v>48913</v>
      </c>
      <c r="DR2" s="541">
        <v>48944</v>
      </c>
      <c r="DS2" s="541">
        <v>48975</v>
      </c>
      <c r="DT2" s="541">
        <v>49003</v>
      </c>
      <c r="DU2" s="541">
        <v>49034</v>
      </c>
      <c r="DV2" s="541">
        <v>49064</v>
      </c>
      <c r="DW2" s="541">
        <v>49095</v>
      </c>
      <c r="DX2" s="541">
        <v>49125</v>
      </c>
      <c r="DY2" s="541">
        <v>49156</v>
      </c>
      <c r="DZ2" s="541">
        <v>49187</v>
      </c>
      <c r="EA2" s="541">
        <v>49217</v>
      </c>
      <c r="EB2" s="541">
        <v>49248</v>
      </c>
      <c r="EC2" s="541">
        <v>49278</v>
      </c>
      <c r="ED2" s="541">
        <v>49309</v>
      </c>
      <c r="EE2" s="541">
        <v>49340</v>
      </c>
      <c r="EF2" s="541">
        <v>49368</v>
      </c>
      <c r="EG2" s="541">
        <v>49399</v>
      </c>
      <c r="EH2" s="541">
        <v>49429</v>
      </c>
      <c r="EI2" s="541">
        <v>49460</v>
      </c>
      <c r="EJ2" s="541">
        <v>49490</v>
      </c>
      <c r="EK2" s="541">
        <v>49521</v>
      </c>
      <c r="EL2" s="541">
        <v>49552</v>
      </c>
      <c r="EM2" s="541">
        <v>49582</v>
      </c>
      <c r="EN2" s="541">
        <v>49613</v>
      </c>
      <c r="EO2" s="541">
        <v>49643</v>
      </c>
      <c r="EP2" s="541">
        <v>49674</v>
      </c>
      <c r="EQ2" s="541">
        <v>49705</v>
      </c>
      <c r="ER2" s="541">
        <v>49734</v>
      </c>
      <c r="ES2" s="541">
        <v>49765</v>
      </c>
      <c r="ET2" s="541">
        <v>49795</v>
      </c>
      <c r="EU2" s="541">
        <v>49826</v>
      </c>
      <c r="EV2" s="541">
        <v>49856</v>
      </c>
      <c r="EW2" s="541">
        <v>49887</v>
      </c>
      <c r="EX2" s="541">
        <v>49918</v>
      </c>
      <c r="EY2" s="541">
        <v>49948</v>
      </c>
      <c r="EZ2" s="541">
        <v>49979</v>
      </c>
      <c r="FA2" s="541">
        <v>50009</v>
      </c>
      <c r="FB2" s="542">
        <v>50040</v>
      </c>
    </row>
    <row r="3" spans="2:158" x14ac:dyDescent="0.3">
      <c r="B3" s="538" t="s">
        <v>241</v>
      </c>
      <c r="C3" t="s">
        <v>242</v>
      </c>
      <c r="D3" t="s">
        <v>243</v>
      </c>
      <c r="E3" t="s">
        <v>313</v>
      </c>
      <c r="H3" s="524"/>
      <c r="J3" s="196"/>
      <c r="FB3" s="525"/>
    </row>
    <row r="4" spans="2:158" x14ac:dyDescent="0.3">
      <c r="B4" s="538" t="s">
        <v>310</v>
      </c>
      <c r="C4" t="s">
        <v>309</v>
      </c>
      <c r="D4">
        <v>12</v>
      </c>
      <c r="E4">
        <f>4.33*10</f>
        <v>43.3</v>
      </c>
      <c r="H4" s="526"/>
      <c r="I4" s="574">
        <v>0</v>
      </c>
      <c r="J4" s="523">
        <v>0</v>
      </c>
      <c r="K4" s="527">
        <f t="shared" ref="K4:N4" si="0">+$E$4*$D$4</f>
        <v>519.59999999999991</v>
      </c>
      <c r="L4" s="527">
        <f t="shared" si="0"/>
        <v>519.59999999999991</v>
      </c>
      <c r="M4" s="527">
        <f t="shared" si="0"/>
        <v>519.59999999999991</v>
      </c>
      <c r="N4" s="527">
        <f t="shared" si="0"/>
        <v>519.59999999999991</v>
      </c>
      <c r="O4" s="527"/>
      <c r="P4" s="527"/>
      <c r="Q4" s="527"/>
      <c r="R4" s="527"/>
      <c r="S4" s="527"/>
      <c r="T4" s="527"/>
      <c r="U4" s="527"/>
      <c r="V4" s="527"/>
      <c r="W4" s="527"/>
      <c r="X4" s="527"/>
      <c r="Y4" s="527"/>
      <c r="Z4" s="527"/>
      <c r="AA4" s="527"/>
      <c r="AB4" s="527"/>
      <c r="AC4" s="527"/>
      <c r="AD4" s="527"/>
      <c r="AE4" s="527"/>
      <c r="AF4" s="527"/>
      <c r="AG4" s="527"/>
      <c r="AH4" s="527"/>
      <c r="AI4" s="527"/>
      <c r="AJ4" s="527"/>
      <c r="AK4" s="527"/>
      <c r="AL4" s="527"/>
      <c r="AM4" s="527"/>
      <c r="AN4" s="527"/>
      <c r="AO4" s="527"/>
      <c r="AP4" s="527"/>
      <c r="AQ4" s="527"/>
      <c r="AR4" s="527"/>
      <c r="AS4" s="527"/>
      <c r="AT4" s="527"/>
      <c r="AU4" s="527"/>
      <c r="AV4" s="527"/>
      <c r="AW4" s="527"/>
      <c r="AX4" s="527"/>
      <c r="AY4" s="527"/>
      <c r="AZ4" s="527"/>
      <c r="BA4" s="527"/>
      <c r="BB4" s="527"/>
      <c r="BC4" s="527"/>
      <c r="BD4" s="527"/>
      <c r="BE4" s="527"/>
      <c r="BF4" s="527"/>
      <c r="BG4" s="527"/>
      <c r="BH4" s="527"/>
      <c r="BI4" s="527"/>
      <c r="BJ4" s="527"/>
      <c r="BK4" s="527"/>
      <c r="BL4" s="527"/>
      <c r="BM4" s="527"/>
      <c r="BN4" s="527"/>
      <c r="BO4" s="527"/>
      <c r="BP4" s="527"/>
      <c r="BQ4" s="527"/>
      <c r="BR4" s="527"/>
      <c r="BS4" s="527"/>
      <c r="BT4" s="527"/>
      <c r="BU4" s="527"/>
      <c r="BV4" s="527"/>
      <c r="BW4" s="527"/>
      <c r="BX4" s="527"/>
      <c r="BY4" s="527"/>
      <c r="BZ4" s="527"/>
      <c r="CA4" s="527"/>
      <c r="CB4" s="527"/>
      <c r="CC4" s="527"/>
      <c r="CD4" s="527"/>
      <c r="CE4" s="527"/>
      <c r="CF4" s="527"/>
      <c r="CG4" s="527"/>
      <c r="CH4" s="527"/>
      <c r="CI4" s="527"/>
      <c r="CJ4" s="527"/>
      <c r="CK4" s="527"/>
      <c r="CL4" s="527"/>
      <c r="CM4" s="527"/>
      <c r="CN4" s="527"/>
      <c r="CO4" s="527"/>
      <c r="CP4" s="527"/>
      <c r="CQ4" s="527"/>
      <c r="CR4" s="527"/>
      <c r="CS4" s="527"/>
      <c r="CT4" s="527"/>
      <c r="CU4" s="527"/>
      <c r="CV4" s="527"/>
      <c r="CW4" s="527"/>
      <c r="CX4" s="527"/>
      <c r="CY4" s="527"/>
      <c r="CZ4" s="527"/>
      <c r="DA4" s="527"/>
      <c r="DB4" s="527"/>
      <c r="DC4" s="527"/>
      <c r="DD4" s="527"/>
      <c r="DE4" s="527"/>
      <c r="DF4" s="527"/>
      <c r="DG4" s="527"/>
      <c r="DH4" s="527"/>
      <c r="DI4" s="527"/>
      <c r="DJ4" s="527"/>
      <c r="DK4" s="527"/>
      <c r="DL4" s="527"/>
      <c r="DM4" s="527"/>
      <c r="DN4" s="527"/>
      <c r="DO4" s="527"/>
      <c r="DP4" s="527"/>
      <c r="DQ4" s="527"/>
      <c r="DR4" s="527"/>
      <c r="DS4" s="527"/>
      <c r="DT4" s="527"/>
      <c r="DU4" s="527"/>
      <c r="DV4" s="527"/>
      <c r="DW4" s="527"/>
      <c r="DX4" s="527"/>
      <c r="DY4" s="527"/>
      <c r="DZ4" s="527"/>
      <c r="EA4" s="527"/>
      <c r="EB4" s="527"/>
      <c r="EC4" s="527"/>
      <c r="ED4" s="527"/>
      <c r="EE4" s="527"/>
      <c r="EF4" s="527"/>
      <c r="EG4" s="527"/>
      <c r="EH4" s="527"/>
      <c r="EI4" s="527"/>
      <c r="EJ4" s="527"/>
      <c r="EK4" s="527"/>
      <c r="EL4" s="527"/>
      <c r="EM4" s="527"/>
      <c r="EN4" s="527"/>
      <c r="EO4" s="527"/>
      <c r="EP4" s="527"/>
      <c r="EQ4" s="527"/>
      <c r="ER4" s="527"/>
      <c r="ES4" s="527"/>
      <c r="ET4" s="527"/>
      <c r="EU4" s="527"/>
      <c r="EV4" s="527"/>
      <c r="EW4" s="527"/>
      <c r="EX4" s="527"/>
      <c r="EY4" s="527"/>
      <c r="EZ4" s="527"/>
      <c r="FA4" s="527"/>
      <c r="FB4" s="528"/>
    </row>
    <row r="5" spans="2:158" x14ac:dyDescent="0.3">
      <c r="B5" s="538" t="s">
        <v>311</v>
      </c>
      <c r="C5" t="s">
        <v>309</v>
      </c>
      <c r="D5">
        <v>15</v>
      </c>
      <c r="E5">
        <f>4.33*10</f>
        <v>43.3</v>
      </c>
      <c r="H5" s="526"/>
      <c r="I5" s="574">
        <v>450</v>
      </c>
      <c r="J5" s="523">
        <v>150</v>
      </c>
      <c r="K5" s="527"/>
      <c r="L5" s="527"/>
      <c r="M5" s="527"/>
      <c r="N5" s="527"/>
      <c r="O5" s="527"/>
      <c r="P5" s="527"/>
      <c r="Q5" s="527"/>
      <c r="R5" s="527"/>
      <c r="S5" s="527"/>
      <c r="T5" s="527"/>
      <c r="U5" s="527"/>
      <c r="V5" s="527"/>
      <c r="W5" s="527"/>
      <c r="X5" s="527"/>
      <c r="Y5" s="527"/>
      <c r="Z5" s="527"/>
      <c r="AA5" s="527"/>
      <c r="AB5" s="527"/>
      <c r="AC5" s="527"/>
      <c r="AD5" s="527"/>
      <c r="AE5" s="527"/>
      <c r="AF5" s="527"/>
      <c r="AG5" s="527"/>
      <c r="AH5" s="527"/>
      <c r="AI5" s="527"/>
      <c r="AJ5" s="527"/>
      <c r="AK5" s="527"/>
      <c r="AL5" s="527"/>
      <c r="AM5" s="527"/>
      <c r="AN5" s="527"/>
      <c r="AO5" s="527"/>
      <c r="AP5" s="527"/>
      <c r="AQ5" s="527"/>
      <c r="AR5" s="527"/>
      <c r="AS5" s="527"/>
      <c r="AT5" s="527"/>
      <c r="AU5" s="527"/>
      <c r="AV5" s="527"/>
      <c r="AW5" s="527"/>
      <c r="AX5" s="527"/>
      <c r="AY5" s="527"/>
      <c r="AZ5" s="527"/>
      <c r="BA5" s="527"/>
      <c r="BB5" s="527"/>
      <c r="BC5" s="527"/>
      <c r="BD5" s="527"/>
      <c r="BE5" s="527"/>
      <c r="BF5" s="527"/>
      <c r="BG5" s="527"/>
      <c r="BH5" s="527"/>
      <c r="BI5" s="527"/>
      <c r="BJ5" s="527"/>
      <c r="BK5" s="527"/>
      <c r="BL5" s="527"/>
      <c r="BM5" s="527"/>
      <c r="BN5" s="527"/>
      <c r="BO5" s="527"/>
      <c r="BP5" s="527"/>
      <c r="BQ5" s="527"/>
      <c r="BR5" s="527"/>
      <c r="BS5" s="527"/>
      <c r="BT5" s="527"/>
      <c r="BU5" s="527"/>
      <c r="BV5" s="527"/>
      <c r="BW5" s="527"/>
      <c r="BX5" s="527"/>
      <c r="BY5" s="527"/>
      <c r="BZ5" s="527"/>
      <c r="CA5" s="527"/>
      <c r="CB5" s="527"/>
      <c r="CC5" s="527"/>
      <c r="CD5" s="527"/>
      <c r="CE5" s="527"/>
      <c r="CF5" s="527"/>
      <c r="CG5" s="527"/>
      <c r="CH5" s="527"/>
      <c r="CI5" s="527"/>
      <c r="CJ5" s="527"/>
      <c r="CK5" s="527"/>
      <c r="CL5" s="527"/>
      <c r="CM5" s="527"/>
      <c r="CN5" s="527"/>
      <c r="CO5" s="527"/>
      <c r="CP5" s="527"/>
      <c r="CQ5" s="527"/>
      <c r="CR5" s="527"/>
      <c r="CS5" s="527"/>
      <c r="CT5" s="527"/>
      <c r="CU5" s="527"/>
      <c r="CV5" s="527"/>
      <c r="CW5" s="527"/>
      <c r="CX5" s="527"/>
      <c r="CY5" s="527"/>
      <c r="CZ5" s="527"/>
      <c r="DA5" s="527"/>
      <c r="DB5" s="527"/>
      <c r="DC5" s="527"/>
      <c r="DD5" s="527"/>
      <c r="DE5" s="527"/>
      <c r="DF5" s="527"/>
      <c r="DG5" s="527"/>
      <c r="DH5" s="527"/>
      <c r="DI5" s="527"/>
      <c r="DJ5" s="527"/>
      <c r="DK5" s="527"/>
      <c r="DL5" s="527"/>
      <c r="DM5" s="527"/>
      <c r="DN5" s="527"/>
      <c r="DO5" s="527"/>
      <c r="DP5" s="527"/>
      <c r="DQ5" s="527"/>
      <c r="DR5" s="527"/>
      <c r="DS5" s="527"/>
      <c r="DT5" s="527"/>
      <c r="DU5" s="527"/>
      <c r="DV5" s="527"/>
      <c r="DW5" s="527"/>
      <c r="DX5" s="527"/>
      <c r="DY5" s="527"/>
      <c r="DZ5" s="527"/>
      <c r="EA5" s="527"/>
      <c r="EB5" s="527"/>
      <c r="EC5" s="527"/>
      <c r="ED5" s="527"/>
      <c r="EE5" s="527"/>
      <c r="EF5" s="527"/>
      <c r="EG5" s="527"/>
      <c r="EH5" s="527"/>
      <c r="EI5" s="527"/>
      <c r="EJ5" s="527"/>
      <c r="EK5" s="527"/>
      <c r="EL5" s="527"/>
      <c r="EM5" s="527"/>
      <c r="EN5" s="527"/>
      <c r="EO5" s="527"/>
      <c r="EP5" s="527"/>
      <c r="EQ5" s="527"/>
      <c r="ER5" s="527"/>
      <c r="ES5" s="527"/>
      <c r="ET5" s="527"/>
      <c r="EU5" s="527"/>
      <c r="EV5" s="527"/>
      <c r="EW5" s="527"/>
      <c r="EX5" s="527"/>
      <c r="EY5" s="527"/>
      <c r="EZ5" s="527"/>
      <c r="FA5" s="527"/>
      <c r="FB5" s="528"/>
    </row>
    <row r="6" spans="2:158" x14ac:dyDescent="0.3">
      <c r="B6" s="538" t="s">
        <v>322</v>
      </c>
      <c r="C6" t="s">
        <v>309</v>
      </c>
      <c r="H6" s="526"/>
      <c r="I6" s="574"/>
      <c r="J6" s="523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  <c r="AA6" s="527"/>
      <c r="AB6" s="527"/>
      <c r="AC6" s="527"/>
      <c r="AD6" s="527"/>
      <c r="AE6" s="527"/>
      <c r="AF6" s="527"/>
      <c r="AG6" s="527"/>
      <c r="AH6" s="527"/>
      <c r="AI6" s="527"/>
      <c r="AJ6" s="527"/>
      <c r="AK6" s="527"/>
      <c r="AL6" s="527"/>
      <c r="AM6" s="527"/>
      <c r="AN6" s="527"/>
      <c r="AO6" s="527"/>
      <c r="AP6" s="527"/>
      <c r="AQ6" s="527"/>
      <c r="AR6" s="527"/>
      <c r="AS6" s="527"/>
      <c r="AT6" s="527"/>
      <c r="AU6" s="527"/>
      <c r="AV6" s="527"/>
      <c r="AW6" s="527"/>
      <c r="AX6" s="527"/>
      <c r="AY6" s="527"/>
      <c r="AZ6" s="527"/>
      <c r="BA6" s="527"/>
      <c r="BB6" s="527"/>
      <c r="BC6" s="527"/>
      <c r="BD6" s="527"/>
      <c r="BE6" s="527"/>
      <c r="BF6" s="527"/>
      <c r="BG6" s="527"/>
      <c r="BH6" s="527"/>
      <c r="BI6" s="527"/>
      <c r="BJ6" s="527"/>
      <c r="BK6" s="527"/>
      <c r="BL6" s="527"/>
      <c r="BM6" s="527"/>
      <c r="BN6" s="527"/>
      <c r="BO6" s="527"/>
      <c r="BP6" s="527"/>
      <c r="BQ6" s="527"/>
      <c r="BR6" s="527"/>
      <c r="BS6" s="527"/>
      <c r="BT6" s="527"/>
      <c r="BU6" s="527"/>
      <c r="BV6" s="527"/>
      <c r="BW6" s="527"/>
      <c r="BX6" s="527"/>
      <c r="BY6" s="527"/>
      <c r="BZ6" s="527"/>
      <c r="CA6" s="527"/>
      <c r="CB6" s="527"/>
      <c r="CC6" s="527"/>
      <c r="CD6" s="527"/>
      <c r="CE6" s="527"/>
      <c r="CF6" s="527"/>
      <c r="CG6" s="527"/>
      <c r="CH6" s="527"/>
      <c r="CI6" s="527"/>
      <c r="CJ6" s="527"/>
      <c r="CK6" s="527"/>
      <c r="CL6" s="527"/>
      <c r="CM6" s="527"/>
      <c r="CN6" s="527"/>
      <c r="CO6" s="527"/>
      <c r="CP6" s="527"/>
      <c r="CQ6" s="527"/>
      <c r="CR6" s="527"/>
      <c r="CS6" s="527"/>
      <c r="CT6" s="527"/>
      <c r="CU6" s="527"/>
      <c r="CV6" s="527"/>
      <c r="CW6" s="527"/>
      <c r="CX6" s="527"/>
      <c r="CY6" s="527"/>
      <c r="CZ6" s="527"/>
      <c r="DA6" s="527"/>
      <c r="DB6" s="527"/>
      <c r="DC6" s="527"/>
      <c r="DD6" s="527"/>
      <c r="DE6" s="527"/>
      <c r="DF6" s="527"/>
      <c r="DG6" s="527"/>
      <c r="DH6" s="527"/>
      <c r="DI6" s="527"/>
      <c r="DJ6" s="527"/>
      <c r="DK6" s="527"/>
      <c r="DL6" s="527"/>
      <c r="DM6" s="527"/>
      <c r="DN6" s="527"/>
      <c r="DO6" s="527"/>
      <c r="DP6" s="527"/>
      <c r="DQ6" s="527"/>
      <c r="DR6" s="527"/>
      <c r="DS6" s="527"/>
      <c r="DT6" s="527"/>
      <c r="DU6" s="527"/>
      <c r="DV6" s="527"/>
      <c r="DW6" s="527"/>
      <c r="DX6" s="527"/>
      <c r="DY6" s="527"/>
      <c r="DZ6" s="527"/>
      <c r="EA6" s="527"/>
      <c r="EB6" s="527"/>
      <c r="EC6" s="527"/>
      <c r="ED6" s="527"/>
      <c r="EE6" s="527"/>
      <c r="EF6" s="527"/>
      <c r="EG6" s="527"/>
      <c r="EH6" s="527"/>
      <c r="EI6" s="527"/>
      <c r="EJ6" s="527"/>
      <c r="EK6" s="527"/>
      <c r="EL6" s="527"/>
      <c r="EM6" s="527"/>
      <c r="EN6" s="527"/>
      <c r="EO6" s="527"/>
      <c r="EP6" s="527"/>
      <c r="EQ6" s="527"/>
      <c r="ER6" s="527"/>
      <c r="ES6" s="527"/>
      <c r="ET6" s="527"/>
      <c r="EU6" s="527"/>
      <c r="EV6" s="527"/>
      <c r="EW6" s="527"/>
      <c r="EX6" s="527"/>
      <c r="EY6" s="527"/>
      <c r="EZ6" s="527"/>
      <c r="FA6" s="527"/>
      <c r="FB6" s="528"/>
    </row>
    <row r="7" spans="2:158" x14ac:dyDescent="0.3">
      <c r="B7" s="538"/>
      <c r="F7" s="7" t="s">
        <v>327</v>
      </c>
      <c r="H7" s="529">
        <f>SUM(H4:H6)</f>
        <v>0</v>
      </c>
      <c r="I7" s="527">
        <f t="shared" ref="I7:J7" si="1">SUM(I4:I6)</f>
        <v>450</v>
      </c>
      <c r="J7" s="522">
        <f t="shared" si="1"/>
        <v>150</v>
      </c>
      <c r="K7" s="527">
        <f t="shared" ref="K7" si="2">SUM(K4:K6)</f>
        <v>519.59999999999991</v>
      </c>
      <c r="L7" s="527">
        <f t="shared" ref="L7" si="3">SUM(L4:L6)</f>
        <v>519.59999999999991</v>
      </c>
      <c r="M7" s="527">
        <f t="shared" ref="M7" si="4">SUM(M4:M6)</f>
        <v>519.59999999999991</v>
      </c>
      <c r="N7" s="527">
        <f t="shared" ref="N7" si="5">SUM(N4:N6)</f>
        <v>519.59999999999991</v>
      </c>
      <c r="O7" s="527">
        <f t="shared" ref="O7" si="6">SUM(O4:O6)</f>
        <v>0</v>
      </c>
      <c r="P7" s="527">
        <f t="shared" ref="P7" si="7">SUM(P4:P6)</f>
        <v>0</v>
      </c>
      <c r="Q7" s="527">
        <f t="shared" ref="Q7" si="8">SUM(Q4:Q6)</f>
        <v>0</v>
      </c>
      <c r="R7" s="527">
        <f t="shared" ref="R7" si="9">SUM(R4:R6)</f>
        <v>0</v>
      </c>
      <c r="S7" s="527">
        <f t="shared" ref="S7" si="10">SUM(S4:S6)</f>
        <v>0</v>
      </c>
      <c r="T7" s="527">
        <f t="shared" ref="T7" si="11">SUM(T4:T6)</f>
        <v>0</v>
      </c>
      <c r="U7" s="527">
        <f t="shared" ref="U7" si="12">SUM(U4:U6)</f>
        <v>0</v>
      </c>
      <c r="V7" s="527">
        <f t="shared" ref="V7" si="13">SUM(V4:V6)</f>
        <v>0</v>
      </c>
      <c r="W7" s="527">
        <f t="shared" ref="W7" si="14">SUM(W4:W6)</f>
        <v>0</v>
      </c>
      <c r="X7" s="527">
        <f t="shared" ref="X7" si="15">SUM(X4:X6)</f>
        <v>0</v>
      </c>
      <c r="Y7" s="527">
        <f t="shared" ref="Y7" si="16">SUM(Y4:Y6)</f>
        <v>0</v>
      </c>
      <c r="Z7" s="527">
        <f t="shared" ref="Z7" si="17">SUM(Z4:Z6)</f>
        <v>0</v>
      </c>
      <c r="AA7" s="527">
        <f t="shared" ref="AA7" si="18">SUM(AA4:AA6)</f>
        <v>0</v>
      </c>
      <c r="AB7" s="527">
        <f t="shared" ref="AB7" si="19">SUM(AB4:AB6)</f>
        <v>0</v>
      </c>
      <c r="AC7" s="527">
        <f t="shared" ref="AC7" si="20">SUM(AC4:AC6)</f>
        <v>0</v>
      </c>
      <c r="AD7" s="527">
        <f t="shared" ref="AD7" si="21">SUM(AD4:AD6)</f>
        <v>0</v>
      </c>
      <c r="AE7" s="527">
        <f t="shared" ref="AE7" si="22">SUM(AE4:AE6)</f>
        <v>0</v>
      </c>
      <c r="AF7" s="527">
        <f t="shared" ref="AF7" si="23">SUM(AF4:AF6)</f>
        <v>0</v>
      </c>
      <c r="AG7" s="527">
        <f t="shared" ref="AG7" si="24">SUM(AG4:AG6)</f>
        <v>0</v>
      </c>
      <c r="AH7" s="527">
        <f t="shared" ref="AH7" si="25">SUM(AH4:AH6)</f>
        <v>0</v>
      </c>
      <c r="AI7" s="527">
        <f t="shared" ref="AI7" si="26">SUM(AI4:AI6)</f>
        <v>0</v>
      </c>
      <c r="AJ7" s="527">
        <f t="shared" ref="AJ7" si="27">SUM(AJ4:AJ6)</f>
        <v>0</v>
      </c>
      <c r="AK7" s="527">
        <f t="shared" ref="AK7" si="28">SUM(AK4:AK6)</f>
        <v>0</v>
      </c>
      <c r="AL7" s="527">
        <f t="shared" ref="AL7" si="29">SUM(AL4:AL6)</f>
        <v>0</v>
      </c>
      <c r="AM7" s="527">
        <f t="shared" ref="AM7" si="30">SUM(AM4:AM6)</f>
        <v>0</v>
      </c>
      <c r="AN7" s="527">
        <f t="shared" ref="AN7" si="31">SUM(AN4:AN6)</f>
        <v>0</v>
      </c>
      <c r="AO7" s="527">
        <f t="shared" ref="AO7" si="32">SUM(AO4:AO6)</f>
        <v>0</v>
      </c>
      <c r="AP7" s="527">
        <f t="shared" ref="AP7" si="33">SUM(AP4:AP6)</f>
        <v>0</v>
      </c>
      <c r="AQ7" s="527">
        <f t="shared" ref="AQ7" si="34">SUM(AQ4:AQ6)</f>
        <v>0</v>
      </c>
      <c r="AR7" s="527">
        <f t="shared" ref="AR7" si="35">SUM(AR4:AR6)</f>
        <v>0</v>
      </c>
      <c r="AS7" s="527">
        <f t="shared" ref="AS7" si="36">SUM(AS4:AS6)</f>
        <v>0</v>
      </c>
      <c r="AT7" s="527">
        <f t="shared" ref="AT7" si="37">SUM(AT4:AT6)</f>
        <v>0</v>
      </c>
      <c r="AU7" s="527">
        <f t="shared" ref="AU7" si="38">SUM(AU4:AU6)</f>
        <v>0</v>
      </c>
      <c r="AV7" s="527">
        <f t="shared" ref="AV7" si="39">SUM(AV4:AV6)</f>
        <v>0</v>
      </c>
      <c r="AW7" s="527">
        <f t="shared" ref="AW7" si="40">SUM(AW4:AW6)</f>
        <v>0</v>
      </c>
      <c r="AX7" s="527">
        <f t="shared" ref="AX7" si="41">SUM(AX4:AX6)</f>
        <v>0</v>
      </c>
      <c r="AY7" s="527">
        <f t="shared" ref="AY7" si="42">SUM(AY4:AY6)</f>
        <v>0</v>
      </c>
      <c r="AZ7" s="527">
        <f t="shared" ref="AZ7" si="43">SUM(AZ4:AZ6)</f>
        <v>0</v>
      </c>
      <c r="BA7" s="527">
        <f t="shared" ref="BA7" si="44">SUM(BA4:BA6)</f>
        <v>0</v>
      </c>
      <c r="BB7" s="527">
        <f t="shared" ref="BB7" si="45">SUM(BB4:BB6)</f>
        <v>0</v>
      </c>
      <c r="BC7" s="527">
        <f t="shared" ref="BC7" si="46">SUM(BC4:BC6)</f>
        <v>0</v>
      </c>
      <c r="BD7" s="527">
        <f t="shared" ref="BD7" si="47">SUM(BD4:BD6)</f>
        <v>0</v>
      </c>
      <c r="BE7" s="527">
        <f t="shared" ref="BE7" si="48">SUM(BE4:BE6)</f>
        <v>0</v>
      </c>
      <c r="BF7" s="527">
        <f t="shared" ref="BF7" si="49">SUM(BF4:BF6)</f>
        <v>0</v>
      </c>
      <c r="BG7" s="527">
        <f t="shared" ref="BG7" si="50">SUM(BG4:BG6)</f>
        <v>0</v>
      </c>
      <c r="BH7" s="527">
        <f t="shared" ref="BH7" si="51">SUM(BH4:BH6)</f>
        <v>0</v>
      </c>
      <c r="BI7" s="527">
        <f t="shared" ref="BI7" si="52">SUM(BI4:BI6)</f>
        <v>0</v>
      </c>
      <c r="BJ7" s="527">
        <f t="shared" ref="BJ7" si="53">SUM(BJ4:BJ6)</f>
        <v>0</v>
      </c>
      <c r="BK7" s="527">
        <f t="shared" ref="BK7" si="54">SUM(BK4:BK6)</f>
        <v>0</v>
      </c>
      <c r="BL7" s="527">
        <f t="shared" ref="BL7" si="55">SUM(BL4:BL6)</f>
        <v>0</v>
      </c>
      <c r="BM7" s="527">
        <f t="shared" ref="BM7" si="56">SUM(BM4:BM6)</f>
        <v>0</v>
      </c>
      <c r="BN7" s="527">
        <f t="shared" ref="BN7" si="57">SUM(BN4:BN6)</f>
        <v>0</v>
      </c>
      <c r="BO7" s="527">
        <f t="shared" ref="BO7" si="58">SUM(BO4:BO6)</f>
        <v>0</v>
      </c>
      <c r="BP7" s="527">
        <f t="shared" ref="BP7" si="59">SUM(BP4:BP6)</f>
        <v>0</v>
      </c>
      <c r="BQ7" s="527">
        <f t="shared" ref="BQ7" si="60">SUM(BQ4:BQ6)</f>
        <v>0</v>
      </c>
      <c r="BR7" s="527">
        <f t="shared" ref="BR7" si="61">SUM(BR4:BR6)</f>
        <v>0</v>
      </c>
      <c r="BS7" s="527">
        <f t="shared" ref="BS7" si="62">SUM(BS4:BS6)</f>
        <v>0</v>
      </c>
      <c r="BT7" s="527">
        <f t="shared" ref="BT7" si="63">SUM(BT4:BT6)</f>
        <v>0</v>
      </c>
      <c r="BU7" s="527">
        <f t="shared" ref="BU7" si="64">SUM(BU4:BU6)</f>
        <v>0</v>
      </c>
      <c r="BV7" s="527">
        <f t="shared" ref="BV7" si="65">SUM(BV4:BV6)</f>
        <v>0</v>
      </c>
      <c r="BW7" s="527">
        <f t="shared" ref="BW7" si="66">SUM(BW4:BW6)</f>
        <v>0</v>
      </c>
      <c r="BX7" s="527">
        <f t="shared" ref="BX7" si="67">SUM(BX4:BX6)</f>
        <v>0</v>
      </c>
      <c r="BY7" s="527">
        <f t="shared" ref="BY7" si="68">SUM(BY4:BY6)</f>
        <v>0</v>
      </c>
      <c r="BZ7" s="527">
        <f t="shared" ref="BZ7" si="69">SUM(BZ4:BZ6)</f>
        <v>0</v>
      </c>
      <c r="CA7" s="527">
        <f t="shared" ref="CA7" si="70">SUM(CA4:CA6)</f>
        <v>0</v>
      </c>
      <c r="CB7" s="527">
        <f t="shared" ref="CB7" si="71">SUM(CB4:CB6)</f>
        <v>0</v>
      </c>
      <c r="CC7" s="527">
        <f t="shared" ref="CC7" si="72">SUM(CC4:CC6)</f>
        <v>0</v>
      </c>
      <c r="CD7" s="527">
        <f t="shared" ref="CD7" si="73">SUM(CD4:CD6)</f>
        <v>0</v>
      </c>
      <c r="CE7" s="527">
        <f t="shared" ref="CE7" si="74">SUM(CE4:CE6)</f>
        <v>0</v>
      </c>
      <c r="CF7" s="527">
        <f t="shared" ref="CF7" si="75">SUM(CF4:CF6)</f>
        <v>0</v>
      </c>
      <c r="CG7" s="527">
        <f t="shared" ref="CG7" si="76">SUM(CG4:CG6)</f>
        <v>0</v>
      </c>
      <c r="CH7" s="527">
        <f t="shared" ref="CH7" si="77">SUM(CH4:CH6)</f>
        <v>0</v>
      </c>
      <c r="CI7" s="527">
        <f t="shared" ref="CI7" si="78">SUM(CI4:CI6)</f>
        <v>0</v>
      </c>
      <c r="CJ7" s="527">
        <f t="shared" ref="CJ7" si="79">SUM(CJ4:CJ6)</f>
        <v>0</v>
      </c>
      <c r="CK7" s="527">
        <f t="shared" ref="CK7" si="80">SUM(CK4:CK6)</f>
        <v>0</v>
      </c>
      <c r="CL7" s="527">
        <f t="shared" ref="CL7" si="81">SUM(CL4:CL6)</f>
        <v>0</v>
      </c>
      <c r="CM7" s="527">
        <f t="shared" ref="CM7" si="82">SUM(CM4:CM6)</f>
        <v>0</v>
      </c>
      <c r="CN7" s="527">
        <f t="shared" ref="CN7" si="83">SUM(CN4:CN6)</f>
        <v>0</v>
      </c>
      <c r="CO7" s="527">
        <f t="shared" ref="CO7" si="84">SUM(CO4:CO6)</f>
        <v>0</v>
      </c>
      <c r="CP7" s="527">
        <f t="shared" ref="CP7" si="85">SUM(CP4:CP6)</f>
        <v>0</v>
      </c>
      <c r="CQ7" s="527">
        <f t="shared" ref="CQ7" si="86">SUM(CQ4:CQ6)</f>
        <v>0</v>
      </c>
      <c r="CR7" s="527">
        <f t="shared" ref="CR7" si="87">SUM(CR4:CR6)</f>
        <v>0</v>
      </c>
      <c r="CS7" s="527">
        <f t="shared" ref="CS7" si="88">SUM(CS4:CS6)</f>
        <v>0</v>
      </c>
      <c r="CT7" s="527">
        <f t="shared" ref="CT7" si="89">SUM(CT4:CT6)</f>
        <v>0</v>
      </c>
      <c r="CU7" s="527">
        <f t="shared" ref="CU7" si="90">SUM(CU4:CU6)</f>
        <v>0</v>
      </c>
      <c r="CV7" s="527">
        <f t="shared" ref="CV7" si="91">SUM(CV4:CV6)</f>
        <v>0</v>
      </c>
      <c r="CW7" s="527">
        <f t="shared" ref="CW7" si="92">SUM(CW4:CW6)</f>
        <v>0</v>
      </c>
      <c r="CX7" s="527">
        <f t="shared" ref="CX7" si="93">SUM(CX4:CX6)</f>
        <v>0</v>
      </c>
      <c r="CY7" s="527">
        <f t="shared" ref="CY7" si="94">SUM(CY4:CY6)</f>
        <v>0</v>
      </c>
      <c r="CZ7" s="527">
        <f t="shared" ref="CZ7" si="95">SUM(CZ4:CZ6)</f>
        <v>0</v>
      </c>
      <c r="DA7" s="527">
        <f t="shared" ref="DA7" si="96">SUM(DA4:DA6)</f>
        <v>0</v>
      </c>
      <c r="DB7" s="527">
        <f t="shared" ref="DB7" si="97">SUM(DB4:DB6)</f>
        <v>0</v>
      </c>
      <c r="DC7" s="527">
        <f t="shared" ref="DC7" si="98">SUM(DC4:DC6)</f>
        <v>0</v>
      </c>
      <c r="DD7" s="527">
        <f t="shared" ref="DD7" si="99">SUM(DD4:DD6)</f>
        <v>0</v>
      </c>
      <c r="DE7" s="527">
        <f t="shared" ref="DE7" si="100">SUM(DE4:DE6)</f>
        <v>0</v>
      </c>
      <c r="DF7" s="527">
        <f t="shared" ref="DF7" si="101">SUM(DF4:DF6)</f>
        <v>0</v>
      </c>
      <c r="DG7" s="527">
        <f t="shared" ref="DG7" si="102">SUM(DG4:DG6)</f>
        <v>0</v>
      </c>
      <c r="DH7" s="527">
        <f t="shared" ref="DH7" si="103">SUM(DH4:DH6)</f>
        <v>0</v>
      </c>
      <c r="DI7" s="527">
        <f t="shared" ref="DI7" si="104">SUM(DI4:DI6)</f>
        <v>0</v>
      </c>
      <c r="DJ7" s="527">
        <f t="shared" ref="DJ7" si="105">SUM(DJ4:DJ6)</f>
        <v>0</v>
      </c>
      <c r="DK7" s="527">
        <f t="shared" ref="DK7" si="106">SUM(DK4:DK6)</f>
        <v>0</v>
      </c>
      <c r="DL7" s="527">
        <f t="shared" ref="DL7" si="107">SUM(DL4:DL6)</f>
        <v>0</v>
      </c>
      <c r="DM7" s="527">
        <f t="shared" ref="DM7" si="108">SUM(DM4:DM6)</f>
        <v>0</v>
      </c>
      <c r="DN7" s="527">
        <f t="shared" ref="DN7" si="109">SUM(DN4:DN6)</f>
        <v>0</v>
      </c>
      <c r="DO7" s="527">
        <f t="shared" ref="DO7" si="110">SUM(DO4:DO6)</f>
        <v>0</v>
      </c>
      <c r="DP7" s="527">
        <f t="shared" ref="DP7" si="111">SUM(DP4:DP6)</f>
        <v>0</v>
      </c>
      <c r="DQ7" s="527">
        <f t="shared" ref="DQ7" si="112">SUM(DQ4:DQ6)</f>
        <v>0</v>
      </c>
      <c r="DR7" s="527">
        <f t="shared" ref="DR7" si="113">SUM(DR4:DR6)</f>
        <v>0</v>
      </c>
      <c r="DS7" s="527">
        <f t="shared" ref="DS7" si="114">SUM(DS4:DS6)</f>
        <v>0</v>
      </c>
      <c r="DT7" s="527">
        <f t="shared" ref="DT7" si="115">SUM(DT4:DT6)</f>
        <v>0</v>
      </c>
      <c r="DU7" s="527">
        <f t="shared" ref="DU7" si="116">SUM(DU4:DU6)</f>
        <v>0</v>
      </c>
      <c r="DV7" s="527">
        <f t="shared" ref="DV7" si="117">SUM(DV4:DV6)</f>
        <v>0</v>
      </c>
      <c r="DW7" s="527">
        <f t="shared" ref="DW7" si="118">SUM(DW4:DW6)</f>
        <v>0</v>
      </c>
      <c r="DX7" s="527">
        <f t="shared" ref="DX7" si="119">SUM(DX4:DX6)</f>
        <v>0</v>
      </c>
      <c r="DY7" s="527">
        <f t="shared" ref="DY7" si="120">SUM(DY4:DY6)</f>
        <v>0</v>
      </c>
      <c r="DZ7" s="527">
        <f t="shared" ref="DZ7" si="121">SUM(DZ4:DZ6)</f>
        <v>0</v>
      </c>
      <c r="EA7" s="527">
        <f t="shared" ref="EA7" si="122">SUM(EA4:EA6)</f>
        <v>0</v>
      </c>
      <c r="EB7" s="527">
        <f t="shared" ref="EB7" si="123">SUM(EB4:EB6)</f>
        <v>0</v>
      </c>
      <c r="EC7" s="527">
        <f t="shared" ref="EC7" si="124">SUM(EC4:EC6)</f>
        <v>0</v>
      </c>
      <c r="ED7" s="527">
        <f t="shared" ref="ED7" si="125">SUM(ED4:ED6)</f>
        <v>0</v>
      </c>
      <c r="EE7" s="527">
        <f t="shared" ref="EE7" si="126">SUM(EE4:EE6)</f>
        <v>0</v>
      </c>
      <c r="EF7" s="527">
        <f t="shared" ref="EF7" si="127">SUM(EF4:EF6)</f>
        <v>0</v>
      </c>
      <c r="EG7" s="527">
        <f t="shared" ref="EG7" si="128">SUM(EG4:EG6)</f>
        <v>0</v>
      </c>
      <c r="EH7" s="527">
        <f t="shared" ref="EH7" si="129">SUM(EH4:EH6)</f>
        <v>0</v>
      </c>
      <c r="EI7" s="527">
        <f t="shared" ref="EI7" si="130">SUM(EI4:EI6)</f>
        <v>0</v>
      </c>
      <c r="EJ7" s="527">
        <f t="shared" ref="EJ7" si="131">SUM(EJ4:EJ6)</f>
        <v>0</v>
      </c>
      <c r="EK7" s="527">
        <f t="shared" ref="EK7" si="132">SUM(EK4:EK6)</f>
        <v>0</v>
      </c>
      <c r="EL7" s="527">
        <f t="shared" ref="EL7" si="133">SUM(EL4:EL6)</f>
        <v>0</v>
      </c>
      <c r="EM7" s="527">
        <f t="shared" ref="EM7" si="134">SUM(EM4:EM6)</f>
        <v>0</v>
      </c>
      <c r="EN7" s="527">
        <f t="shared" ref="EN7" si="135">SUM(EN4:EN6)</f>
        <v>0</v>
      </c>
      <c r="EO7" s="527">
        <f t="shared" ref="EO7" si="136">SUM(EO4:EO6)</f>
        <v>0</v>
      </c>
      <c r="EP7" s="527">
        <f t="shared" ref="EP7" si="137">SUM(EP4:EP6)</f>
        <v>0</v>
      </c>
      <c r="EQ7" s="527">
        <f t="shared" ref="EQ7" si="138">SUM(EQ4:EQ6)</f>
        <v>0</v>
      </c>
      <c r="ER7" s="527">
        <f t="shared" ref="ER7" si="139">SUM(ER4:ER6)</f>
        <v>0</v>
      </c>
      <c r="ES7" s="527">
        <f t="shared" ref="ES7" si="140">SUM(ES4:ES6)</f>
        <v>0</v>
      </c>
      <c r="ET7" s="527">
        <f t="shared" ref="ET7" si="141">SUM(ET4:ET6)</f>
        <v>0</v>
      </c>
      <c r="EU7" s="527">
        <f t="shared" ref="EU7" si="142">SUM(EU4:EU6)</f>
        <v>0</v>
      </c>
      <c r="EV7" s="527">
        <f t="shared" ref="EV7" si="143">SUM(EV4:EV6)</f>
        <v>0</v>
      </c>
      <c r="EW7" s="527">
        <f t="shared" ref="EW7" si="144">SUM(EW4:EW6)</f>
        <v>0</v>
      </c>
      <c r="EX7" s="527">
        <f t="shared" ref="EX7" si="145">SUM(EX4:EX6)</f>
        <v>0</v>
      </c>
      <c r="EY7" s="527">
        <f t="shared" ref="EY7" si="146">SUM(EY4:EY6)</f>
        <v>0</v>
      </c>
      <c r="EZ7" s="527">
        <f t="shared" ref="EZ7" si="147">SUM(EZ4:EZ6)</f>
        <v>0</v>
      </c>
      <c r="FA7" s="527">
        <f t="shared" ref="FA7" si="148">SUM(FA4:FA6)</f>
        <v>0</v>
      </c>
      <c r="FB7" s="528">
        <f t="shared" ref="FB7" si="149">SUM(FB4:FB6)</f>
        <v>0</v>
      </c>
    </row>
    <row r="8" spans="2:158" x14ac:dyDescent="0.3">
      <c r="B8" s="538"/>
      <c r="F8" s="7"/>
      <c r="H8" s="524"/>
      <c r="J8" s="196"/>
      <c r="FB8" s="525"/>
    </row>
    <row r="9" spans="2:158" x14ac:dyDescent="0.3">
      <c r="B9" s="538"/>
      <c r="F9" s="7"/>
      <c r="H9" s="524"/>
      <c r="J9" s="196"/>
      <c r="FB9" s="525"/>
    </row>
    <row r="10" spans="2:158" x14ac:dyDescent="0.3">
      <c r="B10" s="538" t="s">
        <v>321</v>
      </c>
      <c r="C10" t="s">
        <v>245</v>
      </c>
      <c r="D10">
        <v>50</v>
      </c>
      <c r="F10" s="7"/>
      <c r="H10" s="526">
        <f>+IF(('Monthly Detail'!AG25-'Monthly Detail'!$B$23)&gt;0,('Monthly Detail'!AG25-'Monthly Detail'!$B$23)*'People Plan'!$D$10, 0)</f>
        <v>0</v>
      </c>
      <c r="I10" s="574">
        <v>0</v>
      </c>
      <c r="J10" s="523">
        <v>0</v>
      </c>
      <c r="K10" s="527">
        <f>+IF(('Monthly Detail'!AJ25-'Monthly Detail'!$B$23)&gt;0,('Monthly Detail'!AJ25-'Monthly Detail'!$B$23)*'People Plan'!$D$10, 0)</f>
        <v>912.5</v>
      </c>
      <c r="L10" s="527">
        <f>+IF(('Monthly Detail'!AK25-'Monthly Detail'!$B$23)&gt;0,('Monthly Detail'!AK25-'Monthly Detail'!$B$23)*'People Plan'!$D$10, 0)</f>
        <v>3542.96875</v>
      </c>
      <c r="M10" s="527">
        <f>+IF(('Monthly Detail'!AL25-'Monthly Detail'!$B$23)&gt;0,('Monthly Detail'!AL25-'Monthly Detail'!$B$23)*'People Plan'!$D$10, 0)</f>
        <v>0</v>
      </c>
      <c r="N10" s="527">
        <f>+IF(('Monthly Detail'!AM25-'Monthly Detail'!$B$23)&gt;0,('Monthly Detail'!AM25-'Monthly Detail'!$B$23)*'People Plan'!$D$10, 0)</f>
        <v>0</v>
      </c>
      <c r="O10" s="527">
        <f>+IF(('Monthly Detail'!AN25-'Monthly Detail'!$B$23)&gt;0,('Monthly Detail'!AN25-'Monthly Detail'!$B$23)*'People Plan'!$D$10, 0)</f>
        <v>0</v>
      </c>
      <c r="P10" s="527">
        <f>+IF(('Monthly Detail'!AO25-'Monthly Detail'!$B$23)&gt;0,('Monthly Detail'!AO25-'Monthly Detail'!$B$23)*'People Plan'!$D$10, 0)</f>
        <v>750.63492063491992</v>
      </c>
      <c r="Q10" s="527">
        <f>+IF(('Monthly Detail'!AP25-'Monthly Detail'!$B$23)&gt;0,('Monthly Detail'!AP25-'Monthly Detail'!$B$23)*'People Plan'!$D$10, 0)</f>
        <v>0</v>
      </c>
      <c r="R10" s="527">
        <f>+IF(('Monthly Detail'!AQ25-'Monthly Detail'!$B$23)&gt;0,('Monthly Detail'!AQ25-'Monthly Detail'!$B$23)*'People Plan'!$D$10, 0)</f>
        <v>0</v>
      </c>
      <c r="S10" s="527">
        <f>+IF(('Monthly Detail'!AR25-'Monthly Detail'!$B$23)&gt;0,('Monthly Detail'!AR25-'Monthly Detail'!$B$23)*'People Plan'!$D$10, 0)</f>
        <v>427.47826086956309</v>
      </c>
      <c r="T10" s="527">
        <f>+IF(('Monthly Detail'!AS25-'Monthly Detail'!$B$23)&gt;0,('Monthly Detail'!AS25-'Monthly Detail'!$B$23)*'People Plan'!$D$10, 0)</f>
        <v>0</v>
      </c>
      <c r="U10" s="527">
        <f>+IF(('Monthly Detail'!AT25-'Monthly Detail'!$B$23)&gt;0,('Monthly Detail'!AT25-'Monthly Detail'!$B$23)*'People Plan'!$D$10, 0)</f>
        <v>537.49999999999864</v>
      </c>
      <c r="V10" s="527">
        <f>+IF(('Monthly Detail'!AU25-'Monthly Detail'!$B$23)&gt;0,('Monthly Detail'!AU25-'Monthly Detail'!$B$23)*'People Plan'!$D$10, 0)</f>
        <v>3776.495215311003</v>
      </c>
      <c r="W10" s="527">
        <f>+IF(('Monthly Detail'!AV25-'Monthly Detail'!$B$23)&gt;0,('Monthly Detail'!AV25-'Monthly Detail'!$B$23)*'People Plan'!$D$10, 0)</f>
        <v>1432.2278911564608</v>
      </c>
      <c r="X10" s="527">
        <f>+IF(('Monthly Detail'!AW25-'Monthly Detail'!$B$23)&gt;0,('Monthly Detail'!AW25-'Monthly Detail'!$B$23)*'People Plan'!$D$10, 0)</f>
        <v>4655.8061079545441</v>
      </c>
      <c r="Y10" s="527">
        <f>+IF(('Monthly Detail'!AX25-'Monthly Detail'!$B$23)&gt;0,('Monthly Detail'!AX25-'Monthly Detail'!$B$23)*'People Plan'!$D$10, 0)</f>
        <v>0</v>
      </c>
      <c r="Z10" s="527">
        <f>+IF(('Monthly Detail'!AY25-'Monthly Detail'!$B$23)&gt;0,('Monthly Detail'!AY25-'Monthly Detail'!$B$23)*'People Plan'!$D$10, 0)</f>
        <v>0</v>
      </c>
      <c r="AA10" s="527">
        <f>+IF(('Monthly Detail'!AZ25-'Monthly Detail'!$B$23)&gt;0,('Monthly Detail'!AZ25-'Monthly Detail'!$B$23)*'People Plan'!$D$10, 0)</f>
        <v>0</v>
      </c>
      <c r="AB10" s="527">
        <f>+IF(('Monthly Detail'!BA25-'Monthly Detail'!$B$23)&gt;0,('Monthly Detail'!BA25-'Monthly Detail'!$B$23)*'People Plan'!$D$10, 0)</f>
        <v>3219.7777777777715</v>
      </c>
      <c r="AC10" s="527">
        <f>+IF(('Monthly Detail'!BB25-'Monthly Detail'!$B$23)&gt;0,('Monthly Detail'!BB25-'Monthly Detail'!$B$23)*'People Plan'!$D$10, 0)</f>
        <v>181.83095238094751</v>
      </c>
      <c r="AD10" s="527">
        <f>+IF(('Monthly Detail'!BC25-'Monthly Detail'!$B$23)&gt;0,('Monthly Detail'!BC25-'Monthly Detail'!$B$23)*'People Plan'!$D$10, 0)</f>
        <v>2054.3529411764653</v>
      </c>
      <c r="AE10" s="527">
        <f>+IF(('Monthly Detail'!BD25-'Monthly Detail'!$B$23)&gt;0,('Monthly Detail'!BD25-'Monthly Detail'!$B$23)*'People Plan'!$D$10, 0)</f>
        <v>2755.2565217391234</v>
      </c>
      <c r="AF10" s="527">
        <f>+IF(('Monthly Detail'!BE25-'Monthly Detail'!$B$23)&gt;0,('Monthly Detail'!BE25-'Monthly Detail'!$B$23)*'People Plan'!$D$10, 0)</f>
        <v>0</v>
      </c>
      <c r="AG10" s="527">
        <f>+IF(('Monthly Detail'!BF25-'Monthly Detail'!$B$23)&gt;0,('Monthly Detail'!BF25-'Monthly Detail'!$B$23)*'People Plan'!$D$10, 0)</f>
        <v>3779.0454545454468</v>
      </c>
      <c r="AH10" s="527">
        <f>+IF(('Monthly Detail'!BG25-'Monthly Detail'!$B$23)&gt;0,('Monthly Detail'!BG25-'Monthly Detail'!$B$23)*'People Plan'!$D$10, 0)</f>
        <v>7954.2015550239112</v>
      </c>
      <c r="AI10" s="527">
        <f>+IF(('Monthly Detail'!BH25-'Monthly Detail'!$B$23)&gt;0,('Monthly Detail'!BH25-'Monthly Detail'!$B$23)*'People Plan'!$D$10, 0)</f>
        <v>4576.5816326530512</v>
      </c>
      <c r="AJ10" s="527">
        <f>+IF(('Monthly Detail'!BI25-'Monthly Detail'!$B$23)&gt;0,('Monthly Detail'!BI25-'Monthly Detail'!$B$23)*'People Plan'!$D$10, 0)</f>
        <v>8482.0312499999891</v>
      </c>
      <c r="AK10" s="527">
        <f>+IF(('Monthly Detail'!BJ25-'Monthly Detail'!$B$23)&gt;0,('Monthly Detail'!BJ25-'Monthly Detail'!$B$23)*'People Plan'!$D$10, 0)</f>
        <v>2283.3499999999931</v>
      </c>
      <c r="AL10" s="527">
        <f>+IF(('Monthly Detail'!BK25-'Monthly Detail'!$B$23)&gt;0,('Monthly Detail'!BK25-'Monthly Detail'!$B$23)*'People Plan'!$D$10, 0)</f>
        <v>3520.3999999999896</v>
      </c>
      <c r="AM10" s="527">
        <f>+IF(('Monthly Detail'!BL25-'Monthly Detail'!$B$23)&gt;0,('Monthly Detail'!BL25-'Monthly Detail'!$B$23)*'People Plan'!$D$10, 0)</f>
        <v>0</v>
      </c>
      <c r="AN10" s="527">
        <f>+IF(('Monthly Detail'!BM25-'Monthly Detail'!$B$23)&gt;0,('Monthly Detail'!BM25-'Monthly Detail'!$B$23)*'People Plan'!$D$10, 0)</f>
        <v>7007.6888888888734</v>
      </c>
      <c r="AO10" s="527">
        <f>+IF(('Monthly Detail'!BN25-'Monthly Detail'!$B$23)&gt;0,('Monthly Detail'!BN25-'Monthly Detail'!$B$23)*'People Plan'!$D$10, 0)</f>
        <v>3196.8557142857035</v>
      </c>
      <c r="AP10" s="527">
        <f>+IF(('Monthly Detail'!BO25-'Monthly Detail'!$B$23)&gt;0,('Monthly Detail'!BO25-'Monthly Detail'!$B$23)*'People Plan'!$D$10, 0)</f>
        <v>5540.2117647058703</v>
      </c>
      <c r="AQ10" s="527">
        <f>+IF(('Monthly Detail'!BP25-'Monthly Detail'!$B$23)&gt;0,('Monthly Detail'!BP25-'Monthly Detail'!$B$23)*'People Plan'!$D$10, 0)</f>
        <v>6398.2178260869432</v>
      </c>
      <c r="AR10" s="527">
        <f>+IF(('Monthly Detail'!BQ25-'Monthly Detail'!$B$23)&gt;0,('Monthly Detail'!BQ25-'Monthly Detail'!$B$23)*'People Plan'!$D$10, 0)</f>
        <v>1402.1958333333246</v>
      </c>
      <c r="AS10" s="527">
        <f>+IF(('Monthly Detail'!BR25-'Monthly Detail'!$B$23)&gt;0,('Monthly Detail'!BR25-'Monthly Detail'!$B$23)*'People Plan'!$D$10, 0)</f>
        <v>7451.6999999999853</v>
      </c>
      <c r="AT10" s="527">
        <f>+IF(('Monthly Detail'!BS25-'Monthly Detail'!$B$23)&gt;0,('Monthly Detail'!BS25-'Monthly Detail'!$B$23)*'People Plan'!$D$10, 0)</f>
        <v>14757.894736842085</v>
      </c>
      <c r="AU10" s="527">
        <f>+IF(('Monthly Detail'!BT25-'Monthly Detail'!$B$23)&gt;0,('Monthly Detail'!BT25-'Monthly Detail'!$B$23)*'People Plan'!$D$10, 0)</f>
        <v>9014.4081632652924</v>
      </c>
      <c r="AV10" s="527">
        <f>+IF(('Monthly Detail'!BU25-'Monthly Detail'!$B$23)&gt;0,('Monthly Detail'!BU25-'Monthly Detail'!$B$23)*'People Plan'!$D$10, 0)</f>
        <v>13640.5646306818</v>
      </c>
      <c r="AW10" s="527">
        <f>+IF(('Monthly Detail'!BV25-'Monthly Detail'!$B$23)&gt;0,('Monthly Detail'!BV25-'Monthly Detail'!$B$23)*'People Plan'!$D$10, 0)</f>
        <v>6323.3299999999899</v>
      </c>
      <c r="AX10" s="527">
        <f>+IF(('Monthly Detail'!BW25-'Monthly Detail'!$B$23)&gt;0,('Monthly Detail'!BW25-'Monthly Detail'!$B$23)*'People Plan'!$D$10, 0)</f>
        <v>7428.5599999999849</v>
      </c>
      <c r="AY10" s="527">
        <f>+IF(('Monthly Detail'!BX25-'Monthly Detail'!$B$23)&gt;0,('Monthly Detail'!BX25-'Monthly Detail'!$B$23)*'People Plan'!$D$10, 0)</f>
        <v>2429.8249999999898</v>
      </c>
      <c r="AZ10" s="527">
        <f>+IF(('Monthly Detail'!BY25-'Monthly Detail'!$B$23)&gt;0,('Monthly Detail'!BY25-'Monthly Detail'!$B$23)*'People Plan'!$D$10, 0)</f>
        <v>13387.802666666641</v>
      </c>
      <c r="BA10" s="527">
        <f>+IF(('Monthly Detail'!BZ25-'Monthly Detail'!$B$23)&gt;0,('Monthly Detail'!BZ25-'Monthly Detail'!$B$23)*'People Plan'!$D$10, 0)</f>
        <v>6942.603952380935</v>
      </c>
      <c r="BB10" s="527">
        <f>+IF(('Monthly Detail'!CA25-'Monthly Detail'!$B$23)&gt;0,('Monthly Detail'!CA25-'Monthly Detail'!$B$23)*'People Plan'!$D$10, 0)</f>
        <v>8643.8256684491789</v>
      </c>
      <c r="BC10" s="527">
        <f>+IF(('Monthly Detail'!CB25-'Monthly Detail'!$B$23)&gt;0,('Monthly Detail'!CB25-'Monthly Detail'!$B$23)*'People Plan'!$D$10, 0)</f>
        <v>13278.183999999976</v>
      </c>
      <c r="BD10" s="527">
        <f>+IF(('Monthly Detail'!CC25-'Monthly Detail'!$B$23)&gt;0,('Monthly Detail'!CC25-'Monthly Detail'!$B$23)*'People Plan'!$D$10, 0)</f>
        <v>4408.5324999999857</v>
      </c>
      <c r="BE10" s="527">
        <f>+IF(('Monthly Detail'!CD25-'Monthly Detail'!$B$23)&gt;0,('Monthly Detail'!CD25-'Monthly Detail'!$B$23)*'People Plan'!$D$10, 0)</f>
        <v>12017.260454545431</v>
      </c>
      <c r="BF10" s="527">
        <f>+IF(('Monthly Detail'!CE25-'Monthly Detail'!$B$23)&gt;0,('Monthly Detail'!CE25-'Monthly Detail'!$B$23)*'People Plan'!$D$10, 0)</f>
        <v>24558.926435406658</v>
      </c>
      <c r="BG10" s="527">
        <f>+IF(('Monthly Detail'!CF25-'Monthly Detail'!$B$23)&gt;0,('Monthly Detail'!CF25-'Monthly Detail'!$B$23)*'People Plan'!$D$10, 0)</f>
        <v>14114.692857142836</v>
      </c>
      <c r="BH10" s="527">
        <f>+IF(('Monthly Detail'!CG25-'Monthly Detail'!$B$23)&gt;0,('Monthly Detail'!CG25-'Monthly Detail'!$B$23)*'People Plan'!$D$10, 0)</f>
        <v>22880.249999999971</v>
      </c>
      <c r="BI10" s="527">
        <f>+IF(('Monthly Detail'!CH25-'Monthly Detail'!$B$23)&gt;0,('Monthly Detail'!CH25-'Monthly Detail'!$B$23)*'People Plan'!$D$10, 0)</f>
        <v>11468.161999999984</v>
      </c>
      <c r="BJ10" s="527">
        <f>+IF(('Monthly Detail'!CI25-'Monthly Detail'!$B$23)&gt;0,('Monthly Detail'!CI25-'Monthly Detail'!$B$23)*'People Plan'!$D$10, 0)</f>
        <v>11329.267999999978</v>
      </c>
      <c r="BK10" s="527">
        <f>+IF(('Monthly Detail'!CJ25-'Monthly Detail'!$B$23)&gt;0,('Monthly Detail'!CJ25-'Monthly Detail'!$B$23)*'People Plan'!$D$10, 0)</f>
        <v>7147.2752272727093</v>
      </c>
      <c r="BL10" s="527">
        <f>+IF(('Monthly Detail'!CK25-'Monthly Detail'!$B$23)&gt;0,('Monthly Detail'!CK25-'Monthly Detail'!$B$23)*'People Plan'!$D$10, 0)</f>
        <v>19981.038476190439</v>
      </c>
      <c r="BM10" s="527">
        <f>+IF(('Monthly Detail'!CL25-'Monthly Detail'!$B$23)&gt;0,('Monthly Detail'!CL25-'Monthly Detail'!$B$23)*'People Plan'!$D$10, 0)</f>
        <v>11511.29603809521</v>
      </c>
      <c r="BN10" s="527">
        <f>+IF(('Monthly Detail'!CM25-'Monthly Detail'!$B$23)&gt;0,('Monthly Detail'!CM25-'Monthly Detail'!$B$23)*'People Plan'!$D$10, 0)</f>
        <v>15918.074802139001</v>
      </c>
      <c r="BO10" s="527">
        <f>+IF(('Monthly Detail'!CN25-'Monthly Detail'!$B$23)&gt;0,('Monthly Detail'!CN25-'Monthly Detail'!$B$23)*'People Plan'!$D$10, 0)</f>
        <v>21268.457599999954</v>
      </c>
      <c r="BP10" s="527">
        <f>+IF(('Monthly Detail'!CO25-'Monthly Detail'!$B$23)&gt;0,('Monthly Detail'!CO25-'Monthly Detail'!$B$23)*'People Plan'!$D$10, 0)</f>
        <v>8149.8627499999739</v>
      </c>
      <c r="BQ10" s="527">
        <f>+IF(('Monthly Detail'!CP25-'Monthly Detail'!$B$23)&gt;0,('Monthly Detail'!CP25-'Monthly Detail'!$B$23)*'People Plan'!$D$10, 0)</f>
        <v>20768.231999999956</v>
      </c>
      <c r="BR10" s="527">
        <f>+IF(('Monthly Detail'!CQ25-'Monthly Detail'!$B$23)&gt;0,('Monthly Detail'!CQ25-'Monthly Detail'!$B$23)*'People Plan'!$D$10, 0)</f>
        <v>37126.528110047766</v>
      </c>
      <c r="BS10" s="527">
        <f>+IF(('Monthly Detail'!CR25-'Monthly Detail'!$B$23)&gt;0,('Monthly Detail'!CR25-'Monthly Detail'!$B$23)*'People Plan'!$D$10, 0)</f>
        <v>21195.270748299277</v>
      </c>
      <c r="BT10" s="527">
        <f>+IF(('Monthly Detail'!CS25-'Monthly Detail'!$B$23)&gt;0,('Monthly Detail'!CS25-'Monthly Detail'!$B$23)*'People Plan'!$D$10, 0)</f>
        <v>36653.174147727223</v>
      </c>
      <c r="BU10" s="527">
        <f>+IF(('Monthly Detail'!CT25-'Monthly Detail'!$B$23)&gt;0,('Monthly Detail'!CT25-'Monthly Detail'!$B$23)*'People Plan'!$D$10, 0)</f>
        <v>18642.051799999961</v>
      </c>
      <c r="BV10" s="527">
        <f>+IF(('Monthly Detail'!CU25-'Monthly Detail'!$B$23)&gt;0,('Monthly Detail'!CU25-'Monthly Detail'!$B$23)*'People Plan'!$D$10, 0)</f>
        <v>18486.975199999953</v>
      </c>
      <c r="BW10" s="527">
        <f>+IF(('Monthly Detail'!CV25-'Monthly Detail'!$B$23)&gt;0,('Monthly Detail'!CV25-'Monthly Detail'!$B$23)*'People Plan'!$D$10, 0)</f>
        <v>12594.395545454501</v>
      </c>
      <c r="BX10" s="527">
        <f>+IF(('Monthly Detail'!CW25-'Monthly Detail'!$B$23)&gt;0,('Monthly Detail'!CW25-'Monthly Detail'!$B$23)*'People Plan'!$D$10, 0)</f>
        <v>30520.755453968166</v>
      </c>
      <c r="BY10" s="527">
        <f>+IF(('Monthly Detail'!CX25-'Monthly Detail'!$B$23)&gt;0,('Monthly Detail'!CX25-'Monthly Detail'!$B$23)*'People Plan'!$D$10, 0)</f>
        <v>17575.925159999944</v>
      </c>
      <c r="BZ10" s="527">
        <f>+IF(('Monthly Detail'!CY25-'Monthly Detail'!$B$23)&gt;0,('Monthly Detail'!CY25-'Monthly Detail'!$B$23)*'People Plan'!$D$10, 0)</f>
        <v>26345.235199999923</v>
      </c>
      <c r="CA10" s="527">
        <f>+IF(('Monthly Detail'!CZ25-'Monthly Detail'!$B$23)&gt;0,('Monthly Detail'!CZ25-'Monthly Detail'!$B$23)*'People Plan'!$D$10, 0)</f>
        <v>32275.840639999911</v>
      </c>
      <c r="CB10" s="527">
        <f>+IF(('Monthly Detail'!DA25-'Monthly Detail'!$B$23)&gt;0,('Monthly Detail'!DA25-'Monthly Detail'!$B$23)*'People Plan'!$D$10, 0)</f>
        <v>12949.81699999995</v>
      </c>
      <c r="CC10" s="527">
        <f>+IF(('Monthly Detail'!DB25-'Monthly Detail'!$B$23)&gt;0,('Monthly Detail'!DB25-'Monthly Detail'!$B$23)*'People Plan'!$D$10, 0)</f>
        <v>33294.86683636353</v>
      </c>
      <c r="CD10" s="527">
        <f>+IF(('Monthly Detail'!DC25-'Monthly Detail'!$B$23)&gt;0,('Monthly Detail'!DC25-'Monthly Detail'!$B$23)*'People Plan'!$D$10, 0)</f>
        <v>51953.539473684068</v>
      </c>
      <c r="CE10" s="527">
        <f>+IF(('Monthly Detail'!DD25-'Monthly Detail'!$B$23)&gt;0,('Monthly Detail'!DD25-'Monthly Detail'!$B$23)*'People Plan'!$D$10, 0)</f>
        <v>34128.655142857046</v>
      </c>
      <c r="CF10" s="527">
        <f>+IF(('Monthly Detail'!DE25-'Monthly Detail'!$B$23)&gt;0,('Monthly Detail'!DE25-'Monthly Detail'!$B$23)*'People Plan'!$D$10, 0)</f>
        <v>54081.524772727149</v>
      </c>
      <c r="CG10" s="527">
        <f>+IF(('Monthly Detail'!DF25-'Monthly Detail'!$B$23)&gt;0,('Monthly Detail'!DF25-'Monthly Detail'!$B$23)*'People Plan'!$D$10, 0)</f>
        <v>27069.957859999919</v>
      </c>
      <c r="CH10" s="527">
        <f>+IF(('Monthly Detail'!DG25-'Monthly Detail'!$B$23)&gt;0,('Monthly Detail'!DG25-'Monthly Detail'!$B$23)*'People Plan'!$D$10, 0)</f>
        <v>30129.8969599999</v>
      </c>
      <c r="CI10" s="527">
        <f>+IF(('Monthly Detail'!DH25-'Monthly Detail'!$B$23)&gt;0,('Monthly Detail'!DH25-'Monthly Detail'!$B$23)*'People Plan'!$D$10, 0)</f>
        <v>0</v>
      </c>
      <c r="CJ10" s="527">
        <f>+IF(('Monthly Detail'!DI25-'Monthly Detail'!$B$23)&gt;0,('Monthly Detail'!DI25-'Monthly Detail'!$B$23)*'People Plan'!$D$10, 0)</f>
        <v>0</v>
      </c>
      <c r="CK10" s="527">
        <f>+IF(('Monthly Detail'!DJ25-'Monthly Detail'!$B$23)&gt;0,('Monthly Detail'!DJ25-'Monthly Detail'!$B$23)*'People Plan'!$D$10, 0)</f>
        <v>0</v>
      </c>
      <c r="CL10" s="527">
        <f>+IF(('Monthly Detail'!DK25-'Monthly Detail'!$B$23)&gt;0,('Monthly Detail'!DK25-'Monthly Detail'!$B$23)*'People Plan'!$D$10, 0)</f>
        <v>0</v>
      </c>
      <c r="CM10" s="527">
        <f>+IF(('Monthly Detail'!DL25-'Monthly Detail'!$B$23)&gt;0,('Monthly Detail'!DL25-'Monthly Detail'!$B$23)*'People Plan'!$D$10, 0)</f>
        <v>0</v>
      </c>
      <c r="CN10" s="527">
        <f>+IF(('Monthly Detail'!DM25-'Monthly Detail'!$B$23)&gt;0,('Monthly Detail'!DM25-'Monthly Detail'!$B$23)*'People Plan'!$D$10, 0)</f>
        <v>0</v>
      </c>
      <c r="CO10" s="527">
        <f>+IF(('Monthly Detail'!DN25-'Monthly Detail'!$B$23)&gt;0,('Monthly Detail'!DN25-'Monthly Detail'!$B$23)*'People Plan'!$D$10, 0)</f>
        <v>0</v>
      </c>
      <c r="CP10" s="527">
        <f>+IF(('Monthly Detail'!DO25-'Monthly Detail'!$B$23)&gt;0,('Monthly Detail'!DO25-'Monthly Detail'!$B$23)*'People Plan'!$D$10, 0)</f>
        <v>0</v>
      </c>
      <c r="CQ10" s="527">
        <f>+IF(('Monthly Detail'!DP25-'Monthly Detail'!$B$23)&gt;0,('Monthly Detail'!DP25-'Monthly Detail'!$B$23)*'People Plan'!$D$10, 0)</f>
        <v>0</v>
      </c>
      <c r="CR10" s="527">
        <f>+IF(('Monthly Detail'!DQ25-'Monthly Detail'!$B$23)&gt;0,('Monthly Detail'!DQ25-'Monthly Detail'!$B$23)*'People Plan'!$D$10, 0)</f>
        <v>0</v>
      </c>
      <c r="CS10" s="527">
        <f>+IF(('Monthly Detail'!DR25-'Monthly Detail'!$B$23)&gt;0,('Monthly Detail'!DR25-'Monthly Detail'!$B$23)*'People Plan'!$D$10, 0)</f>
        <v>0</v>
      </c>
      <c r="CT10" s="527">
        <f>+IF(('Monthly Detail'!DS25-'Monthly Detail'!$B$23)&gt;0,('Monthly Detail'!DS25-'Monthly Detail'!$B$23)*'People Plan'!$D$10, 0)</f>
        <v>0</v>
      </c>
      <c r="CU10" s="527">
        <f>+IF(('Monthly Detail'!DT25-'Monthly Detail'!$B$23)&gt;0,('Monthly Detail'!DT25-'Monthly Detail'!$B$23)*'People Plan'!$D$10, 0)</f>
        <v>0</v>
      </c>
      <c r="CV10" s="527">
        <f>+IF(('Monthly Detail'!DU25-'Monthly Detail'!$B$23)&gt;0,('Monthly Detail'!DU25-'Monthly Detail'!$B$23)*'People Plan'!$D$10, 0)</f>
        <v>0</v>
      </c>
      <c r="CW10" s="527">
        <f>+IF(('Monthly Detail'!DV25-'Monthly Detail'!$B$23)&gt;0,('Monthly Detail'!DV25-'Monthly Detail'!$B$23)*'People Plan'!$D$10, 0)</f>
        <v>0</v>
      </c>
      <c r="CX10" s="527">
        <f>+IF(('Monthly Detail'!DW25-'Monthly Detail'!$B$23)&gt;0,('Monthly Detail'!DW25-'Monthly Detail'!$B$23)*'People Plan'!$D$10, 0)</f>
        <v>0</v>
      </c>
      <c r="CY10" s="527">
        <f>+IF(('Monthly Detail'!DX25-'Monthly Detail'!$B$23)&gt;0,('Monthly Detail'!DX25-'Monthly Detail'!$B$23)*'People Plan'!$D$10, 0)</f>
        <v>0</v>
      </c>
      <c r="CZ10" s="527">
        <f>+IF(('Monthly Detail'!DY25-'Monthly Detail'!$B$23)&gt;0,('Monthly Detail'!DY25-'Monthly Detail'!$B$23)*'People Plan'!$D$10, 0)</f>
        <v>0</v>
      </c>
      <c r="DA10" s="527">
        <f>+IF(('Monthly Detail'!DZ25-'Monthly Detail'!$B$23)&gt;0,('Monthly Detail'!DZ25-'Monthly Detail'!$B$23)*'People Plan'!$D$10, 0)</f>
        <v>0</v>
      </c>
      <c r="DB10" s="527">
        <f>+IF(('Monthly Detail'!EA25-'Monthly Detail'!$B$23)&gt;0,('Monthly Detail'!EA25-'Monthly Detail'!$B$23)*'People Plan'!$D$10, 0)</f>
        <v>0</v>
      </c>
      <c r="DC10" s="527">
        <f>+IF(('Monthly Detail'!EB25-'Monthly Detail'!$B$23)&gt;0,('Monthly Detail'!EB25-'Monthly Detail'!$B$23)*'People Plan'!$D$10, 0)</f>
        <v>0</v>
      </c>
      <c r="DD10" s="527">
        <f>+IF(('Monthly Detail'!EC25-'Monthly Detail'!$B$23)&gt;0,('Monthly Detail'!EC25-'Monthly Detail'!$B$23)*'People Plan'!$D$10, 0)</f>
        <v>0</v>
      </c>
      <c r="DE10" s="527">
        <f>+IF(('Monthly Detail'!ED25-'Monthly Detail'!$B$23)&gt;0,('Monthly Detail'!ED25-'Monthly Detail'!$B$23)*'People Plan'!$D$10, 0)</f>
        <v>0</v>
      </c>
      <c r="DF10" s="527">
        <f>+IF(('Monthly Detail'!EE25-'Monthly Detail'!$B$23)&gt;0,('Monthly Detail'!EE25-'Monthly Detail'!$B$23)*'People Plan'!$D$10, 0)</f>
        <v>0</v>
      </c>
      <c r="DG10" s="527">
        <f>+IF(('Monthly Detail'!EF25-'Monthly Detail'!$B$23)&gt;0,('Monthly Detail'!EF25-'Monthly Detail'!$B$23)*'People Plan'!$D$10, 0)</f>
        <v>0</v>
      </c>
      <c r="DH10" s="527">
        <f>+IF(('Monthly Detail'!EG25-'Monthly Detail'!$B$23)&gt;0,('Monthly Detail'!EG25-'Monthly Detail'!$B$23)*'People Plan'!$D$10, 0)</f>
        <v>0</v>
      </c>
      <c r="DI10" s="527">
        <f>+IF(('Monthly Detail'!EH25-'Monthly Detail'!$B$23)&gt;0,('Monthly Detail'!EH25-'Monthly Detail'!$B$23)*'People Plan'!$D$10, 0)</f>
        <v>0</v>
      </c>
      <c r="DJ10" s="527">
        <f>+IF(('Monthly Detail'!EI25-'Monthly Detail'!$B$23)&gt;0,('Monthly Detail'!EI25-'Monthly Detail'!$B$23)*'People Plan'!$D$10, 0)</f>
        <v>0</v>
      </c>
      <c r="DK10" s="527">
        <f>+IF(('Monthly Detail'!EJ25-'Monthly Detail'!$B$23)&gt;0,('Monthly Detail'!EJ25-'Monthly Detail'!$B$23)*'People Plan'!$D$10, 0)</f>
        <v>0</v>
      </c>
      <c r="DL10" s="527">
        <f>+IF(('Monthly Detail'!EK25-'Monthly Detail'!$B$23)&gt;0,('Monthly Detail'!EK25-'Monthly Detail'!$B$23)*'People Plan'!$D$10, 0)</f>
        <v>0</v>
      </c>
      <c r="DM10" s="527">
        <f>+IF(('Monthly Detail'!EL25-'Monthly Detail'!$B$23)&gt;0,('Monthly Detail'!EL25-'Monthly Detail'!$B$23)*'People Plan'!$D$10, 0)</f>
        <v>0</v>
      </c>
      <c r="DN10" s="527">
        <f>+IF(('Monthly Detail'!EM25-'Monthly Detail'!$B$23)&gt;0,('Monthly Detail'!EM25-'Monthly Detail'!$B$23)*'People Plan'!$D$10, 0)</f>
        <v>0</v>
      </c>
      <c r="DO10" s="527">
        <f>+IF(('Monthly Detail'!EN25-'Monthly Detail'!$B$23)&gt;0,('Monthly Detail'!EN25-'Monthly Detail'!$B$23)*'People Plan'!$D$10, 0)</f>
        <v>0</v>
      </c>
      <c r="DP10" s="527">
        <f>+IF(('Monthly Detail'!EO25-'Monthly Detail'!$B$23)&gt;0,('Monthly Detail'!EO25-'Monthly Detail'!$B$23)*'People Plan'!$D$10, 0)</f>
        <v>0</v>
      </c>
      <c r="DQ10" s="527">
        <f>+IF(('Monthly Detail'!EP25-'Monthly Detail'!$B$23)&gt;0,('Monthly Detail'!EP25-'Monthly Detail'!$B$23)*'People Plan'!$D$10, 0)</f>
        <v>0</v>
      </c>
      <c r="DR10" s="527">
        <f>+IF(('Monthly Detail'!EQ25-'Monthly Detail'!$B$23)&gt;0,('Monthly Detail'!EQ25-'Monthly Detail'!$B$23)*'People Plan'!$D$10, 0)</f>
        <v>0</v>
      </c>
      <c r="DS10" s="527">
        <f>+IF(('Monthly Detail'!ER25-'Monthly Detail'!$B$23)&gt;0,('Monthly Detail'!ER25-'Monthly Detail'!$B$23)*'People Plan'!$D$10, 0)</f>
        <v>0</v>
      </c>
      <c r="DT10" s="527">
        <f>+IF(('Monthly Detail'!ES25-'Monthly Detail'!$B$23)&gt;0,('Monthly Detail'!ES25-'Monthly Detail'!$B$23)*'People Plan'!$D$10, 0)</f>
        <v>0</v>
      </c>
      <c r="DU10" s="527">
        <f>+IF(('Monthly Detail'!ET25-'Monthly Detail'!$B$23)&gt;0,('Monthly Detail'!ET25-'Monthly Detail'!$B$23)*'People Plan'!$D$10, 0)</f>
        <v>0</v>
      </c>
      <c r="DV10" s="527">
        <f>+IF(('Monthly Detail'!EU25-'Monthly Detail'!$B$23)&gt;0,('Monthly Detail'!EU25-'Monthly Detail'!$B$23)*'People Plan'!$D$10, 0)</f>
        <v>0</v>
      </c>
      <c r="DW10" s="527">
        <f>+IF(('Monthly Detail'!EV25-'Monthly Detail'!$B$23)&gt;0,('Monthly Detail'!EV25-'Monthly Detail'!$B$23)*'People Plan'!$D$10, 0)</f>
        <v>0</v>
      </c>
      <c r="DX10" s="527">
        <f>+IF(('Monthly Detail'!EW25-'Monthly Detail'!$B$23)&gt;0,('Monthly Detail'!EW25-'Monthly Detail'!$B$23)*'People Plan'!$D$10, 0)</f>
        <v>0</v>
      </c>
      <c r="DY10" s="527">
        <f>+IF(('Monthly Detail'!EX25-'Monthly Detail'!$B$23)&gt;0,('Monthly Detail'!EX25-'Monthly Detail'!$B$23)*'People Plan'!$D$10, 0)</f>
        <v>0</v>
      </c>
      <c r="DZ10" s="527">
        <f>+IF(('Monthly Detail'!EY25-'Monthly Detail'!$B$23)&gt;0,('Monthly Detail'!EY25-'Monthly Detail'!$B$23)*'People Plan'!$D$10, 0)</f>
        <v>0</v>
      </c>
      <c r="EA10" s="527">
        <f>+IF(('Monthly Detail'!EZ25-'Monthly Detail'!$B$23)&gt;0,('Monthly Detail'!EZ25-'Monthly Detail'!$B$23)*'People Plan'!$D$10, 0)</f>
        <v>0</v>
      </c>
      <c r="EB10" s="527">
        <f>+IF(('Monthly Detail'!FA25-'Monthly Detail'!$B$23)&gt;0,('Monthly Detail'!FA25-'Monthly Detail'!$B$23)*'People Plan'!$D$10, 0)</f>
        <v>0</v>
      </c>
      <c r="EC10" s="527">
        <f>+IF(('Monthly Detail'!FB25-'Monthly Detail'!$B$23)&gt;0,('Monthly Detail'!FB25-'Monthly Detail'!$B$23)*'People Plan'!$D$10, 0)</f>
        <v>0</v>
      </c>
      <c r="ED10" s="527">
        <f>+IF(('Monthly Detail'!FC25-'Monthly Detail'!$B$23)&gt;0,('Monthly Detail'!FC25-'Monthly Detail'!$B$23)*'People Plan'!$D$10, 0)</f>
        <v>0</v>
      </c>
      <c r="EE10" s="527">
        <f>+IF(('Monthly Detail'!FD25-'Monthly Detail'!$B$23)&gt;0,('Monthly Detail'!FD25-'Monthly Detail'!$B$23)*'People Plan'!$D$10, 0)</f>
        <v>0</v>
      </c>
      <c r="EF10" s="527">
        <f>+IF(('Monthly Detail'!FE25-'Monthly Detail'!$B$23)&gt;0,('Monthly Detail'!FE25-'Monthly Detail'!$B$23)*'People Plan'!$D$10, 0)</f>
        <v>0</v>
      </c>
      <c r="EG10" s="527">
        <f>+IF(('Monthly Detail'!FF25-'Monthly Detail'!$B$23)&gt;0,('Monthly Detail'!FF25-'Monthly Detail'!$B$23)*'People Plan'!$D$10, 0)</f>
        <v>0</v>
      </c>
      <c r="EH10" s="527">
        <f>+IF(('Monthly Detail'!FG25-'Monthly Detail'!$B$23)&gt;0,('Monthly Detail'!FG25-'Monthly Detail'!$B$23)*'People Plan'!$D$10, 0)</f>
        <v>0</v>
      </c>
      <c r="EI10" s="527">
        <f>+IF(('Monthly Detail'!FH25-'Monthly Detail'!$B$23)&gt;0,('Monthly Detail'!FH25-'Monthly Detail'!$B$23)*'People Plan'!$D$10, 0)</f>
        <v>0</v>
      </c>
      <c r="EJ10" s="527">
        <f>+IF(('Monthly Detail'!FI25-'Monthly Detail'!$B$23)&gt;0,('Monthly Detail'!FI25-'Monthly Detail'!$B$23)*'People Plan'!$D$10, 0)</f>
        <v>0</v>
      </c>
      <c r="EK10" s="527">
        <f>+IF(('Monthly Detail'!FJ25-'Monthly Detail'!$B$23)&gt;0,('Monthly Detail'!FJ25-'Monthly Detail'!$B$23)*'People Plan'!$D$10, 0)</f>
        <v>0</v>
      </c>
      <c r="EL10" s="527">
        <f>+IF(('Monthly Detail'!FK25-'Monthly Detail'!$B$23)&gt;0,('Monthly Detail'!FK25-'Monthly Detail'!$B$23)*'People Plan'!$D$10, 0)</f>
        <v>0</v>
      </c>
      <c r="EM10" s="527">
        <f>+IF(('Monthly Detail'!FL25-'Monthly Detail'!$B$23)&gt;0,('Monthly Detail'!FL25-'Monthly Detail'!$B$23)*'People Plan'!$D$10, 0)</f>
        <v>0</v>
      </c>
      <c r="EN10" s="527">
        <f>+IF(('Monthly Detail'!FM25-'Monthly Detail'!$B$23)&gt;0,('Monthly Detail'!FM25-'Monthly Detail'!$B$23)*'People Plan'!$D$10, 0)</f>
        <v>0</v>
      </c>
      <c r="EO10" s="527">
        <f>+IF(('Monthly Detail'!FN25-'Monthly Detail'!$B$23)&gt;0,('Monthly Detail'!FN25-'Monthly Detail'!$B$23)*'People Plan'!$D$10, 0)</f>
        <v>0</v>
      </c>
      <c r="EP10" s="527">
        <f>+IF(('Monthly Detail'!FO25-'Monthly Detail'!$B$23)&gt;0,('Monthly Detail'!FO25-'Monthly Detail'!$B$23)*'People Plan'!$D$10, 0)</f>
        <v>0</v>
      </c>
      <c r="EQ10" s="527">
        <f>+IF(('Monthly Detail'!FP25-'Monthly Detail'!$B$23)&gt;0,('Monthly Detail'!FP25-'Monthly Detail'!$B$23)*'People Plan'!$D$10, 0)</f>
        <v>0</v>
      </c>
      <c r="ER10" s="527">
        <f>+IF(('Monthly Detail'!FQ25-'Monthly Detail'!$B$23)&gt;0,('Monthly Detail'!FQ25-'Monthly Detail'!$B$23)*'People Plan'!$D$10, 0)</f>
        <v>0</v>
      </c>
      <c r="ES10" s="527">
        <f>+IF(('Monthly Detail'!FR25-'Monthly Detail'!$B$23)&gt;0,('Monthly Detail'!FR25-'Monthly Detail'!$B$23)*'People Plan'!$D$10, 0)</f>
        <v>0</v>
      </c>
      <c r="ET10" s="527">
        <f>+IF(('Monthly Detail'!FS25-'Monthly Detail'!$B$23)&gt;0,('Monthly Detail'!FS25-'Monthly Detail'!$B$23)*'People Plan'!$D$10, 0)</f>
        <v>0</v>
      </c>
      <c r="EU10" s="527">
        <f>+IF(('Monthly Detail'!FT25-'Monthly Detail'!$B$23)&gt;0,('Monthly Detail'!FT25-'Monthly Detail'!$B$23)*'People Plan'!$D$10, 0)</f>
        <v>0</v>
      </c>
      <c r="EV10" s="527">
        <f>+IF(('Monthly Detail'!FU25-'Monthly Detail'!$B$23)&gt;0,('Monthly Detail'!FU25-'Monthly Detail'!$B$23)*'People Plan'!$D$10, 0)</f>
        <v>0</v>
      </c>
      <c r="EW10" s="527">
        <f>+IF(('Monthly Detail'!FV25-'Monthly Detail'!$B$23)&gt;0,('Monthly Detail'!FV25-'Monthly Detail'!$B$23)*'People Plan'!$D$10, 0)</f>
        <v>0</v>
      </c>
      <c r="EX10" s="527">
        <f>+IF(('Monthly Detail'!FW25-'Monthly Detail'!$B$23)&gt;0,('Monthly Detail'!FW25-'Monthly Detail'!$B$23)*'People Plan'!$D$10, 0)</f>
        <v>0</v>
      </c>
      <c r="EY10" s="527">
        <f>+IF(('Monthly Detail'!FX25-'Monthly Detail'!$B$23)&gt;0,('Monthly Detail'!FX25-'Monthly Detail'!$B$23)*'People Plan'!$D$10, 0)</f>
        <v>0</v>
      </c>
      <c r="EZ10" s="527">
        <f>+IF(('Monthly Detail'!FY25-'Monthly Detail'!$B$23)&gt;0,('Monthly Detail'!FY25-'Monthly Detail'!$B$23)*'People Plan'!$D$10, 0)</f>
        <v>0</v>
      </c>
      <c r="FA10" s="527">
        <f>+IF(('Monthly Detail'!FZ25-'Monthly Detail'!$B$23)&gt;0,('Monthly Detail'!FZ25-'Monthly Detail'!$B$23)*'People Plan'!$D$10, 0)</f>
        <v>0</v>
      </c>
      <c r="FB10" s="528">
        <f>+IF(('Monthly Detail'!GA25-'Monthly Detail'!$B$23)&gt;0,('Monthly Detail'!GA25-'Monthly Detail'!$B$23)*'People Plan'!$D$10, 0)</f>
        <v>0</v>
      </c>
    </row>
    <row r="11" spans="2:158" x14ac:dyDescent="0.3">
      <c r="B11" s="538" t="s">
        <v>308</v>
      </c>
      <c r="C11" t="s">
        <v>245</v>
      </c>
      <c r="D11">
        <v>50</v>
      </c>
      <c r="F11" s="7"/>
      <c r="H11" s="526">
        <f>+IF(('Monthly Detail'!AG23-'Monthly Detail'!$B$23)&gt;0,('Monthly Detail'!AG23-'Monthly Detail'!$B$23)*'People Plan'!$D$10, 0)</f>
        <v>0</v>
      </c>
      <c r="I11" s="574">
        <v>150</v>
      </c>
      <c r="J11" s="523">
        <v>750</v>
      </c>
      <c r="K11" s="527">
        <f>+IF(('Monthly Detail'!AJ23-'Monthly Detail'!$B$23)&gt;0,('Monthly Detail'!AJ23-'Monthly Detail'!$B$23)*'People Plan'!$D$10, 0)</f>
        <v>0</v>
      </c>
      <c r="L11" s="527">
        <f>+IF(('Monthly Detail'!AK23-'Monthly Detail'!$B$23)&gt;0,('Monthly Detail'!AK23-'Monthly Detail'!$B$23)*'People Plan'!$D$10, 0)</f>
        <v>0</v>
      </c>
      <c r="M11" s="527">
        <f>+IF(('Monthly Detail'!AL23-'Monthly Detail'!$B$23)&gt;0,('Monthly Detail'!AL23-'Monthly Detail'!$B$23)*'People Plan'!$D$10, 0)</f>
        <v>0</v>
      </c>
      <c r="N11" s="527">
        <f>+IF(('Monthly Detail'!AM23-'Monthly Detail'!$B$23)&gt;0,('Monthly Detail'!AM23-'Monthly Detail'!$B$23)*'People Plan'!$D$10, 0)</f>
        <v>0</v>
      </c>
      <c r="O11" s="527">
        <f>+IF(('Monthly Detail'!AN23-'Monthly Detail'!$B$23)&gt;0,('Monthly Detail'!AN23-'Monthly Detail'!$B$23)*'People Plan'!$D$10, 0)</f>
        <v>0</v>
      </c>
      <c r="P11" s="527">
        <f>+IF(('Monthly Detail'!AO23-'Monthly Detail'!$B$23)&gt;0,('Monthly Detail'!AO23-'Monthly Detail'!$B$23)*'People Plan'!$D$10, 0)</f>
        <v>0</v>
      </c>
      <c r="Q11" s="527">
        <f>+IF(('Monthly Detail'!AP23-'Monthly Detail'!$B$23)&gt;0,('Monthly Detail'!AP23-'Monthly Detail'!$B$23)*'People Plan'!$D$10, 0)</f>
        <v>0</v>
      </c>
      <c r="R11" s="527">
        <f>+IF(('Monthly Detail'!AQ23-'Monthly Detail'!$B$23)&gt;0,('Monthly Detail'!AQ23-'Monthly Detail'!$B$23)*'People Plan'!$D$10, 0)</f>
        <v>0</v>
      </c>
      <c r="S11" s="527">
        <f>+IF(('Monthly Detail'!AR23-'Monthly Detail'!$B$23)&gt;0,('Monthly Detail'!AR23-'Monthly Detail'!$B$23)*'People Plan'!$D$11, 0)</f>
        <v>0</v>
      </c>
      <c r="T11" s="527">
        <f>+IF(('Monthly Detail'!AS23-'Monthly Detail'!$B$23)&gt;0,('Monthly Detail'!AS23-'Monthly Detail'!$B$23)*'People Plan'!$D$10, 0)</f>
        <v>0</v>
      </c>
      <c r="U11" s="527">
        <f>+IF(('Monthly Detail'!AT23-'Monthly Detail'!$B$23)&gt;0,('Monthly Detail'!AT23-'Monthly Detail'!$B$23)*'People Plan'!$D$10, 0)</f>
        <v>0</v>
      </c>
      <c r="V11" s="527">
        <f>+IF(('Monthly Detail'!AU23-'Monthly Detail'!$B$23)&gt;0,('Monthly Detail'!AU23-'Monthly Detail'!$B$23)*'People Plan'!$D$10, 0)</f>
        <v>0</v>
      </c>
      <c r="W11" s="527">
        <f>+IF(('Monthly Detail'!AV23-'Monthly Detail'!$B$23)&gt;0,('Monthly Detail'!AV23-'Monthly Detail'!$B$23)*'People Plan'!$D$10, 0)</f>
        <v>0</v>
      </c>
      <c r="X11" s="527">
        <f>+IF(('Monthly Detail'!AW23-'Monthly Detail'!$B$23)&gt;0,('Monthly Detail'!AW23-'Monthly Detail'!$B$23)*'People Plan'!$D$10, 0)</f>
        <v>0</v>
      </c>
      <c r="Y11" s="527">
        <f>+IF(('Monthly Detail'!AX23-'Monthly Detail'!$B$23)&gt;0,('Monthly Detail'!AX23-'Monthly Detail'!$B$23)*'People Plan'!$D$10, 0)</f>
        <v>0</v>
      </c>
      <c r="Z11" s="527">
        <f>+IF(('Monthly Detail'!AY23-'Monthly Detail'!$B$23)&gt;0,('Monthly Detail'!AY23-'Monthly Detail'!$B$23)*'People Plan'!$D$10, 0)</f>
        <v>0</v>
      </c>
      <c r="AA11" s="527">
        <f>+IF(('Monthly Detail'!AZ23-'Monthly Detail'!$B$23)&gt;0,('Monthly Detail'!AZ23-'Monthly Detail'!$B$23)*'People Plan'!$D$10, 0)</f>
        <v>0</v>
      </c>
      <c r="AB11" s="527">
        <f>+IF(('Monthly Detail'!BA23-'Monthly Detail'!$B$23)&gt;0,('Monthly Detail'!BA23-'Monthly Detail'!$B$23)*'People Plan'!$D$10, 0)</f>
        <v>0</v>
      </c>
      <c r="AC11" s="527">
        <f>+IF(('Monthly Detail'!BB23-'Monthly Detail'!$B$23)&gt;0,('Monthly Detail'!BB23-'Monthly Detail'!$B$23)*'People Plan'!$D$10, 0)</f>
        <v>0</v>
      </c>
      <c r="AD11" s="527">
        <f>+IF(('Monthly Detail'!BC23-'Monthly Detail'!$B$23)&gt;0,('Monthly Detail'!BC23-'Monthly Detail'!$B$23)*'People Plan'!$D$10, 0)</f>
        <v>0</v>
      </c>
      <c r="AE11" s="527">
        <f>+IF(('Monthly Detail'!BD23-'Monthly Detail'!$B$23)&gt;0,('Monthly Detail'!BD23-'Monthly Detail'!$B$23)*'People Plan'!$D$10, 0)</f>
        <v>0</v>
      </c>
      <c r="AF11" s="527">
        <f>+IF(('Monthly Detail'!BE23-'Monthly Detail'!$B$23)&gt;0,('Monthly Detail'!BE23-'Monthly Detail'!$B$23)*'People Plan'!$D$10, 0)</f>
        <v>0</v>
      </c>
      <c r="AG11" s="527">
        <f>+IF(('Monthly Detail'!BF23-'Monthly Detail'!$B$23)&gt;0,('Monthly Detail'!BF23-'Monthly Detail'!$B$23)*'People Plan'!$D$10, 0)</f>
        <v>0</v>
      </c>
      <c r="AH11" s="527">
        <f>+IF(('Monthly Detail'!BG23-'Monthly Detail'!$B$23)&gt;0,('Monthly Detail'!BG23-'Monthly Detail'!$B$23)*'People Plan'!$D$10, 0)</f>
        <v>0</v>
      </c>
      <c r="AI11" s="527">
        <f>+IF(('Monthly Detail'!BH23-'Monthly Detail'!$B$23)&gt;0,('Monthly Detail'!BH23-'Monthly Detail'!$B$23)*'People Plan'!$D$10, 0)</f>
        <v>0</v>
      </c>
      <c r="AJ11" s="527">
        <f>+IF(('Monthly Detail'!BI23-'Monthly Detail'!$B$23)&gt;0,('Monthly Detail'!BI23-'Monthly Detail'!$B$23)*'People Plan'!$D$10, 0)</f>
        <v>0</v>
      </c>
      <c r="AK11" s="527">
        <f>+IF(('Monthly Detail'!BJ23-'Monthly Detail'!$B$23)&gt;0,('Monthly Detail'!BJ23-'Monthly Detail'!$B$23)*'People Plan'!$D$10, 0)</f>
        <v>0</v>
      </c>
      <c r="AL11" s="527">
        <f>+IF(('Monthly Detail'!BK23-'Monthly Detail'!$B$23)&gt;0,('Monthly Detail'!BK23-'Monthly Detail'!$B$23)*'People Plan'!$D$10, 0)</f>
        <v>0</v>
      </c>
      <c r="AM11" s="527">
        <f>+IF(('Monthly Detail'!BL23-'Monthly Detail'!$B$23)&gt;0,('Monthly Detail'!BL23-'Monthly Detail'!$B$23)*'People Plan'!$D$10, 0)</f>
        <v>0</v>
      </c>
      <c r="AN11" s="527">
        <f>+IF(('Monthly Detail'!BM23-'Monthly Detail'!$B$23)&gt;0,('Monthly Detail'!BM23-'Monthly Detail'!$B$23)*'People Plan'!$D$10, 0)</f>
        <v>0</v>
      </c>
      <c r="AO11" s="527">
        <f>+IF(('Monthly Detail'!BN23-'Monthly Detail'!$B$23)&gt;0,('Monthly Detail'!BN23-'Monthly Detail'!$B$23)*'People Plan'!$D$10, 0)</f>
        <v>0</v>
      </c>
      <c r="AP11" s="527">
        <f>+IF(('Monthly Detail'!BO23-'Monthly Detail'!$B$23)&gt;0,('Monthly Detail'!BO23-'Monthly Detail'!$B$23)*'People Plan'!$D$10, 0)</f>
        <v>0</v>
      </c>
      <c r="AQ11" s="527">
        <f>+IF(('Monthly Detail'!BP23-'Monthly Detail'!$B$23)&gt;0,('Monthly Detail'!BP23-'Monthly Detail'!$B$23)*'People Plan'!$D$10, 0)</f>
        <v>0</v>
      </c>
      <c r="AR11" s="527">
        <f>+IF(('Monthly Detail'!BQ23-'Monthly Detail'!$B$23)&gt;0,('Monthly Detail'!BQ23-'Monthly Detail'!$B$23)*'People Plan'!$D$10, 0)</f>
        <v>0</v>
      </c>
      <c r="AS11" s="527">
        <f>+IF(('Monthly Detail'!BR23-'Monthly Detail'!$B$23)&gt;0,('Monthly Detail'!BR23-'Monthly Detail'!$B$23)*'People Plan'!$D$10, 0)</f>
        <v>0</v>
      </c>
      <c r="AT11" s="527">
        <f>+IF(('Monthly Detail'!BS23-'Monthly Detail'!$B$23)&gt;0,('Monthly Detail'!BS23-'Monthly Detail'!$B$23)*'People Plan'!$D$10, 0)</f>
        <v>0</v>
      </c>
      <c r="AU11" s="527">
        <f>+IF(('Monthly Detail'!BT23-'Monthly Detail'!$B$23)&gt;0,('Monthly Detail'!BT23-'Monthly Detail'!$B$23)*'People Plan'!$D$10, 0)</f>
        <v>0</v>
      </c>
      <c r="AV11" s="527">
        <f>+IF(('Monthly Detail'!BU23-'Monthly Detail'!$B$23)&gt;0,('Monthly Detail'!BU23-'Monthly Detail'!$B$23)*'People Plan'!$D$10, 0)</f>
        <v>0</v>
      </c>
      <c r="AW11" s="527">
        <f>+IF(('Monthly Detail'!BV23-'Monthly Detail'!$B$23)&gt;0,('Monthly Detail'!BV23-'Monthly Detail'!$B$23)*'People Plan'!$D$10, 0)</f>
        <v>0</v>
      </c>
      <c r="AX11" s="527">
        <f>+IF(('Monthly Detail'!BW23-'Monthly Detail'!$B$23)&gt;0,('Monthly Detail'!BW23-'Monthly Detail'!$B$23)*'People Plan'!$D$10, 0)</f>
        <v>0</v>
      </c>
      <c r="AY11" s="527">
        <f>+IF(('Monthly Detail'!BX23-'Monthly Detail'!$B$23)&gt;0,('Monthly Detail'!BX23-'Monthly Detail'!$B$23)*'People Plan'!$D$10, 0)</f>
        <v>0</v>
      </c>
      <c r="AZ11" s="527">
        <f>+IF(('Monthly Detail'!BY23-'Monthly Detail'!$B$23)&gt;0,('Monthly Detail'!BY23-'Monthly Detail'!$B$23)*'People Plan'!$D$10, 0)</f>
        <v>0</v>
      </c>
      <c r="BA11" s="527">
        <f>+IF(('Monthly Detail'!BZ23-'Monthly Detail'!$B$23)&gt;0,('Monthly Detail'!BZ23-'Monthly Detail'!$B$23)*'People Plan'!$D$10, 0)</f>
        <v>0</v>
      </c>
      <c r="BB11" s="527">
        <f>+IF(('Monthly Detail'!CA23-'Monthly Detail'!$B$23)&gt;0,('Monthly Detail'!CA23-'Monthly Detail'!$B$23)*'People Plan'!$D$10, 0)</f>
        <v>0</v>
      </c>
      <c r="BC11" s="527">
        <f>+IF(('Monthly Detail'!CB23-'Monthly Detail'!$B$23)&gt;0,('Monthly Detail'!CB23-'Monthly Detail'!$B$23)*'People Plan'!$D$10, 0)</f>
        <v>0</v>
      </c>
      <c r="BD11" s="527">
        <f>+IF(('Monthly Detail'!CC23-'Monthly Detail'!$B$23)&gt;0,('Monthly Detail'!CC23-'Monthly Detail'!$B$23)*'People Plan'!$D$10, 0)</f>
        <v>0</v>
      </c>
      <c r="BE11" s="527">
        <f>+IF(('Monthly Detail'!CD23-'Monthly Detail'!$B$23)&gt;0,('Monthly Detail'!CD23-'Monthly Detail'!$B$23)*'People Plan'!$D$10, 0)</f>
        <v>0</v>
      </c>
      <c r="BF11" s="527">
        <f>+IF(('Monthly Detail'!CE23-'Monthly Detail'!$B$23)&gt;0,('Monthly Detail'!CE23-'Monthly Detail'!$B$23)*'People Plan'!$D$10, 0)</f>
        <v>0</v>
      </c>
      <c r="BG11" s="527">
        <f>+IF(('Monthly Detail'!CF23-'Monthly Detail'!$B$23)&gt;0,('Monthly Detail'!CF23-'Monthly Detail'!$B$23)*'People Plan'!$D$10, 0)</f>
        <v>0</v>
      </c>
      <c r="BH11" s="527">
        <f>+IF(('Monthly Detail'!CG23-'Monthly Detail'!$B$23)&gt;0,('Monthly Detail'!CG23-'Monthly Detail'!$B$23)*'People Plan'!$D$10, 0)</f>
        <v>0</v>
      </c>
      <c r="BI11" s="527">
        <f>+IF(('Monthly Detail'!CH23-'Monthly Detail'!$B$23)&gt;0,('Monthly Detail'!CH23-'Monthly Detail'!$B$23)*'People Plan'!$D$10, 0)</f>
        <v>0</v>
      </c>
      <c r="BJ11" s="527">
        <f>+IF(('Monthly Detail'!CI23-'Monthly Detail'!$B$23)&gt;0,('Monthly Detail'!CI23-'Monthly Detail'!$B$23)*'People Plan'!$D$10, 0)</f>
        <v>0</v>
      </c>
      <c r="BK11" s="527">
        <f>+IF(('Monthly Detail'!CJ23-'Monthly Detail'!$B$23)&gt;0,('Monthly Detail'!CJ23-'Monthly Detail'!$B$23)*'People Plan'!$D$10, 0)</f>
        <v>0</v>
      </c>
      <c r="BL11" s="527">
        <f>+IF(('Monthly Detail'!CK23-'Monthly Detail'!$B$23)&gt;0,('Monthly Detail'!CK23-'Monthly Detail'!$B$23)*'People Plan'!$D$10, 0)</f>
        <v>0</v>
      </c>
      <c r="BM11" s="527">
        <f>+IF(('Monthly Detail'!CL23-'Monthly Detail'!$B$23)&gt;0,('Monthly Detail'!CL23-'Monthly Detail'!$B$23)*'People Plan'!$D$10, 0)</f>
        <v>0</v>
      </c>
      <c r="BN11" s="527">
        <f>+IF(('Monthly Detail'!CM23-'Monthly Detail'!$B$23)&gt;0,('Monthly Detail'!CM23-'Monthly Detail'!$B$23)*'People Plan'!$D$10, 0)</f>
        <v>0</v>
      </c>
      <c r="BO11" s="527">
        <f>+IF(('Monthly Detail'!CN23-'Monthly Detail'!$B$23)&gt;0,('Monthly Detail'!CN23-'Monthly Detail'!$B$23)*'People Plan'!$D$10, 0)</f>
        <v>0</v>
      </c>
      <c r="BP11" s="527">
        <f>+IF(('Monthly Detail'!CO23-'Monthly Detail'!$B$23)&gt;0,('Monthly Detail'!CO23-'Monthly Detail'!$B$23)*'People Plan'!$D$10, 0)</f>
        <v>0</v>
      </c>
      <c r="BQ11" s="527">
        <f>+IF(('Monthly Detail'!CP23-'Monthly Detail'!$B$23)&gt;0,('Monthly Detail'!CP23-'Monthly Detail'!$B$23)*'People Plan'!$D$10, 0)</f>
        <v>0</v>
      </c>
      <c r="BR11" s="527">
        <f>+IF(('Monthly Detail'!CQ23-'Monthly Detail'!$B$23)&gt;0,('Monthly Detail'!CQ23-'Monthly Detail'!$B$23)*'People Plan'!$D$10, 0)</f>
        <v>0</v>
      </c>
      <c r="BS11" s="527">
        <f>+IF(('Monthly Detail'!CR23-'Monthly Detail'!$B$23)&gt;0,('Monthly Detail'!CR23-'Monthly Detail'!$B$23)*'People Plan'!$D$10, 0)</f>
        <v>0</v>
      </c>
      <c r="BT11" s="527">
        <f>+IF(('Monthly Detail'!CS23-'Monthly Detail'!$B$23)&gt;0,('Monthly Detail'!CS23-'Monthly Detail'!$B$23)*'People Plan'!$D$10, 0)</f>
        <v>0</v>
      </c>
      <c r="BU11" s="527">
        <f>+IF(('Monthly Detail'!CT23-'Monthly Detail'!$B$23)&gt;0,('Monthly Detail'!CT23-'Monthly Detail'!$B$23)*'People Plan'!$D$10, 0)</f>
        <v>0</v>
      </c>
      <c r="BV11" s="527">
        <f>+IF(('Monthly Detail'!CU23-'Monthly Detail'!$B$23)&gt;0,('Monthly Detail'!CU23-'Monthly Detail'!$B$23)*'People Plan'!$D$10, 0)</f>
        <v>0</v>
      </c>
      <c r="BW11" s="527">
        <f>+IF(('Monthly Detail'!CV23-'Monthly Detail'!$B$23)&gt;0,('Monthly Detail'!CV23-'Monthly Detail'!$B$23)*'People Plan'!$D$10, 0)</f>
        <v>0</v>
      </c>
      <c r="BX11" s="527">
        <f>+IF(('Monthly Detail'!CW23-'Monthly Detail'!$B$23)&gt;0,('Monthly Detail'!CW23-'Monthly Detail'!$B$23)*'People Plan'!$D$10, 0)</f>
        <v>0</v>
      </c>
      <c r="BY11" s="527">
        <f>+IF(('Monthly Detail'!CX23-'Monthly Detail'!$B$23)&gt;0,('Monthly Detail'!CX23-'Monthly Detail'!$B$23)*'People Plan'!$D$10, 0)</f>
        <v>0</v>
      </c>
      <c r="BZ11" s="527">
        <f>+IF(('Monthly Detail'!CY23-'Monthly Detail'!$B$23)&gt;0,('Monthly Detail'!CY23-'Monthly Detail'!$B$23)*'People Plan'!$D$10, 0)</f>
        <v>0</v>
      </c>
      <c r="CA11" s="527">
        <f>+IF(('Monthly Detail'!CZ23-'Monthly Detail'!$B$23)&gt;0,('Monthly Detail'!CZ23-'Monthly Detail'!$B$23)*'People Plan'!$D$10, 0)</f>
        <v>0</v>
      </c>
      <c r="CB11" s="527">
        <f>+IF(('Monthly Detail'!DA23-'Monthly Detail'!$B$23)&gt;0,('Monthly Detail'!DA23-'Monthly Detail'!$B$23)*'People Plan'!$D$10, 0)</f>
        <v>0</v>
      </c>
      <c r="CC11" s="527">
        <f>+IF(('Monthly Detail'!DB23-'Monthly Detail'!$B$23)&gt;0,('Monthly Detail'!DB23-'Monthly Detail'!$B$23)*'People Plan'!$D$10, 0)</f>
        <v>0</v>
      </c>
      <c r="CD11" s="527">
        <f>+IF(('Monthly Detail'!DC23-'Monthly Detail'!$B$23)&gt;0,('Monthly Detail'!DC23-'Monthly Detail'!$B$23)*'People Plan'!$D$10, 0)</f>
        <v>0</v>
      </c>
      <c r="CE11" s="527">
        <f>+IF(('Monthly Detail'!DD23-'Monthly Detail'!$B$23)&gt;0,('Monthly Detail'!DD23-'Monthly Detail'!$B$23)*'People Plan'!$D$10, 0)</f>
        <v>0</v>
      </c>
      <c r="CF11" s="527">
        <f>+IF(('Monthly Detail'!DE23-'Monthly Detail'!$B$23)&gt;0,('Monthly Detail'!DE23-'Monthly Detail'!$B$23)*'People Plan'!$D$10, 0)</f>
        <v>0</v>
      </c>
      <c r="CG11" s="527">
        <f>+IF(('Monthly Detail'!DF23-'Monthly Detail'!$B$23)&gt;0,('Monthly Detail'!DF23-'Monthly Detail'!$B$23)*'People Plan'!$D$10, 0)</f>
        <v>0</v>
      </c>
      <c r="CH11" s="527">
        <f>+IF(('Monthly Detail'!DG23-'Monthly Detail'!$B$23)&gt;0,('Monthly Detail'!DG23-'Monthly Detail'!$B$23)*'People Plan'!$D$10, 0)</f>
        <v>0</v>
      </c>
      <c r="CI11" s="527">
        <f>+IF(('Monthly Detail'!DH23-'Monthly Detail'!$B$23)&gt;0,('Monthly Detail'!DH23-'Monthly Detail'!$B$23)*'People Plan'!$D$10, 0)</f>
        <v>0</v>
      </c>
      <c r="CJ11" s="527">
        <f>+IF(('Monthly Detail'!DI23-'Monthly Detail'!$B$23)&gt;0,('Monthly Detail'!DI23-'Monthly Detail'!$B$23)*'People Plan'!$D$10, 0)</f>
        <v>0</v>
      </c>
      <c r="CK11" s="527">
        <f>+IF(('Monthly Detail'!DJ23-'Monthly Detail'!$B$23)&gt;0,('Monthly Detail'!DJ23-'Monthly Detail'!$B$23)*'People Plan'!$D$10, 0)</f>
        <v>0</v>
      </c>
      <c r="CL11" s="527">
        <f>+IF(('Monthly Detail'!DK23-'Monthly Detail'!$B$23)&gt;0,('Monthly Detail'!DK23-'Monthly Detail'!$B$23)*'People Plan'!$D$10, 0)</f>
        <v>0</v>
      </c>
      <c r="CM11" s="527">
        <f>+IF(('Monthly Detail'!DL23-'Monthly Detail'!$B$23)&gt;0,('Monthly Detail'!DL23-'Monthly Detail'!$B$23)*'People Plan'!$D$10, 0)</f>
        <v>0</v>
      </c>
      <c r="CN11" s="527">
        <f>+IF(('Monthly Detail'!DM23-'Monthly Detail'!$B$23)&gt;0,('Monthly Detail'!DM23-'Monthly Detail'!$B$23)*'People Plan'!$D$10, 0)</f>
        <v>0</v>
      </c>
      <c r="CO11" s="527">
        <f>+IF(('Monthly Detail'!DN23-'Monthly Detail'!$B$23)&gt;0,('Monthly Detail'!DN23-'Monthly Detail'!$B$23)*'People Plan'!$D$10, 0)</f>
        <v>0</v>
      </c>
      <c r="CP11" s="527">
        <f>+IF(('Monthly Detail'!DO23-'Monthly Detail'!$B$23)&gt;0,('Monthly Detail'!DO23-'Monthly Detail'!$B$23)*'People Plan'!$D$10, 0)</f>
        <v>0</v>
      </c>
      <c r="CQ11" s="527">
        <f>+IF(('Monthly Detail'!DP23-'Monthly Detail'!$B$23)&gt;0,('Monthly Detail'!DP23-'Monthly Detail'!$B$23)*'People Plan'!$D$10, 0)</f>
        <v>0</v>
      </c>
      <c r="CR11" s="527">
        <f>+IF(('Monthly Detail'!DQ23-'Monthly Detail'!$B$23)&gt;0,('Monthly Detail'!DQ23-'Monthly Detail'!$B$23)*'People Plan'!$D$10, 0)</f>
        <v>0</v>
      </c>
      <c r="CS11" s="527">
        <f>+IF(('Monthly Detail'!DR23-'Monthly Detail'!$B$23)&gt;0,('Monthly Detail'!DR23-'Monthly Detail'!$B$23)*'People Plan'!$D$10, 0)</f>
        <v>0</v>
      </c>
      <c r="CT11" s="527">
        <f>+IF(('Monthly Detail'!DS23-'Monthly Detail'!$B$23)&gt;0,('Monthly Detail'!DS23-'Monthly Detail'!$B$23)*'People Plan'!$D$10, 0)</f>
        <v>0</v>
      </c>
      <c r="CU11" s="527">
        <f>+IF(('Monthly Detail'!DT23-'Monthly Detail'!$B$23)&gt;0,('Monthly Detail'!DT23-'Monthly Detail'!$B$23)*'People Plan'!$D$10, 0)</f>
        <v>0</v>
      </c>
      <c r="CV11" s="527">
        <f>+IF(('Monthly Detail'!DU23-'Monthly Detail'!$B$23)&gt;0,('Monthly Detail'!DU23-'Monthly Detail'!$B$23)*'People Plan'!$D$10, 0)</f>
        <v>0</v>
      </c>
      <c r="CW11" s="527">
        <f>+IF(('Monthly Detail'!DV23-'Monthly Detail'!$B$23)&gt;0,('Monthly Detail'!DV23-'Monthly Detail'!$B$23)*'People Plan'!$D$10, 0)</f>
        <v>0</v>
      </c>
      <c r="CX11" s="527">
        <f>+IF(('Monthly Detail'!DW23-'Monthly Detail'!$B$23)&gt;0,('Monthly Detail'!DW23-'Monthly Detail'!$B$23)*'People Plan'!$D$10, 0)</f>
        <v>0</v>
      </c>
      <c r="CY11" s="527">
        <f>+IF(('Monthly Detail'!DX23-'Monthly Detail'!$B$23)&gt;0,('Monthly Detail'!DX23-'Monthly Detail'!$B$23)*'People Plan'!$D$10, 0)</f>
        <v>0</v>
      </c>
      <c r="CZ11" s="527">
        <f>+IF(('Monthly Detail'!DY23-'Monthly Detail'!$B$23)&gt;0,('Monthly Detail'!DY23-'Monthly Detail'!$B$23)*'People Plan'!$D$10, 0)</f>
        <v>0</v>
      </c>
      <c r="DA11" s="527">
        <f>+IF(('Monthly Detail'!DZ23-'Monthly Detail'!$B$23)&gt;0,('Monthly Detail'!DZ23-'Monthly Detail'!$B$23)*'People Plan'!$D$10, 0)</f>
        <v>0</v>
      </c>
      <c r="DB11" s="527">
        <f>+IF(('Monthly Detail'!EA23-'Monthly Detail'!$B$23)&gt;0,('Monthly Detail'!EA23-'Monthly Detail'!$B$23)*'People Plan'!$D$10, 0)</f>
        <v>0</v>
      </c>
      <c r="DC11" s="527">
        <f>+IF(('Monthly Detail'!EB23-'Monthly Detail'!$B$23)&gt;0,('Monthly Detail'!EB23-'Monthly Detail'!$B$23)*'People Plan'!$D$10, 0)</f>
        <v>0</v>
      </c>
      <c r="DD11" s="527">
        <f>+IF(('Monthly Detail'!EC23-'Monthly Detail'!$B$23)&gt;0,('Monthly Detail'!EC23-'Monthly Detail'!$B$23)*'People Plan'!$D$10, 0)</f>
        <v>0</v>
      </c>
      <c r="DE11" s="527">
        <f>+IF(('Monthly Detail'!ED23-'Monthly Detail'!$B$23)&gt;0,('Monthly Detail'!ED23-'Monthly Detail'!$B$23)*'People Plan'!$D$10, 0)</f>
        <v>0</v>
      </c>
      <c r="DF11" s="527">
        <f>+IF(('Monthly Detail'!EE23-'Monthly Detail'!$B$23)&gt;0,('Monthly Detail'!EE23-'Monthly Detail'!$B$23)*'People Plan'!$D$10, 0)</f>
        <v>0</v>
      </c>
      <c r="DG11" s="527">
        <f>+IF(('Monthly Detail'!EF23-'Monthly Detail'!$B$23)&gt;0,('Monthly Detail'!EF23-'Monthly Detail'!$B$23)*'People Plan'!$D$10, 0)</f>
        <v>0</v>
      </c>
      <c r="DH11" s="527">
        <f>+IF(('Monthly Detail'!EG23-'Monthly Detail'!$B$23)&gt;0,('Monthly Detail'!EG23-'Monthly Detail'!$B$23)*'People Plan'!$D$10, 0)</f>
        <v>0</v>
      </c>
      <c r="DI11" s="527">
        <f>+IF(('Monthly Detail'!EH23-'Monthly Detail'!$B$23)&gt;0,('Monthly Detail'!EH23-'Monthly Detail'!$B$23)*'People Plan'!$D$10, 0)</f>
        <v>0</v>
      </c>
      <c r="DJ11" s="527">
        <f>+IF(('Monthly Detail'!EI23-'Monthly Detail'!$B$23)&gt;0,('Monthly Detail'!EI23-'Monthly Detail'!$B$23)*'People Plan'!$D$10, 0)</f>
        <v>0</v>
      </c>
      <c r="DK11" s="527">
        <f>+IF(('Monthly Detail'!EJ23-'Monthly Detail'!$B$23)&gt;0,('Monthly Detail'!EJ23-'Monthly Detail'!$B$23)*'People Plan'!$D$10, 0)</f>
        <v>0</v>
      </c>
      <c r="DL11" s="527">
        <f>+IF(('Monthly Detail'!EK23-'Monthly Detail'!$B$23)&gt;0,('Monthly Detail'!EK23-'Monthly Detail'!$B$23)*'People Plan'!$D$10, 0)</f>
        <v>0</v>
      </c>
      <c r="DM11" s="527">
        <f>+IF(('Monthly Detail'!EL23-'Monthly Detail'!$B$23)&gt;0,('Monthly Detail'!EL23-'Monthly Detail'!$B$23)*'People Plan'!$D$10, 0)</f>
        <v>0</v>
      </c>
      <c r="DN11" s="527">
        <f>+IF(('Monthly Detail'!EM23-'Monthly Detail'!$B$23)&gt;0,('Monthly Detail'!EM23-'Monthly Detail'!$B$23)*'People Plan'!$D$10, 0)</f>
        <v>0</v>
      </c>
      <c r="DO11" s="527">
        <f>+IF(('Monthly Detail'!EN23-'Monthly Detail'!$B$23)&gt;0,('Monthly Detail'!EN23-'Monthly Detail'!$B$23)*'People Plan'!$D$10, 0)</f>
        <v>0</v>
      </c>
      <c r="DP11" s="527">
        <f>+IF(('Monthly Detail'!EO23-'Monthly Detail'!$B$23)&gt;0,('Monthly Detail'!EO23-'Monthly Detail'!$B$23)*'People Plan'!$D$10, 0)</f>
        <v>0</v>
      </c>
      <c r="DQ11" s="527">
        <f>+IF(('Monthly Detail'!EP23-'Monthly Detail'!$B$23)&gt;0,('Monthly Detail'!EP23-'Monthly Detail'!$B$23)*'People Plan'!$D$10, 0)</f>
        <v>0</v>
      </c>
      <c r="DR11" s="527">
        <f>+IF(('Monthly Detail'!EQ23-'Monthly Detail'!$B$23)&gt;0,('Monthly Detail'!EQ23-'Monthly Detail'!$B$23)*'People Plan'!$D$10, 0)</f>
        <v>0</v>
      </c>
      <c r="DS11" s="527">
        <f>+IF(('Monthly Detail'!ER23-'Monthly Detail'!$B$23)&gt;0,('Monthly Detail'!ER23-'Monthly Detail'!$B$23)*'People Plan'!$D$10, 0)</f>
        <v>0</v>
      </c>
      <c r="DT11" s="527">
        <f>+IF(('Monthly Detail'!ES23-'Monthly Detail'!$B$23)&gt;0,('Monthly Detail'!ES23-'Monthly Detail'!$B$23)*'People Plan'!$D$10, 0)</f>
        <v>0</v>
      </c>
      <c r="DU11" s="527">
        <f>+IF(('Monthly Detail'!ET23-'Monthly Detail'!$B$23)&gt;0,('Monthly Detail'!ET23-'Monthly Detail'!$B$23)*'People Plan'!$D$10, 0)</f>
        <v>0</v>
      </c>
      <c r="DV11" s="527">
        <f>+IF(('Monthly Detail'!EU23-'Monthly Detail'!$B$23)&gt;0,('Monthly Detail'!EU23-'Monthly Detail'!$B$23)*'People Plan'!$D$10, 0)</f>
        <v>0</v>
      </c>
      <c r="DW11" s="527">
        <f>+IF(('Monthly Detail'!EV23-'Monthly Detail'!$B$23)&gt;0,('Monthly Detail'!EV23-'Monthly Detail'!$B$23)*'People Plan'!$D$10, 0)</f>
        <v>0</v>
      </c>
      <c r="DX11" s="527">
        <f>+IF(('Monthly Detail'!EW23-'Monthly Detail'!$B$23)&gt;0,('Monthly Detail'!EW23-'Monthly Detail'!$B$23)*'People Plan'!$D$10, 0)</f>
        <v>0</v>
      </c>
      <c r="DY11" s="527">
        <f>+IF(('Monthly Detail'!EX23-'Monthly Detail'!$B$23)&gt;0,('Monthly Detail'!EX23-'Monthly Detail'!$B$23)*'People Plan'!$D$10, 0)</f>
        <v>0</v>
      </c>
      <c r="DZ11" s="527">
        <f>+IF(('Monthly Detail'!EY23-'Monthly Detail'!$B$23)&gt;0,('Monthly Detail'!EY23-'Monthly Detail'!$B$23)*'People Plan'!$D$10, 0)</f>
        <v>0</v>
      </c>
      <c r="EA11" s="527">
        <f>+IF(('Monthly Detail'!EZ23-'Monthly Detail'!$B$23)&gt;0,('Monthly Detail'!EZ23-'Monthly Detail'!$B$23)*'People Plan'!$D$10, 0)</f>
        <v>0</v>
      </c>
      <c r="EB11" s="527">
        <f>+IF(('Monthly Detail'!FA23-'Monthly Detail'!$B$23)&gt;0,('Monthly Detail'!FA23-'Monthly Detail'!$B$23)*'People Plan'!$D$10, 0)</f>
        <v>0</v>
      </c>
      <c r="EC11" s="527">
        <f>+IF(('Monthly Detail'!FB23-'Monthly Detail'!$B$23)&gt;0,('Monthly Detail'!FB23-'Monthly Detail'!$B$23)*'People Plan'!$D$10, 0)</f>
        <v>0</v>
      </c>
      <c r="ED11" s="527">
        <f>+IF(('Monthly Detail'!FC23-'Monthly Detail'!$B$23)&gt;0,('Monthly Detail'!FC23-'Monthly Detail'!$B$23)*'People Plan'!$D$10, 0)</f>
        <v>0</v>
      </c>
      <c r="EE11" s="527">
        <f>+IF(('Monthly Detail'!FD23-'Monthly Detail'!$B$23)&gt;0,('Monthly Detail'!FD23-'Monthly Detail'!$B$23)*'People Plan'!$D$10, 0)</f>
        <v>0</v>
      </c>
      <c r="EF11" s="527">
        <f>+IF(('Monthly Detail'!FE23-'Monthly Detail'!$B$23)&gt;0,('Monthly Detail'!FE23-'Monthly Detail'!$B$23)*'People Plan'!$D$10, 0)</f>
        <v>0</v>
      </c>
      <c r="EG11" s="527">
        <f>+IF(('Monthly Detail'!FF23-'Monthly Detail'!$B$23)&gt;0,('Monthly Detail'!FF23-'Monthly Detail'!$B$23)*'People Plan'!$D$10, 0)</f>
        <v>0</v>
      </c>
      <c r="EH11" s="527">
        <f>+IF(('Monthly Detail'!FG23-'Monthly Detail'!$B$23)&gt;0,('Monthly Detail'!FG23-'Monthly Detail'!$B$23)*'People Plan'!$D$10, 0)</f>
        <v>0</v>
      </c>
      <c r="EI11" s="527">
        <f>+IF(('Monthly Detail'!FH23-'Monthly Detail'!$B$23)&gt;0,('Monthly Detail'!FH23-'Monthly Detail'!$B$23)*'People Plan'!$D$10, 0)</f>
        <v>0</v>
      </c>
      <c r="EJ11" s="527">
        <f>+IF(('Monthly Detail'!FI23-'Monthly Detail'!$B$23)&gt;0,('Monthly Detail'!FI23-'Monthly Detail'!$B$23)*'People Plan'!$D$10, 0)</f>
        <v>0</v>
      </c>
      <c r="EK11" s="527">
        <f>+IF(('Monthly Detail'!FJ23-'Monthly Detail'!$B$23)&gt;0,('Monthly Detail'!FJ23-'Monthly Detail'!$B$23)*'People Plan'!$D$10, 0)</f>
        <v>0</v>
      </c>
      <c r="EL11" s="527">
        <f>+IF(('Monthly Detail'!FK23-'Monthly Detail'!$B$23)&gt;0,('Monthly Detail'!FK23-'Monthly Detail'!$B$23)*'People Plan'!$D$10, 0)</f>
        <v>0</v>
      </c>
      <c r="EM11" s="527">
        <f>+IF(('Monthly Detail'!FL23-'Monthly Detail'!$B$23)&gt;0,('Monthly Detail'!FL23-'Monthly Detail'!$B$23)*'People Plan'!$D$10, 0)</f>
        <v>0</v>
      </c>
      <c r="EN11" s="527">
        <f>+IF(('Monthly Detail'!FM23-'Monthly Detail'!$B$23)&gt;0,('Monthly Detail'!FM23-'Monthly Detail'!$B$23)*'People Plan'!$D$10, 0)</f>
        <v>0</v>
      </c>
      <c r="EO11" s="527">
        <f>+IF(('Monthly Detail'!FN23-'Monthly Detail'!$B$23)&gt;0,('Monthly Detail'!FN23-'Monthly Detail'!$B$23)*'People Plan'!$D$10, 0)</f>
        <v>0</v>
      </c>
      <c r="EP11" s="527">
        <f>+IF(('Monthly Detail'!FO23-'Monthly Detail'!$B$23)&gt;0,('Monthly Detail'!FO23-'Monthly Detail'!$B$23)*'People Plan'!$D$10, 0)</f>
        <v>0</v>
      </c>
      <c r="EQ11" s="527">
        <f>+IF(('Monthly Detail'!FP23-'Monthly Detail'!$B$23)&gt;0,('Monthly Detail'!FP23-'Monthly Detail'!$B$23)*'People Plan'!$D$10, 0)</f>
        <v>0</v>
      </c>
      <c r="ER11" s="527">
        <f>+IF(('Monthly Detail'!FQ23-'Monthly Detail'!$B$23)&gt;0,('Monthly Detail'!FQ23-'Monthly Detail'!$B$23)*'People Plan'!$D$10, 0)</f>
        <v>0</v>
      </c>
      <c r="ES11" s="527">
        <f>+IF(('Monthly Detail'!FR23-'Monthly Detail'!$B$23)&gt;0,('Monthly Detail'!FR23-'Monthly Detail'!$B$23)*'People Plan'!$D$10, 0)</f>
        <v>0</v>
      </c>
      <c r="ET11" s="527">
        <f>+IF(('Monthly Detail'!FS23-'Monthly Detail'!$B$23)&gt;0,('Monthly Detail'!FS23-'Monthly Detail'!$B$23)*'People Plan'!$D$10, 0)</f>
        <v>0</v>
      </c>
      <c r="EU11" s="527">
        <f>+IF(('Monthly Detail'!FT23-'Monthly Detail'!$B$23)&gt;0,('Monthly Detail'!FT23-'Monthly Detail'!$B$23)*'People Plan'!$D$10, 0)</f>
        <v>0</v>
      </c>
      <c r="EV11" s="527">
        <f>+IF(('Monthly Detail'!FU23-'Monthly Detail'!$B$23)&gt;0,('Monthly Detail'!FU23-'Monthly Detail'!$B$23)*'People Plan'!$D$10, 0)</f>
        <v>0</v>
      </c>
      <c r="EW11" s="527">
        <f>+IF(('Monthly Detail'!FV23-'Monthly Detail'!$B$23)&gt;0,('Monthly Detail'!FV23-'Monthly Detail'!$B$23)*'People Plan'!$D$10, 0)</f>
        <v>0</v>
      </c>
      <c r="EX11" s="527">
        <f>+IF(('Monthly Detail'!FW23-'Monthly Detail'!$B$23)&gt;0,('Monthly Detail'!FW23-'Monthly Detail'!$B$23)*'People Plan'!$D$10, 0)</f>
        <v>0</v>
      </c>
      <c r="EY11" s="527">
        <f>+IF(('Monthly Detail'!FX23-'Monthly Detail'!$B$23)&gt;0,('Monthly Detail'!FX23-'Monthly Detail'!$B$23)*'People Plan'!$D$10, 0)</f>
        <v>0</v>
      </c>
      <c r="EZ11" s="527">
        <f>+IF(('Monthly Detail'!FY23-'Monthly Detail'!$B$23)&gt;0,('Monthly Detail'!FY23-'Monthly Detail'!$B$23)*'People Plan'!$D$10, 0)</f>
        <v>0</v>
      </c>
      <c r="FA11" s="527">
        <f>+IF(('Monthly Detail'!FZ23-'Monthly Detail'!$B$23)&gt;0,('Monthly Detail'!FZ23-'Monthly Detail'!$B$23)*'People Plan'!$D$10, 0)</f>
        <v>0</v>
      </c>
      <c r="FB11" s="528">
        <f>+IF(('Monthly Detail'!GA23-'Monthly Detail'!$B$23)&gt;0,('Monthly Detail'!GA23-'Monthly Detail'!$B$23)*'People Plan'!$D$10, 0)</f>
        <v>0</v>
      </c>
    </row>
    <row r="12" spans="2:158" x14ac:dyDescent="0.3">
      <c r="B12" s="538"/>
      <c r="F12" s="7"/>
      <c r="H12" s="524"/>
      <c r="J12" s="196"/>
      <c r="FB12" s="525"/>
    </row>
    <row r="13" spans="2:158" x14ac:dyDescent="0.3">
      <c r="B13" s="538"/>
      <c r="F13" s="7" t="s">
        <v>328</v>
      </c>
      <c r="H13" s="529">
        <f>SUM(H10:H12)</f>
        <v>0</v>
      </c>
      <c r="I13" s="527">
        <f t="shared" ref="I13:BT13" si="150">SUM(I10:I12)</f>
        <v>150</v>
      </c>
      <c r="J13" s="522">
        <f t="shared" si="150"/>
        <v>750</v>
      </c>
      <c r="K13" s="527">
        <f t="shared" si="150"/>
        <v>912.5</v>
      </c>
      <c r="L13" s="527">
        <f t="shared" si="150"/>
        <v>3542.96875</v>
      </c>
      <c r="M13" s="527">
        <f t="shared" si="150"/>
        <v>0</v>
      </c>
      <c r="N13" s="527">
        <f t="shared" si="150"/>
        <v>0</v>
      </c>
      <c r="O13" s="527">
        <f t="shared" si="150"/>
        <v>0</v>
      </c>
      <c r="P13" s="527">
        <f t="shared" si="150"/>
        <v>750.63492063491992</v>
      </c>
      <c r="Q13" s="527">
        <f t="shared" si="150"/>
        <v>0</v>
      </c>
      <c r="R13" s="527">
        <f t="shared" si="150"/>
        <v>0</v>
      </c>
      <c r="S13" s="527">
        <f t="shared" si="150"/>
        <v>427.47826086956309</v>
      </c>
      <c r="T13" s="527">
        <f t="shared" si="150"/>
        <v>0</v>
      </c>
      <c r="U13" s="527">
        <f t="shared" si="150"/>
        <v>537.49999999999864</v>
      </c>
      <c r="V13" s="527">
        <f t="shared" si="150"/>
        <v>3776.495215311003</v>
      </c>
      <c r="W13" s="527">
        <f t="shared" si="150"/>
        <v>1432.2278911564608</v>
      </c>
      <c r="X13" s="527">
        <f t="shared" si="150"/>
        <v>4655.8061079545441</v>
      </c>
      <c r="Y13" s="527">
        <f t="shared" si="150"/>
        <v>0</v>
      </c>
      <c r="Z13" s="527">
        <f t="shared" si="150"/>
        <v>0</v>
      </c>
      <c r="AA13" s="527">
        <f t="shared" si="150"/>
        <v>0</v>
      </c>
      <c r="AB13" s="527">
        <f t="shared" si="150"/>
        <v>3219.7777777777715</v>
      </c>
      <c r="AC13" s="527">
        <f t="shared" si="150"/>
        <v>181.83095238094751</v>
      </c>
      <c r="AD13" s="527">
        <f t="shared" si="150"/>
        <v>2054.3529411764653</v>
      </c>
      <c r="AE13" s="527">
        <f t="shared" si="150"/>
        <v>2755.2565217391234</v>
      </c>
      <c r="AF13" s="527">
        <f t="shared" si="150"/>
        <v>0</v>
      </c>
      <c r="AG13" s="527">
        <f t="shared" si="150"/>
        <v>3779.0454545454468</v>
      </c>
      <c r="AH13" s="527">
        <f t="shared" si="150"/>
        <v>7954.2015550239112</v>
      </c>
      <c r="AI13" s="527">
        <f t="shared" si="150"/>
        <v>4576.5816326530512</v>
      </c>
      <c r="AJ13" s="527">
        <f t="shared" si="150"/>
        <v>8482.0312499999891</v>
      </c>
      <c r="AK13" s="527">
        <f t="shared" si="150"/>
        <v>2283.3499999999931</v>
      </c>
      <c r="AL13" s="527">
        <f t="shared" si="150"/>
        <v>3520.3999999999896</v>
      </c>
      <c r="AM13" s="527">
        <f t="shared" si="150"/>
        <v>0</v>
      </c>
      <c r="AN13" s="527">
        <f t="shared" si="150"/>
        <v>7007.6888888888734</v>
      </c>
      <c r="AO13" s="527">
        <f t="shared" si="150"/>
        <v>3196.8557142857035</v>
      </c>
      <c r="AP13" s="527">
        <f t="shared" si="150"/>
        <v>5540.2117647058703</v>
      </c>
      <c r="AQ13" s="527">
        <f t="shared" si="150"/>
        <v>6398.2178260869432</v>
      </c>
      <c r="AR13" s="527">
        <f t="shared" si="150"/>
        <v>1402.1958333333246</v>
      </c>
      <c r="AS13" s="527">
        <f t="shared" si="150"/>
        <v>7451.6999999999853</v>
      </c>
      <c r="AT13" s="527">
        <f t="shared" si="150"/>
        <v>14757.894736842085</v>
      </c>
      <c r="AU13" s="527">
        <f t="shared" si="150"/>
        <v>9014.4081632652924</v>
      </c>
      <c r="AV13" s="527">
        <f t="shared" si="150"/>
        <v>13640.5646306818</v>
      </c>
      <c r="AW13" s="527">
        <f t="shared" si="150"/>
        <v>6323.3299999999899</v>
      </c>
      <c r="AX13" s="527">
        <f t="shared" si="150"/>
        <v>7428.5599999999849</v>
      </c>
      <c r="AY13" s="527">
        <f t="shared" si="150"/>
        <v>2429.8249999999898</v>
      </c>
      <c r="AZ13" s="527">
        <f t="shared" si="150"/>
        <v>13387.802666666641</v>
      </c>
      <c r="BA13" s="527">
        <f t="shared" si="150"/>
        <v>6942.603952380935</v>
      </c>
      <c r="BB13" s="527">
        <f t="shared" si="150"/>
        <v>8643.8256684491789</v>
      </c>
      <c r="BC13" s="527">
        <f t="shared" si="150"/>
        <v>13278.183999999976</v>
      </c>
      <c r="BD13" s="527">
        <f t="shared" si="150"/>
        <v>4408.5324999999857</v>
      </c>
      <c r="BE13" s="527">
        <f t="shared" si="150"/>
        <v>12017.260454545431</v>
      </c>
      <c r="BF13" s="527">
        <f t="shared" si="150"/>
        <v>24558.926435406658</v>
      </c>
      <c r="BG13" s="527">
        <f t="shared" si="150"/>
        <v>14114.692857142836</v>
      </c>
      <c r="BH13" s="527">
        <f t="shared" si="150"/>
        <v>22880.249999999971</v>
      </c>
      <c r="BI13" s="527">
        <f t="shared" si="150"/>
        <v>11468.161999999984</v>
      </c>
      <c r="BJ13" s="527">
        <f t="shared" si="150"/>
        <v>11329.267999999978</v>
      </c>
      <c r="BK13" s="527">
        <f t="shared" si="150"/>
        <v>7147.2752272727093</v>
      </c>
      <c r="BL13" s="527">
        <f t="shared" si="150"/>
        <v>19981.038476190439</v>
      </c>
      <c r="BM13" s="527">
        <f t="shared" si="150"/>
        <v>11511.29603809521</v>
      </c>
      <c r="BN13" s="527">
        <f t="shared" si="150"/>
        <v>15918.074802139001</v>
      </c>
      <c r="BO13" s="527">
        <f t="shared" si="150"/>
        <v>21268.457599999954</v>
      </c>
      <c r="BP13" s="527">
        <f t="shared" si="150"/>
        <v>8149.8627499999739</v>
      </c>
      <c r="BQ13" s="527">
        <f t="shared" si="150"/>
        <v>20768.231999999956</v>
      </c>
      <c r="BR13" s="527">
        <f t="shared" si="150"/>
        <v>37126.528110047766</v>
      </c>
      <c r="BS13" s="527">
        <f t="shared" si="150"/>
        <v>21195.270748299277</v>
      </c>
      <c r="BT13" s="527">
        <f t="shared" si="150"/>
        <v>36653.174147727223</v>
      </c>
      <c r="BU13" s="527">
        <f t="shared" ref="BU13:EF13" si="151">SUM(BU10:BU12)</f>
        <v>18642.051799999961</v>
      </c>
      <c r="BV13" s="527">
        <f t="shared" si="151"/>
        <v>18486.975199999953</v>
      </c>
      <c r="BW13" s="527">
        <f t="shared" si="151"/>
        <v>12594.395545454501</v>
      </c>
      <c r="BX13" s="527">
        <f t="shared" si="151"/>
        <v>30520.755453968166</v>
      </c>
      <c r="BY13" s="527">
        <f t="shared" si="151"/>
        <v>17575.925159999944</v>
      </c>
      <c r="BZ13" s="527">
        <f t="shared" si="151"/>
        <v>26345.235199999923</v>
      </c>
      <c r="CA13" s="527">
        <f t="shared" si="151"/>
        <v>32275.840639999911</v>
      </c>
      <c r="CB13" s="527">
        <f t="shared" si="151"/>
        <v>12949.81699999995</v>
      </c>
      <c r="CC13" s="527">
        <f t="shared" si="151"/>
        <v>33294.86683636353</v>
      </c>
      <c r="CD13" s="527">
        <f t="shared" si="151"/>
        <v>51953.539473684068</v>
      </c>
      <c r="CE13" s="527">
        <f t="shared" si="151"/>
        <v>34128.655142857046</v>
      </c>
      <c r="CF13" s="527">
        <f t="shared" si="151"/>
        <v>54081.524772727149</v>
      </c>
      <c r="CG13" s="527">
        <f t="shared" si="151"/>
        <v>27069.957859999919</v>
      </c>
      <c r="CH13" s="527">
        <f t="shared" si="151"/>
        <v>30129.8969599999</v>
      </c>
      <c r="CI13" s="527">
        <f t="shared" si="151"/>
        <v>0</v>
      </c>
      <c r="CJ13" s="527">
        <f t="shared" si="151"/>
        <v>0</v>
      </c>
      <c r="CK13" s="527">
        <f t="shared" si="151"/>
        <v>0</v>
      </c>
      <c r="CL13" s="527">
        <f t="shared" si="151"/>
        <v>0</v>
      </c>
      <c r="CM13" s="527">
        <f t="shared" si="151"/>
        <v>0</v>
      </c>
      <c r="CN13" s="527">
        <f t="shared" si="151"/>
        <v>0</v>
      </c>
      <c r="CO13" s="527">
        <f t="shared" si="151"/>
        <v>0</v>
      </c>
      <c r="CP13" s="527">
        <f t="shared" si="151"/>
        <v>0</v>
      </c>
      <c r="CQ13" s="527">
        <f t="shared" si="151"/>
        <v>0</v>
      </c>
      <c r="CR13" s="527">
        <f t="shared" si="151"/>
        <v>0</v>
      </c>
      <c r="CS13" s="527">
        <f t="shared" si="151"/>
        <v>0</v>
      </c>
      <c r="CT13" s="527">
        <f t="shared" si="151"/>
        <v>0</v>
      </c>
      <c r="CU13" s="527">
        <f t="shared" si="151"/>
        <v>0</v>
      </c>
      <c r="CV13" s="527">
        <f t="shared" si="151"/>
        <v>0</v>
      </c>
      <c r="CW13" s="527">
        <f t="shared" si="151"/>
        <v>0</v>
      </c>
      <c r="CX13" s="527">
        <f t="shared" si="151"/>
        <v>0</v>
      </c>
      <c r="CY13" s="527">
        <f t="shared" si="151"/>
        <v>0</v>
      </c>
      <c r="CZ13" s="527">
        <f t="shared" si="151"/>
        <v>0</v>
      </c>
      <c r="DA13" s="527">
        <f t="shared" si="151"/>
        <v>0</v>
      </c>
      <c r="DB13" s="527">
        <f t="shared" si="151"/>
        <v>0</v>
      </c>
      <c r="DC13" s="527">
        <f t="shared" si="151"/>
        <v>0</v>
      </c>
      <c r="DD13" s="527">
        <f t="shared" si="151"/>
        <v>0</v>
      </c>
      <c r="DE13" s="527">
        <f t="shared" si="151"/>
        <v>0</v>
      </c>
      <c r="DF13" s="527">
        <f t="shared" si="151"/>
        <v>0</v>
      </c>
      <c r="DG13" s="527">
        <f t="shared" si="151"/>
        <v>0</v>
      </c>
      <c r="DH13" s="527">
        <f t="shared" si="151"/>
        <v>0</v>
      </c>
      <c r="DI13" s="527">
        <f t="shared" si="151"/>
        <v>0</v>
      </c>
      <c r="DJ13" s="527">
        <f t="shared" si="151"/>
        <v>0</v>
      </c>
      <c r="DK13" s="527">
        <f t="shared" si="151"/>
        <v>0</v>
      </c>
      <c r="DL13" s="527">
        <f t="shared" si="151"/>
        <v>0</v>
      </c>
      <c r="DM13" s="527">
        <f t="shared" si="151"/>
        <v>0</v>
      </c>
      <c r="DN13" s="527">
        <f t="shared" si="151"/>
        <v>0</v>
      </c>
      <c r="DO13" s="527">
        <f t="shared" si="151"/>
        <v>0</v>
      </c>
      <c r="DP13" s="527">
        <f t="shared" si="151"/>
        <v>0</v>
      </c>
      <c r="DQ13" s="527">
        <f t="shared" si="151"/>
        <v>0</v>
      </c>
      <c r="DR13" s="527">
        <f t="shared" si="151"/>
        <v>0</v>
      </c>
      <c r="DS13" s="527">
        <f t="shared" si="151"/>
        <v>0</v>
      </c>
      <c r="DT13" s="527">
        <f t="shared" si="151"/>
        <v>0</v>
      </c>
      <c r="DU13" s="527">
        <f t="shared" si="151"/>
        <v>0</v>
      </c>
      <c r="DV13" s="527">
        <f t="shared" si="151"/>
        <v>0</v>
      </c>
      <c r="DW13" s="527">
        <f t="shared" si="151"/>
        <v>0</v>
      </c>
      <c r="DX13" s="527">
        <f t="shared" si="151"/>
        <v>0</v>
      </c>
      <c r="DY13" s="527">
        <f t="shared" si="151"/>
        <v>0</v>
      </c>
      <c r="DZ13" s="527">
        <f t="shared" si="151"/>
        <v>0</v>
      </c>
      <c r="EA13" s="527">
        <f t="shared" si="151"/>
        <v>0</v>
      </c>
      <c r="EB13" s="527">
        <f t="shared" si="151"/>
        <v>0</v>
      </c>
      <c r="EC13" s="527">
        <f t="shared" si="151"/>
        <v>0</v>
      </c>
      <c r="ED13" s="527">
        <f t="shared" si="151"/>
        <v>0</v>
      </c>
      <c r="EE13" s="527">
        <f t="shared" si="151"/>
        <v>0</v>
      </c>
      <c r="EF13" s="527">
        <f t="shared" si="151"/>
        <v>0</v>
      </c>
      <c r="EG13" s="527">
        <f t="shared" ref="EG13:FB13" si="152">SUM(EG10:EG12)</f>
        <v>0</v>
      </c>
      <c r="EH13" s="527">
        <f t="shared" si="152"/>
        <v>0</v>
      </c>
      <c r="EI13" s="527">
        <f t="shared" si="152"/>
        <v>0</v>
      </c>
      <c r="EJ13" s="527">
        <f t="shared" si="152"/>
        <v>0</v>
      </c>
      <c r="EK13" s="527">
        <f t="shared" si="152"/>
        <v>0</v>
      </c>
      <c r="EL13" s="527">
        <f t="shared" si="152"/>
        <v>0</v>
      </c>
      <c r="EM13" s="527">
        <f t="shared" si="152"/>
        <v>0</v>
      </c>
      <c r="EN13" s="527">
        <f t="shared" si="152"/>
        <v>0</v>
      </c>
      <c r="EO13" s="527">
        <f t="shared" si="152"/>
        <v>0</v>
      </c>
      <c r="EP13" s="527">
        <f t="shared" si="152"/>
        <v>0</v>
      </c>
      <c r="EQ13" s="527">
        <f t="shared" si="152"/>
        <v>0</v>
      </c>
      <c r="ER13" s="527">
        <f t="shared" si="152"/>
        <v>0</v>
      </c>
      <c r="ES13" s="527">
        <f t="shared" si="152"/>
        <v>0</v>
      </c>
      <c r="ET13" s="527">
        <f t="shared" si="152"/>
        <v>0</v>
      </c>
      <c r="EU13" s="527">
        <f t="shared" si="152"/>
        <v>0</v>
      </c>
      <c r="EV13" s="527">
        <f t="shared" si="152"/>
        <v>0</v>
      </c>
      <c r="EW13" s="527">
        <f t="shared" si="152"/>
        <v>0</v>
      </c>
      <c r="EX13" s="527">
        <f t="shared" si="152"/>
        <v>0</v>
      </c>
      <c r="EY13" s="527">
        <f t="shared" si="152"/>
        <v>0</v>
      </c>
      <c r="EZ13" s="527">
        <f t="shared" si="152"/>
        <v>0</v>
      </c>
      <c r="FA13" s="527">
        <f t="shared" si="152"/>
        <v>0</v>
      </c>
      <c r="FB13" s="528">
        <f t="shared" si="152"/>
        <v>0</v>
      </c>
    </row>
    <row r="14" spans="2:158" ht="15" thickBot="1" x14ac:dyDescent="0.35">
      <c r="B14" s="539"/>
      <c r="C14" s="176"/>
      <c r="D14" s="176"/>
      <c r="E14" s="176"/>
      <c r="F14" s="540" t="s">
        <v>312</v>
      </c>
      <c r="G14" s="176"/>
      <c r="H14" s="530">
        <f>+H7+H13</f>
        <v>0</v>
      </c>
      <c r="I14" s="532">
        <f>+I7+I13</f>
        <v>600</v>
      </c>
      <c r="J14" s="531">
        <f t="shared" ref="J14:BU14" si="153">+J7+J13</f>
        <v>900</v>
      </c>
      <c r="K14" s="532">
        <f t="shared" si="153"/>
        <v>1432.1</v>
      </c>
      <c r="L14" s="532">
        <f t="shared" si="153"/>
        <v>4062.5687499999999</v>
      </c>
      <c r="M14" s="532">
        <f t="shared" si="153"/>
        <v>519.59999999999991</v>
      </c>
      <c r="N14" s="532">
        <f t="shared" si="153"/>
        <v>519.59999999999991</v>
      </c>
      <c r="O14" s="532">
        <f t="shared" si="153"/>
        <v>0</v>
      </c>
      <c r="P14" s="532">
        <f t="shared" si="153"/>
        <v>750.63492063491992</v>
      </c>
      <c r="Q14" s="532">
        <f t="shared" si="153"/>
        <v>0</v>
      </c>
      <c r="R14" s="532">
        <f t="shared" si="153"/>
        <v>0</v>
      </c>
      <c r="S14" s="532">
        <f t="shared" si="153"/>
        <v>427.47826086956309</v>
      </c>
      <c r="T14" s="532">
        <f t="shared" si="153"/>
        <v>0</v>
      </c>
      <c r="U14" s="532">
        <f t="shared" si="153"/>
        <v>537.49999999999864</v>
      </c>
      <c r="V14" s="532">
        <f t="shared" si="153"/>
        <v>3776.495215311003</v>
      </c>
      <c r="W14" s="532">
        <f t="shared" si="153"/>
        <v>1432.2278911564608</v>
      </c>
      <c r="X14" s="532">
        <f t="shared" si="153"/>
        <v>4655.8061079545441</v>
      </c>
      <c r="Y14" s="532">
        <f t="shared" si="153"/>
        <v>0</v>
      </c>
      <c r="Z14" s="532">
        <f t="shared" si="153"/>
        <v>0</v>
      </c>
      <c r="AA14" s="532">
        <f t="shared" si="153"/>
        <v>0</v>
      </c>
      <c r="AB14" s="532">
        <f t="shared" si="153"/>
        <v>3219.7777777777715</v>
      </c>
      <c r="AC14" s="532">
        <f t="shared" si="153"/>
        <v>181.83095238094751</v>
      </c>
      <c r="AD14" s="532">
        <f t="shared" si="153"/>
        <v>2054.3529411764653</v>
      </c>
      <c r="AE14" s="532">
        <f t="shared" si="153"/>
        <v>2755.2565217391234</v>
      </c>
      <c r="AF14" s="532">
        <f t="shared" si="153"/>
        <v>0</v>
      </c>
      <c r="AG14" s="532">
        <f t="shared" si="153"/>
        <v>3779.0454545454468</v>
      </c>
      <c r="AH14" s="532">
        <f t="shared" si="153"/>
        <v>7954.2015550239112</v>
      </c>
      <c r="AI14" s="532">
        <f t="shared" si="153"/>
        <v>4576.5816326530512</v>
      </c>
      <c r="AJ14" s="532">
        <f t="shared" si="153"/>
        <v>8482.0312499999891</v>
      </c>
      <c r="AK14" s="532">
        <f t="shared" si="153"/>
        <v>2283.3499999999931</v>
      </c>
      <c r="AL14" s="532">
        <f t="shared" si="153"/>
        <v>3520.3999999999896</v>
      </c>
      <c r="AM14" s="532">
        <f t="shared" si="153"/>
        <v>0</v>
      </c>
      <c r="AN14" s="532">
        <f t="shared" si="153"/>
        <v>7007.6888888888734</v>
      </c>
      <c r="AO14" s="532">
        <f t="shared" si="153"/>
        <v>3196.8557142857035</v>
      </c>
      <c r="AP14" s="532">
        <f t="shared" si="153"/>
        <v>5540.2117647058703</v>
      </c>
      <c r="AQ14" s="532">
        <f t="shared" si="153"/>
        <v>6398.2178260869432</v>
      </c>
      <c r="AR14" s="532">
        <f t="shared" si="153"/>
        <v>1402.1958333333246</v>
      </c>
      <c r="AS14" s="532">
        <f t="shared" si="153"/>
        <v>7451.6999999999853</v>
      </c>
      <c r="AT14" s="532">
        <f t="shared" si="153"/>
        <v>14757.894736842085</v>
      </c>
      <c r="AU14" s="532">
        <f t="shared" si="153"/>
        <v>9014.4081632652924</v>
      </c>
      <c r="AV14" s="532">
        <f t="shared" si="153"/>
        <v>13640.5646306818</v>
      </c>
      <c r="AW14" s="532">
        <f t="shared" si="153"/>
        <v>6323.3299999999899</v>
      </c>
      <c r="AX14" s="532">
        <f t="shared" si="153"/>
        <v>7428.5599999999849</v>
      </c>
      <c r="AY14" s="532">
        <f t="shared" si="153"/>
        <v>2429.8249999999898</v>
      </c>
      <c r="AZ14" s="532">
        <f t="shared" si="153"/>
        <v>13387.802666666641</v>
      </c>
      <c r="BA14" s="532">
        <f t="shared" si="153"/>
        <v>6942.603952380935</v>
      </c>
      <c r="BB14" s="532">
        <f t="shared" si="153"/>
        <v>8643.8256684491789</v>
      </c>
      <c r="BC14" s="532">
        <f t="shared" si="153"/>
        <v>13278.183999999976</v>
      </c>
      <c r="BD14" s="532">
        <f t="shared" si="153"/>
        <v>4408.5324999999857</v>
      </c>
      <c r="BE14" s="532">
        <f t="shared" si="153"/>
        <v>12017.260454545431</v>
      </c>
      <c r="BF14" s="532">
        <f t="shared" si="153"/>
        <v>24558.926435406658</v>
      </c>
      <c r="BG14" s="532">
        <f t="shared" si="153"/>
        <v>14114.692857142836</v>
      </c>
      <c r="BH14" s="532">
        <f t="shared" si="153"/>
        <v>22880.249999999971</v>
      </c>
      <c r="BI14" s="532">
        <f t="shared" si="153"/>
        <v>11468.161999999984</v>
      </c>
      <c r="BJ14" s="532">
        <f t="shared" si="153"/>
        <v>11329.267999999978</v>
      </c>
      <c r="BK14" s="532">
        <f t="shared" si="153"/>
        <v>7147.2752272727093</v>
      </c>
      <c r="BL14" s="532">
        <f t="shared" si="153"/>
        <v>19981.038476190439</v>
      </c>
      <c r="BM14" s="532">
        <f t="shared" si="153"/>
        <v>11511.29603809521</v>
      </c>
      <c r="BN14" s="532">
        <f t="shared" si="153"/>
        <v>15918.074802139001</v>
      </c>
      <c r="BO14" s="532">
        <f t="shared" si="153"/>
        <v>21268.457599999954</v>
      </c>
      <c r="BP14" s="532">
        <f t="shared" si="153"/>
        <v>8149.8627499999739</v>
      </c>
      <c r="BQ14" s="532">
        <f t="shared" si="153"/>
        <v>20768.231999999956</v>
      </c>
      <c r="BR14" s="532">
        <f t="shared" si="153"/>
        <v>37126.528110047766</v>
      </c>
      <c r="BS14" s="532">
        <f t="shared" si="153"/>
        <v>21195.270748299277</v>
      </c>
      <c r="BT14" s="532">
        <f t="shared" si="153"/>
        <v>36653.174147727223</v>
      </c>
      <c r="BU14" s="532">
        <f t="shared" si="153"/>
        <v>18642.051799999961</v>
      </c>
      <c r="BV14" s="532">
        <f t="shared" ref="BV14:EG14" si="154">+BV7+BV13</f>
        <v>18486.975199999953</v>
      </c>
      <c r="BW14" s="532">
        <f t="shared" si="154"/>
        <v>12594.395545454501</v>
      </c>
      <c r="BX14" s="532">
        <f t="shared" si="154"/>
        <v>30520.755453968166</v>
      </c>
      <c r="BY14" s="532">
        <f t="shared" si="154"/>
        <v>17575.925159999944</v>
      </c>
      <c r="BZ14" s="532">
        <f t="shared" si="154"/>
        <v>26345.235199999923</v>
      </c>
      <c r="CA14" s="532">
        <f t="shared" si="154"/>
        <v>32275.840639999911</v>
      </c>
      <c r="CB14" s="532">
        <f t="shared" si="154"/>
        <v>12949.81699999995</v>
      </c>
      <c r="CC14" s="532">
        <f t="shared" si="154"/>
        <v>33294.86683636353</v>
      </c>
      <c r="CD14" s="532">
        <f t="shared" si="154"/>
        <v>51953.539473684068</v>
      </c>
      <c r="CE14" s="532">
        <f t="shared" si="154"/>
        <v>34128.655142857046</v>
      </c>
      <c r="CF14" s="532">
        <f t="shared" si="154"/>
        <v>54081.524772727149</v>
      </c>
      <c r="CG14" s="532">
        <f t="shared" si="154"/>
        <v>27069.957859999919</v>
      </c>
      <c r="CH14" s="532">
        <f t="shared" si="154"/>
        <v>30129.8969599999</v>
      </c>
      <c r="CI14" s="532">
        <f t="shared" si="154"/>
        <v>0</v>
      </c>
      <c r="CJ14" s="532">
        <f t="shared" si="154"/>
        <v>0</v>
      </c>
      <c r="CK14" s="532">
        <f t="shared" si="154"/>
        <v>0</v>
      </c>
      <c r="CL14" s="532">
        <f t="shared" si="154"/>
        <v>0</v>
      </c>
      <c r="CM14" s="532">
        <f t="shared" si="154"/>
        <v>0</v>
      </c>
      <c r="CN14" s="532">
        <f t="shared" si="154"/>
        <v>0</v>
      </c>
      <c r="CO14" s="532">
        <f t="shared" si="154"/>
        <v>0</v>
      </c>
      <c r="CP14" s="532">
        <f t="shared" si="154"/>
        <v>0</v>
      </c>
      <c r="CQ14" s="532">
        <f t="shared" si="154"/>
        <v>0</v>
      </c>
      <c r="CR14" s="532">
        <f t="shared" si="154"/>
        <v>0</v>
      </c>
      <c r="CS14" s="532">
        <f t="shared" si="154"/>
        <v>0</v>
      </c>
      <c r="CT14" s="532">
        <f t="shared" si="154"/>
        <v>0</v>
      </c>
      <c r="CU14" s="532">
        <f t="shared" si="154"/>
        <v>0</v>
      </c>
      <c r="CV14" s="532">
        <f t="shared" si="154"/>
        <v>0</v>
      </c>
      <c r="CW14" s="532">
        <f t="shared" si="154"/>
        <v>0</v>
      </c>
      <c r="CX14" s="532">
        <f t="shared" si="154"/>
        <v>0</v>
      </c>
      <c r="CY14" s="532">
        <f t="shared" si="154"/>
        <v>0</v>
      </c>
      <c r="CZ14" s="532">
        <f t="shared" si="154"/>
        <v>0</v>
      </c>
      <c r="DA14" s="532">
        <f t="shared" si="154"/>
        <v>0</v>
      </c>
      <c r="DB14" s="532">
        <f t="shared" si="154"/>
        <v>0</v>
      </c>
      <c r="DC14" s="532">
        <f t="shared" si="154"/>
        <v>0</v>
      </c>
      <c r="DD14" s="532">
        <f t="shared" si="154"/>
        <v>0</v>
      </c>
      <c r="DE14" s="532">
        <f t="shared" si="154"/>
        <v>0</v>
      </c>
      <c r="DF14" s="532">
        <f t="shared" si="154"/>
        <v>0</v>
      </c>
      <c r="DG14" s="532">
        <f t="shared" si="154"/>
        <v>0</v>
      </c>
      <c r="DH14" s="532">
        <f t="shared" si="154"/>
        <v>0</v>
      </c>
      <c r="DI14" s="532">
        <f t="shared" si="154"/>
        <v>0</v>
      </c>
      <c r="DJ14" s="532">
        <f t="shared" si="154"/>
        <v>0</v>
      </c>
      <c r="DK14" s="532">
        <f t="shared" si="154"/>
        <v>0</v>
      </c>
      <c r="DL14" s="532">
        <f t="shared" si="154"/>
        <v>0</v>
      </c>
      <c r="DM14" s="532">
        <f t="shared" si="154"/>
        <v>0</v>
      </c>
      <c r="DN14" s="532">
        <f t="shared" si="154"/>
        <v>0</v>
      </c>
      <c r="DO14" s="532">
        <f t="shared" si="154"/>
        <v>0</v>
      </c>
      <c r="DP14" s="532">
        <f t="shared" si="154"/>
        <v>0</v>
      </c>
      <c r="DQ14" s="532">
        <f t="shared" si="154"/>
        <v>0</v>
      </c>
      <c r="DR14" s="532">
        <f t="shared" si="154"/>
        <v>0</v>
      </c>
      <c r="DS14" s="532">
        <f t="shared" si="154"/>
        <v>0</v>
      </c>
      <c r="DT14" s="532">
        <f t="shared" si="154"/>
        <v>0</v>
      </c>
      <c r="DU14" s="532">
        <f t="shared" si="154"/>
        <v>0</v>
      </c>
      <c r="DV14" s="532">
        <f t="shared" si="154"/>
        <v>0</v>
      </c>
      <c r="DW14" s="532">
        <f t="shared" si="154"/>
        <v>0</v>
      </c>
      <c r="DX14" s="532">
        <f t="shared" si="154"/>
        <v>0</v>
      </c>
      <c r="DY14" s="532">
        <f t="shared" si="154"/>
        <v>0</v>
      </c>
      <c r="DZ14" s="532">
        <f t="shared" si="154"/>
        <v>0</v>
      </c>
      <c r="EA14" s="532">
        <f t="shared" si="154"/>
        <v>0</v>
      </c>
      <c r="EB14" s="532">
        <f t="shared" si="154"/>
        <v>0</v>
      </c>
      <c r="EC14" s="532">
        <f t="shared" si="154"/>
        <v>0</v>
      </c>
      <c r="ED14" s="532">
        <f t="shared" si="154"/>
        <v>0</v>
      </c>
      <c r="EE14" s="532">
        <f t="shared" si="154"/>
        <v>0</v>
      </c>
      <c r="EF14" s="532">
        <f t="shared" si="154"/>
        <v>0</v>
      </c>
      <c r="EG14" s="532">
        <f t="shared" si="154"/>
        <v>0</v>
      </c>
      <c r="EH14" s="532">
        <f t="shared" ref="EH14:FB14" si="155">+EH7+EH13</f>
        <v>0</v>
      </c>
      <c r="EI14" s="532">
        <f t="shared" si="155"/>
        <v>0</v>
      </c>
      <c r="EJ14" s="532">
        <f t="shared" si="155"/>
        <v>0</v>
      </c>
      <c r="EK14" s="532">
        <f t="shared" si="155"/>
        <v>0</v>
      </c>
      <c r="EL14" s="532">
        <f t="shared" si="155"/>
        <v>0</v>
      </c>
      <c r="EM14" s="532">
        <f t="shared" si="155"/>
        <v>0</v>
      </c>
      <c r="EN14" s="532">
        <f t="shared" si="155"/>
        <v>0</v>
      </c>
      <c r="EO14" s="532">
        <f t="shared" si="155"/>
        <v>0</v>
      </c>
      <c r="EP14" s="532">
        <f t="shared" si="155"/>
        <v>0</v>
      </c>
      <c r="EQ14" s="532">
        <f t="shared" si="155"/>
        <v>0</v>
      </c>
      <c r="ER14" s="532">
        <f t="shared" si="155"/>
        <v>0</v>
      </c>
      <c r="ES14" s="532">
        <f t="shared" si="155"/>
        <v>0</v>
      </c>
      <c r="ET14" s="532">
        <f t="shared" si="155"/>
        <v>0</v>
      </c>
      <c r="EU14" s="532">
        <f t="shared" si="155"/>
        <v>0</v>
      </c>
      <c r="EV14" s="532">
        <f t="shared" si="155"/>
        <v>0</v>
      </c>
      <c r="EW14" s="532">
        <f t="shared" si="155"/>
        <v>0</v>
      </c>
      <c r="EX14" s="532">
        <f t="shared" si="155"/>
        <v>0</v>
      </c>
      <c r="EY14" s="532">
        <f t="shared" si="155"/>
        <v>0</v>
      </c>
      <c r="EZ14" s="532">
        <f t="shared" si="155"/>
        <v>0</v>
      </c>
      <c r="FA14" s="532">
        <f t="shared" si="155"/>
        <v>0</v>
      </c>
      <c r="FB14" s="533">
        <f t="shared" si="155"/>
        <v>0</v>
      </c>
    </row>
    <row r="15" spans="2:158" ht="15" thickTop="1" x14ac:dyDescent="0.3"/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B617-4C79-43D0-A4CD-D2ACA0495B0C}">
  <sheetPr>
    <tabColor theme="0" tint="-0.249977111117893"/>
    <pageSetUpPr fitToPage="1"/>
  </sheetPr>
  <dimension ref="B1:AT51"/>
  <sheetViews>
    <sheetView topLeftCell="A30" zoomScaleNormal="100" workbookViewId="0">
      <selection activeCell="B3" sqref="B3:AT82"/>
    </sheetView>
  </sheetViews>
  <sheetFormatPr defaultRowHeight="14.4" outlineLevelCol="1" x14ac:dyDescent="0.3"/>
  <cols>
    <col min="2" max="2" width="17" style="278" bestFit="1" customWidth="1"/>
    <col min="3" max="3" width="24.6640625" style="278" bestFit="1" customWidth="1"/>
    <col min="4" max="4" width="0.109375" customWidth="1"/>
    <col min="5" max="7" width="11.109375" hidden="1" customWidth="1" outlineLevel="1"/>
    <col min="8" max="8" width="11.109375" hidden="1" customWidth="1" outlineLevel="1" collapsed="1"/>
    <col min="9" max="11" width="11.109375" hidden="1" customWidth="1" outlineLevel="1"/>
    <col min="12" max="14" width="11.109375" hidden="1" customWidth="1" outlineLevel="1" collapsed="1"/>
    <col min="15" max="15" width="12.5546875" hidden="1" customWidth="1" outlineLevel="1"/>
    <col min="16" max="17" width="12.5546875" hidden="1" customWidth="1" outlineLevel="1" collapsed="1"/>
    <col min="18" max="18" width="12.5546875" customWidth="1" collapsed="1"/>
    <col min="19" max="19" width="11.109375" hidden="1" customWidth="1" outlineLevel="1"/>
    <col min="20" max="21" width="11.109375" hidden="1" customWidth="1" outlineLevel="1" collapsed="1"/>
    <col min="22" max="23" width="11.109375" hidden="1" customWidth="1" outlineLevel="1"/>
    <col min="24" max="25" width="11.88671875" hidden="1" customWidth="1" outlineLevel="1"/>
    <col min="26" max="26" width="11.109375" hidden="1" customWidth="1" outlineLevel="1"/>
    <col min="27" max="30" width="11.109375" hidden="1" customWidth="1" outlineLevel="1" collapsed="1"/>
    <col min="31" max="31" width="12" hidden="1" customWidth="1" outlineLevel="1" collapsed="1"/>
    <col min="32" max="32" width="12" customWidth="1" collapsed="1"/>
    <col min="33" max="33" width="11.88671875" hidden="1" customWidth="1" outlineLevel="1"/>
    <col min="34" max="34" width="10.5546875" hidden="1" customWidth="1" outlineLevel="1"/>
    <col min="35" max="35" width="10.44140625" hidden="1" customWidth="1" outlineLevel="1"/>
    <col min="36" max="36" width="10.44140625" hidden="1" customWidth="1" outlineLevel="1" collapsed="1"/>
    <col min="37" max="37" width="12" hidden="1" customWidth="1" outlineLevel="1" collapsed="1"/>
    <col min="38" max="38" width="19.33203125" hidden="1" customWidth="1" outlineLevel="1" collapsed="1"/>
    <col min="39" max="39" width="12" hidden="1" customWidth="1" outlineLevel="1" collapsed="1"/>
    <col min="40" max="40" width="12.6640625" hidden="1" customWidth="1" outlineLevel="1" collapsed="1"/>
    <col min="41" max="41" width="11.44140625" customWidth="1" collapsed="1"/>
    <col min="42" max="42" width="11.44140625" hidden="1" customWidth="1" outlineLevel="1"/>
    <col min="43" max="43" width="11.109375" hidden="1" customWidth="1" outlineLevel="1"/>
    <col min="44" max="44" width="12.33203125" hidden="1" customWidth="1" outlineLevel="1"/>
    <col min="45" max="45" width="21.5546875" bestFit="1" customWidth="1" collapsed="1"/>
    <col min="46" max="46" width="20.109375" bestFit="1" customWidth="1"/>
  </cols>
  <sheetData>
    <row r="1" spans="2:46" x14ac:dyDescent="0.3">
      <c r="AE1" t="s">
        <v>163</v>
      </c>
    </row>
    <row r="13" spans="2:46" ht="15" thickBot="1" x14ac:dyDescent="0.35"/>
    <row r="14" spans="2:46" ht="16.8" thickTop="1" thickBot="1" x14ac:dyDescent="0.35">
      <c r="B14" s="613">
        <v>45565</v>
      </c>
      <c r="C14" s="614"/>
      <c r="D14" s="614"/>
      <c r="E14" s="614"/>
      <c r="F14" s="614"/>
      <c r="G14" s="614"/>
      <c r="H14" s="614"/>
      <c r="I14" s="614"/>
      <c r="J14" s="614"/>
      <c r="K14" s="614"/>
      <c r="L14" s="614"/>
      <c r="M14" s="614"/>
      <c r="N14" s="614"/>
      <c r="O14" s="614"/>
      <c r="P14" s="614"/>
      <c r="Q14" s="614"/>
      <c r="R14" s="614"/>
      <c r="S14" s="614"/>
      <c r="T14" s="614"/>
      <c r="U14" s="614"/>
      <c r="V14" s="614"/>
      <c r="W14" s="614"/>
      <c r="X14" s="614"/>
      <c r="Y14" s="614"/>
      <c r="Z14" s="614"/>
      <c r="AA14" s="614"/>
      <c r="AB14" s="614"/>
      <c r="AC14" s="614"/>
      <c r="AD14" s="614"/>
      <c r="AE14" s="614"/>
      <c r="AF14" s="614"/>
      <c r="AG14" s="614"/>
      <c r="AH14" s="614"/>
      <c r="AI14" s="614"/>
      <c r="AJ14" s="614"/>
      <c r="AK14" s="614"/>
      <c r="AL14" s="614"/>
      <c r="AM14" s="614"/>
      <c r="AN14" s="614"/>
      <c r="AO14" s="614"/>
      <c r="AP14" s="614"/>
      <c r="AQ14" s="614"/>
      <c r="AR14" s="614"/>
      <c r="AS14" s="614"/>
      <c r="AT14" s="615"/>
    </row>
    <row r="15" spans="2:46" ht="15" thickTop="1" x14ac:dyDescent="0.3">
      <c r="B15" s="284"/>
      <c r="C15" s="336"/>
      <c r="D15" s="337"/>
      <c r="E15" s="173">
        <v>45169</v>
      </c>
      <c r="F15" s="173">
        <v>45199</v>
      </c>
      <c r="G15" s="173">
        <v>45230</v>
      </c>
      <c r="H15" s="173">
        <v>45260</v>
      </c>
      <c r="I15" s="173">
        <v>45291</v>
      </c>
      <c r="J15" s="173">
        <v>45322</v>
      </c>
      <c r="K15" s="173">
        <v>45351</v>
      </c>
      <c r="L15" s="173">
        <v>45382</v>
      </c>
      <c r="M15" s="173">
        <v>45412</v>
      </c>
      <c r="N15" s="173">
        <v>45443</v>
      </c>
      <c r="O15" s="173">
        <v>45473</v>
      </c>
      <c r="P15" s="173">
        <v>45504</v>
      </c>
      <c r="Q15" s="173">
        <v>45535</v>
      </c>
      <c r="R15" s="277" t="s">
        <v>240</v>
      </c>
      <c r="S15" s="319">
        <v>45169</v>
      </c>
      <c r="T15" s="319">
        <v>45199</v>
      </c>
      <c r="U15" s="319">
        <v>45230</v>
      </c>
      <c r="V15" s="319">
        <v>45260</v>
      </c>
      <c r="W15" s="319">
        <v>45291</v>
      </c>
      <c r="X15" s="319">
        <v>45322</v>
      </c>
      <c r="Y15" s="319">
        <v>45351</v>
      </c>
      <c r="Z15" s="319">
        <v>45382</v>
      </c>
      <c r="AA15" s="319">
        <v>45412</v>
      </c>
      <c r="AB15" s="319">
        <v>45443</v>
      </c>
      <c r="AC15" s="319">
        <v>45473</v>
      </c>
      <c r="AD15" s="319">
        <v>45504</v>
      </c>
      <c r="AE15" s="319">
        <v>45535</v>
      </c>
      <c r="AF15" s="319" t="s">
        <v>226</v>
      </c>
      <c r="AG15" s="320">
        <v>45322</v>
      </c>
      <c r="AH15" s="320">
        <v>45351</v>
      </c>
      <c r="AI15" s="321">
        <v>45382</v>
      </c>
      <c r="AJ15" s="319">
        <v>45412</v>
      </c>
      <c r="AK15" s="319">
        <v>45443</v>
      </c>
      <c r="AL15" s="321">
        <v>45473</v>
      </c>
      <c r="AM15" s="319">
        <v>45504</v>
      </c>
      <c r="AN15" s="321">
        <v>45535</v>
      </c>
      <c r="AO15" s="320" t="s">
        <v>280</v>
      </c>
      <c r="AP15" s="300">
        <v>45596</v>
      </c>
      <c r="AQ15" s="299">
        <v>45626</v>
      </c>
      <c r="AR15" s="300">
        <v>45657</v>
      </c>
      <c r="AS15" s="283" t="s">
        <v>283</v>
      </c>
      <c r="AT15" s="285" t="s">
        <v>282</v>
      </c>
    </row>
    <row r="16" spans="2:46" x14ac:dyDescent="0.3">
      <c r="B16" s="616" t="s">
        <v>7</v>
      </c>
      <c r="C16" s="617"/>
      <c r="E16" s="174">
        <v>4938</v>
      </c>
      <c r="F16" s="174">
        <v>4489.4999999999991</v>
      </c>
      <c r="G16" s="174">
        <v>5810.25</v>
      </c>
      <c r="H16" s="174">
        <v>4881.37</v>
      </c>
      <c r="I16" s="174">
        <v>8589.3700000000008</v>
      </c>
      <c r="J16" s="174">
        <v>3066.4791666666665</v>
      </c>
      <c r="K16" s="286">
        <v>3175.021359649123</v>
      </c>
      <c r="L16" s="174">
        <v>2422.279891304348</v>
      </c>
      <c r="M16" s="174">
        <v>4440.4241513582401</v>
      </c>
      <c r="N16" s="174">
        <v>6044.6787398063207</v>
      </c>
      <c r="O16" s="114">
        <v>4035.0139064671953</v>
      </c>
      <c r="P16" s="114">
        <v>6070.8647844785883</v>
      </c>
      <c r="Q16" s="488">
        <v>9070.6432929860966</v>
      </c>
      <c r="R16" s="489">
        <v>12735.314346141362</v>
      </c>
      <c r="S16" s="174">
        <f>+SUMIF('Monthly Detail'!$4:$4, S15,'Monthly Detail'!$14:$14)</f>
        <v>7078.66</v>
      </c>
      <c r="T16" s="174">
        <f>+SUMIF('Monthly Detail'!$4:$4, T15,'Monthly Detail'!$14:$14)</f>
        <v>8756.09</v>
      </c>
      <c r="U16" s="174">
        <f>+SUMIF('Monthly Detail'!$4:$4, U15,'Monthly Detail'!$14:$14)</f>
        <v>8196.3700000000008</v>
      </c>
      <c r="V16" s="174">
        <f>+SUMIF('Monthly Detail'!$4:$4, V15,'Monthly Detail'!$14:$14)</f>
        <v>4938.12</v>
      </c>
      <c r="W16" s="174">
        <f>+SUMIF('Monthly Detail'!$4:$4, W15,'Monthly Detail'!$14:$14)</f>
        <v>2144.5</v>
      </c>
      <c r="X16" s="174">
        <f>+SUMIF('Monthly Detail'!$4:$4, X15,'Monthly Detail'!$14:$14)</f>
        <v>3002</v>
      </c>
      <c r="Y16" s="174">
        <f>+SUMIF('Monthly Detail'!$4:$4, Y15,'Monthly Detail'!$14:$14)</f>
        <v>4357.5</v>
      </c>
      <c r="Z16" s="174">
        <f>+SUMIF('Monthly Detail'!$4:$4, Z15,'Monthly Detail'!$14:$14)</f>
        <v>3479.5</v>
      </c>
      <c r="AA16" s="174">
        <f>+SUMIF('Monthly Detail'!$4:$4, AA15,'Monthly Detail'!$14:$14)</f>
        <v>4018</v>
      </c>
      <c r="AB16" s="174">
        <v>5705.08</v>
      </c>
      <c r="AC16" s="114">
        <v>4308.26</v>
      </c>
      <c r="AD16" s="114">
        <v>9060.8900000000012</v>
      </c>
      <c r="AE16" s="114">
        <v>14111.26</v>
      </c>
      <c r="AF16" s="114">
        <f>+SUMIF('Monthly Detail'!$4:$4, $B$14,'Monthly Detail'!$14:$14)</f>
        <v>9897.5</v>
      </c>
      <c r="AG16" s="488">
        <f>+'2024 AOP'!C14</f>
        <v>3066.4791666666665</v>
      </c>
      <c r="AH16" s="489">
        <f>+'2024 AOP'!D14</f>
        <v>4893.6611842105267</v>
      </c>
      <c r="AI16" s="489">
        <f>+'2024 AOP'!E14</f>
        <v>3994.133152173913</v>
      </c>
      <c r="AJ16" s="114">
        <f>+'2024 AOP'!F14</f>
        <v>5964.4553571428578</v>
      </c>
      <c r="AK16" s="114">
        <f>+'2024 AOP'!G14</f>
        <v>10231.791666666668</v>
      </c>
      <c r="AL16" s="490">
        <f>+'2024 AOP'!H14</f>
        <v>6730.371212121212</v>
      </c>
      <c r="AM16" s="489">
        <f>+'2024 AOP'!I14</f>
        <v>9868.4732142857138</v>
      </c>
      <c r="AN16" s="489">
        <f>+'2024 AOP'!J14</f>
        <v>9248.9884910485926</v>
      </c>
      <c r="AO16" s="489">
        <f>+'2024 AOP'!K14</f>
        <v>12480.345905172415</v>
      </c>
      <c r="AP16" s="489">
        <f>+'2024 AOP'!L14</f>
        <v>10194.697088068182</v>
      </c>
      <c r="AQ16" s="489">
        <f>+'2024 AOP'!M14</f>
        <v>6042.6640625</v>
      </c>
      <c r="AR16" s="489">
        <f>+'2024 AOP'!N14</f>
        <v>4112</v>
      </c>
      <c r="AS16" s="566">
        <f>+AF16-R16</f>
        <v>-2837.814346141362</v>
      </c>
      <c r="AT16" s="469">
        <f>+AF16-AO16</f>
        <v>-2582.8459051724149</v>
      </c>
    </row>
    <row r="17" spans="2:46" ht="14.4" customHeight="1" x14ac:dyDescent="0.3">
      <c r="B17" s="622" t="s">
        <v>335</v>
      </c>
      <c r="C17" s="505" t="s">
        <v>66</v>
      </c>
      <c r="D17" s="168"/>
      <c r="E17" s="170">
        <v>17</v>
      </c>
      <c r="F17" s="170">
        <v>17</v>
      </c>
      <c r="G17" s="170">
        <v>20</v>
      </c>
      <c r="H17" s="170">
        <v>18</v>
      </c>
      <c r="I17" s="170">
        <v>34</v>
      </c>
      <c r="J17" s="170">
        <v>21</v>
      </c>
      <c r="K17" s="287">
        <v>21</v>
      </c>
      <c r="L17" s="170">
        <v>21</v>
      </c>
      <c r="M17" s="170">
        <v>27</v>
      </c>
      <c r="N17" s="170">
        <v>22</v>
      </c>
      <c r="O17" s="170">
        <v>22</v>
      </c>
      <c r="P17" s="168">
        <v>19</v>
      </c>
      <c r="Q17" s="503">
        <v>32</v>
      </c>
      <c r="R17" s="516">
        <v>40</v>
      </c>
      <c r="S17" s="168">
        <f>+SUMIF('Monthly Detail'!$4:$4, S15,'Monthly Detail'!17:17)</f>
        <v>19</v>
      </c>
      <c r="T17" s="168">
        <f>+SUMIF('Monthly Detail'!$4:$4, T15,'Monthly Detail'!17:17)</f>
        <v>29</v>
      </c>
      <c r="U17" s="168">
        <f>+SUMIF('Monthly Detail'!$4:$4, U15,'Monthly Detail'!17:17)</f>
        <v>32</v>
      </c>
      <c r="V17" s="168">
        <f>+SUMIF('Monthly Detail'!$4:$4, V15,'Monthly Detail'!17:17)</f>
        <v>32</v>
      </c>
      <c r="W17" s="168">
        <f>+SUMIF('Monthly Detail'!$4:$4, W15,'Monthly Detail'!17:17)</f>
        <v>19</v>
      </c>
      <c r="X17" s="168">
        <f>+SUMIF('Monthly Detail'!$4:$4, X15,'Monthly Detail'!17:17)</f>
        <v>16</v>
      </c>
      <c r="Y17" s="168">
        <f>+SUMIF('Monthly Detail'!$4:$4, Y15,'Monthly Detail'!17:17)</f>
        <v>15</v>
      </c>
      <c r="Z17" s="168">
        <f>+SUMIF('Monthly Detail'!$4:$4, Z15,'Monthly Detail'!17:17)</f>
        <v>20</v>
      </c>
      <c r="AA17" s="168">
        <f>+SUMIF('Monthly Detail'!$4:$4, AA15,'Monthly Detail'!17:17)</f>
        <v>17</v>
      </c>
      <c r="AB17" s="168">
        <v>22</v>
      </c>
      <c r="AC17" s="168">
        <v>16</v>
      </c>
      <c r="AD17" s="168">
        <v>30</v>
      </c>
      <c r="AE17" s="168">
        <v>38</v>
      </c>
      <c r="AF17" s="168">
        <f>+SUMIF('Monthly Detail'!$4:$4, $B$14,'Monthly Detail'!17:17)</f>
        <v>42</v>
      </c>
      <c r="AG17" s="324">
        <v>21</v>
      </c>
      <c r="AH17" s="236">
        <v>33</v>
      </c>
      <c r="AI17" s="236">
        <v>35</v>
      </c>
      <c r="AJ17" s="170">
        <v>33</v>
      </c>
      <c r="AK17" s="170">
        <v>34</v>
      </c>
      <c r="AL17" s="344">
        <v>34</v>
      </c>
      <c r="AM17" s="516">
        <v>31</v>
      </c>
      <c r="AN17" s="236">
        <v>32</v>
      </c>
      <c r="AO17" s="236">
        <v>43</v>
      </c>
      <c r="AP17" s="236">
        <v>38</v>
      </c>
      <c r="AQ17" s="236">
        <v>38</v>
      </c>
      <c r="AR17" s="236">
        <v>38</v>
      </c>
      <c r="AS17" s="561">
        <f t="shared" ref="AS17:AS25" si="0">+AF17-R17</f>
        <v>2</v>
      </c>
      <c r="AT17" s="561">
        <f t="shared" ref="AT17:AT25" si="1">+AF17-AO17</f>
        <v>-1</v>
      </c>
    </row>
    <row r="18" spans="2:46" x14ac:dyDescent="0.3">
      <c r="B18" s="623"/>
      <c r="C18" s="506" t="s">
        <v>67</v>
      </c>
      <c r="D18" s="339"/>
      <c r="E18" s="338">
        <v>2</v>
      </c>
      <c r="F18" s="338">
        <v>0</v>
      </c>
      <c r="G18" s="338">
        <v>2</v>
      </c>
      <c r="H18" s="338">
        <v>2</v>
      </c>
      <c r="I18" s="338">
        <v>2</v>
      </c>
      <c r="J18" s="338">
        <v>2</v>
      </c>
      <c r="K18" s="288">
        <v>2</v>
      </c>
      <c r="L18" s="338">
        <v>2</v>
      </c>
      <c r="M18" s="338">
        <v>2</v>
      </c>
      <c r="N18" s="338">
        <v>2</v>
      </c>
      <c r="O18" s="395">
        <v>0</v>
      </c>
      <c r="P18" s="395">
        <v>3</v>
      </c>
      <c r="Q18" s="577">
        <v>2</v>
      </c>
      <c r="R18" s="598">
        <v>2</v>
      </c>
      <c r="S18" s="395">
        <f>+SUMIF('Monthly Detail'!$4:$4, S15,'Monthly Detail'!18:18)</f>
        <v>11</v>
      </c>
      <c r="T18" s="395">
        <f>+SUMIF('Monthly Detail'!$4:$4, T15,'Monthly Detail'!18:18)</f>
        <v>10</v>
      </c>
      <c r="U18" s="395">
        <f>+SUMIF('Monthly Detail'!$4:$4, U15,'Monthly Detail'!18:18)</f>
        <v>3</v>
      </c>
      <c r="V18" s="395">
        <f>+SUMIF('Monthly Detail'!$4:$4, V15,'Monthly Detail'!18:18)</f>
        <v>0</v>
      </c>
      <c r="W18" s="395">
        <f>+SUMIF('Monthly Detail'!$4:$4, W15,'Monthly Detail'!18:18)</f>
        <v>-13</v>
      </c>
      <c r="X18" s="395">
        <f>+SUMIF('Monthly Detail'!$4:$4, X15,'Monthly Detail'!18:18)</f>
        <v>-3</v>
      </c>
      <c r="Y18" s="395">
        <f>+SUMIF('Monthly Detail'!$4:$4, Y15,'Monthly Detail'!18:18)</f>
        <v>-1</v>
      </c>
      <c r="Z18" s="395">
        <f>+SUMIF('Monthly Detail'!$4:$4, Z15,'Monthly Detail'!18:18)</f>
        <v>5</v>
      </c>
      <c r="AA18" s="395">
        <f>+SUMIF('Monthly Detail'!$4:$4, AA15,'Monthly Detail'!18:18)</f>
        <v>-3</v>
      </c>
      <c r="AB18" s="396">
        <v>2</v>
      </c>
      <c r="AC18" s="395">
        <v>-6</v>
      </c>
      <c r="AD18" s="395">
        <v>6</v>
      </c>
      <c r="AE18" s="396">
        <v>8</v>
      </c>
      <c r="AF18" s="396">
        <f>+SUMIF('Monthly Detail'!$4:$4, $B$14,'Monthly Detail'!18:18)</f>
        <v>4</v>
      </c>
      <c r="AG18" s="396">
        <v>2</v>
      </c>
      <c r="AH18" s="396">
        <v>12</v>
      </c>
      <c r="AI18" s="396">
        <v>2</v>
      </c>
      <c r="AJ18" s="396">
        <v>-2</v>
      </c>
      <c r="AK18" s="396">
        <v>1</v>
      </c>
      <c r="AL18" s="397">
        <v>0</v>
      </c>
      <c r="AM18" s="517">
        <v>-3</v>
      </c>
      <c r="AN18" s="237">
        <v>1</v>
      </c>
      <c r="AO18" s="237">
        <v>11</v>
      </c>
      <c r="AP18" s="237">
        <v>-5</v>
      </c>
      <c r="AQ18" s="237">
        <v>0</v>
      </c>
      <c r="AR18" s="237">
        <v>0</v>
      </c>
      <c r="AS18" s="392">
        <f t="shared" si="0"/>
        <v>2</v>
      </c>
      <c r="AT18" s="568">
        <f t="shared" si="1"/>
        <v>-7</v>
      </c>
    </row>
    <row r="19" spans="2:46" x14ac:dyDescent="0.3">
      <c r="B19" s="623"/>
      <c r="C19" s="507" t="s">
        <v>333</v>
      </c>
      <c r="D19" s="339"/>
      <c r="E19" s="340">
        <v>70</v>
      </c>
      <c r="F19" s="338">
        <v>50</v>
      </c>
      <c r="G19" s="338">
        <v>28</v>
      </c>
      <c r="H19" s="338">
        <v>28</v>
      </c>
      <c r="I19" s="338">
        <v>28</v>
      </c>
      <c r="J19" s="338">
        <v>72.666666666666671</v>
      </c>
      <c r="K19" s="288">
        <v>28</v>
      </c>
      <c r="L19" s="338">
        <v>28</v>
      </c>
      <c r="M19" s="338">
        <v>28</v>
      </c>
      <c r="N19" s="338">
        <v>59</v>
      </c>
      <c r="O19" s="338">
        <v>65.333333333333329</v>
      </c>
      <c r="P19" s="338">
        <v>60</v>
      </c>
      <c r="Q19" s="325">
        <v>79.666666666666671</v>
      </c>
      <c r="R19" s="237">
        <v>110.66666666666667</v>
      </c>
      <c r="S19" s="338">
        <f>+SUMIF('Monthly Detail'!$4:$4, S15,'Monthly Detail'!21:21)</f>
        <v>70</v>
      </c>
      <c r="T19" s="338">
        <f>+SUMIF('Monthly Detail'!$4:$4, T15,'Monthly Detail'!21:21)</f>
        <v>110</v>
      </c>
      <c r="U19" s="338">
        <f>+SUMIF('Monthly Detail'!$4:$4, U15,'Monthly Detail'!21:21)</f>
        <v>114</v>
      </c>
      <c r="V19" s="338">
        <f>+SUMIF('Monthly Detail'!$4:$4, V15,'Monthly Detail'!21:21)</f>
        <v>73</v>
      </c>
      <c r="W19" s="338">
        <f>+SUMIF('Monthly Detail'!$4:$4, W15,'Monthly Detail'!21:21)</f>
        <v>31</v>
      </c>
      <c r="X19" s="338">
        <f>+SUMIF('Monthly Detail'!$4:$4, X15,'Monthly Detail'!21:21)</f>
        <v>34</v>
      </c>
      <c r="Y19" s="338">
        <f>+SUMIF('Monthly Detail'!$4:$4, Y15,'Monthly Detail'!21:21)</f>
        <v>56</v>
      </c>
      <c r="Z19" s="338">
        <f>+SUMIF('Monthly Detail'!$4:$4, Z15,'Monthly Detail'!21:21)</f>
        <v>36</v>
      </c>
      <c r="AA19" s="338">
        <f>+SUMIF('Monthly Detail'!$4:$4, AA15,'Monthly Detail'!21:21)</f>
        <v>49</v>
      </c>
      <c r="AB19" s="338">
        <v>85</v>
      </c>
      <c r="AC19" s="338">
        <v>30</v>
      </c>
      <c r="AD19" s="338">
        <v>118</v>
      </c>
      <c r="AE19" s="338">
        <v>169</v>
      </c>
      <c r="AF19" s="338">
        <f>+SUMIF('Monthly Detail'!$4:$4, $B$14,'Monthly Detail'!21:21)</f>
        <v>125</v>
      </c>
      <c r="AG19" s="325">
        <v>28</v>
      </c>
      <c r="AH19" s="237">
        <v>44.95772282967198</v>
      </c>
      <c r="AI19" s="237">
        <v>36.609377181381348</v>
      </c>
      <c r="AJ19" s="338">
        <v>54.895556399544255</v>
      </c>
      <c r="AK19" s="338">
        <v>94.499879156164781</v>
      </c>
      <c r="AL19" s="345">
        <v>62.003873280329451</v>
      </c>
      <c r="AM19" s="237">
        <v>91.127990884922141</v>
      </c>
      <c r="AN19" s="237">
        <v>85.378673010180634</v>
      </c>
      <c r="AO19" s="237">
        <v>115.36827605256173</v>
      </c>
      <c r="AP19" s="237">
        <v>94.155611548276326</v>
      </c>
      <c r="AQ19" s="237">
        <v>55.621396264199156</v>
      </c>
      <c r="AR19" s="237">
        <v>37.703276594275458</v>
      </c>
      <c r="AS19" s="392">
        <f t="shared" si="0"/>
        <v>14.333333333333329</v>
      </c>
      <c r="AT19" s="392">
        <f t="shared" si="1"/>
        <v>9.6317239474382745</v>
      </c>
    </row>
    <row r="20" spans="2:46" x14ac:dyDescent="0.3">
      <c r="B20" s="623"/>
      <c r="C20" s="508" t="s">
        <v>62</v>
      </c>
      <c r="D20" s="339"/>
      <c r="E20" s="340">
        <v>0.2</v>
      </c>
      <c r="F20" s="340">
        <v>0.21</v>
      </c>
      <c r="G20" s="340">
        <v>0.21</v>
      </c>
      <c r="H20" s="340">
        <v>0.21</v>
      </c>
      <c r="I20" s="340">
        <v>0.21</v>
      </c>
      <c r="J20" s="340">
        <v>0.10448412698412697</v>
      </c>
      <c r="K20" s="289">
        <v>0.1118421052631579</v>
      </c>
      <c r="L20" s="340">
        <v>8.5869565217391308E-2</v>
      </c>
      <c r="M20" s="340">
        <v>0.13035714285714287</v>
      </c>
      <c r="N20" s="340">
        <v>0.21338383838383837</v>
      </c>
      <c r="O20" s="340">
        <v>0.15909090909090909</v>
      </c>
      <c r="P20" s="340">
        <v>0.19843749999999999</v>
      </c>
      <c r="Q20" s="326">
        <v>0.19279176201372997</v>
      </c>
      <c r="R20" s="238">
        <v>0.22500000000000001</v>
      </c>
      <c r="S20" s="340">
        <f>+SUMIF('Monthly Detail'!$4:$4, S15,'Monthly Detail'!24:24)</f>
        <v>0.19279176201372997</v>
      </c>
      <c r="T20" s="340">
        <f>+SUMIF('Monthly Detail'!$4:$4, T15,'Monthly Detail'!24:24)</f>
        <v>0.22500000000000001</v>
      </c>
      <c r="U20" s="340">
        <f>+SUMIF('Monthly Detail'!$4:$4, U15,'Monthly Detail'!24:24)</f>
        <v>0.19353693181818182</v>
      </c>
      <c r="V20" s="340">
        <f>+SUMIF('Monthly Detail'!$4:$4, V15,'Monthly Detail'!24:24)</f>
        <v>0.13125000000000001</v>
      </c>
      <c r="W20" s="340">
        <f>+SUMIF('Monthly Detail'!$4:$4, W15,'Monthly Detail'!24:24)</f>
        <v>9.5567867036011084E-2</v>
      </c>
      <c r="X20" s="340">
        <f>+SUMIF('Monthly Detail'!$4:$4, X15,'Monthly Detail'!24:24)</f>
        <v>0.12784090909090909</v>
      </c>
      <c r="Y20" s="340">
        <f>+SUMIF('Monthly Detail'!$4:$4, Y15,'Monthly Detail'!24:24)</f>
        <v>0.2365079365079365</v>
      </c>
      <c r="Z20" s="340">
        <f>+SUMIF('Monthly Detail'!$4:$4, Z15,'Monthly Detail'!24:24)</f>
        <v>0.14345238095238094</v>
      </c>
      <c r="AA20" s="340">
        <f>+SUMIF('Monthly Detail'!$4:$4, AA15,'Monthly Detail'!24:24)</f>
        <v>0.18649732620320855</v>
      </c>
      <c r="AB20" s="340">
        <v>0.18626482213438733</v>
      </c>
      <c r="AC20" s="340">
        <v>0.15937499999999999</v>
      </c>
      <c r="AD20" s="340">
        <v>0.20568181818181819</v>
      </c>
      <c r="AE20" s="340">
        <v>0.26525119617224879</v>
      </c>
      <c r="AF20" s="340">
        <f>+SUMIF('Monthly Detail'!$4:$4, $B$14,'Monthly Detail'!24:24)</f>
        <v>0.16241496598639454</v>
      </c>
      <c r="AG20" s="326">
        <v>0.10448412698412697</v>
      </c>
      <c r="AH20" s="238">
        <v>0.1118421052631579</v>
      </c>
      <c r="AI20" s="238">
        <v>8.5869565217391308E-2</v>
      </c>
      <c r="AJ20" s="340">
        <v>0.13035714285714287</v>
      </c>
      <c r="AK20" s="340">
        <v>0.20833333333333334</v>
      </c>
      <c r="AL20" s="346">
        <v>0.1571969696969697</v>
      </c>
      <c r="AM20" s="238">
        <v>0.23035714285714287</v>
      </c>
      <c r="AN20" s="238">
        <v>0.20907928388746802</v>
      </c>
      <c r="AO20" s="238">
        <v>0.22025862068965518</v>
      </c>
      <c r="AP20" s="238">
        <v>0.18572443181818182</v>
      </c>
      <c r="AQ20" s="238">
        <v>0.1328125</v>
      </c>
      <c r="AR20" s="238">
        <v>9.0027700831024932E-2</v>
      </c>
      <c r="AS20" s="392">
        <f t="shared" si="0"/>
        <v>-6.2585034013605462E-2</v>
      </c>
      <c r="AT20" s="392">
        <f t="shared" si="1"/>
        <v>-5.7843654703260639E-2</v>
      </c>
    </row>
    <row r="21" spans="2:46" x14ac:dyDescent="0.3">
      <c r="B21" s="623"/>
      <c r="C21" s="508" t="s">
        <v>63</v>
      </c>
      <c r="D21" s="339"/>
      <c r="E21" s="340">
        <v>78.2</v>
      </c>
      <c r="F21" s="340">
        <v>71</v>
      </c>
      <c r="G21" s="340">
        <v>92.399999999999991</v>
      </c>
      <c r="H21" s="340">
        <v>75.599999999999994</v>
      </c>
      <c r="I21" s="340">
        <v>135.66</v>
      </c>
      <c r="J21" s="340">
        <v>48.271666666666661</v>
      </c>
      <c r="K21" s="289">
        <v>49.32236842105263</v>
      </c>
      <c r="L21" s="340">
        <v>37.868478260869566</v>
      </c>
      <c r="M21" s="340">
        <v>77.432142857142864</v>
      </c>
      <c r="N21" s="340">
        <v>107.97222222222221</v>
      </c>
      <c r="O21" s="340">
        <v>70</v>
      </c>
      <c r="P21" s="340">
        <v>82.946874999999991</v>
      </c>
      <c r="Q21" s="326">
        <v>135.7254004576659</v>
      </c>
      <c r="R21" s="238">
        <v>189</v>
      </c>
      <c r="S21" s="340">
        <f>+SUMIF('Monthly Detail'!$4:$4, S15,'Monthly Detail'!25:25)</f>
        <v>84.25</v>
      </c>
      <c r="T21" s="340">
        <f>+SUMIF('Monthly Detail'!$4:$4, T15,'Monthly Detail'!25:25)</f>
        <v>130.5</v>
      </c>
      <c r="U21" s="340">
        <f>+SUMIF('Monthly Detail'!$4:$4, U15,'Monthly Detail'!25:25)</f>
        <v>136.25</v>
      </c>
      <c r="V21" s="340">
        <f>+SUMIF('Monthly Detail'!$4:$4, V15,'Monthly Detail'!25:25)</f>
        <v>84</v>
      </c>
      <c r="W21" s="340">
        <f>+SUMIF('Monthly Detail'!$4:$4, W15,'Monthly Detail'!25:25)</f>
        <v>34.5</v>
      </c>
      <c r="X21" s="340">
        <f>+SUMIF('Monthly Detail'!$4:$4, X15,'Monthly Detail'!25:25)</f>
        <v>45</v>
      </c>
      <c r="Y21" s="340">
        <f>+SUMIF('Monthly Detail'!$4:$4, Y15,'Monthly Detail'!25:25)</f>
        <v>74.5</v>
      </c>
      <c r="Z21" s="340">
        <f>+SUMIF('Monthly Detail'!$4:$4, Z15,'Monthly Detail'!25:25)</f>
        <v>60.25</v>
      </c>
      <c r="AA21" s="340">
        <f>+SUMIF('Monthly Detail'!$4:$4, AA15,'Monthly Detail'!25:25)</f>
        <v>69.75</v>
      </c>
      <c r="AB21" s="340">
        <v>94.25</v>
      </c>
      <c r="AC21" s="340">
        <v>51</v>
      </c>
      <c r="AD21" s="340">
        <v>135.75</v>
      </c>
      <c r="AE21" s="340">
        <v>221.75</v>
      </c>
      <c r="AF21" s="340">
        <f>+SUMIF('Monthly Detail'!$4:$4, $B$14,'Monthly Detail'!25:25)</f>
        <v>143.25</v>
      </c>
      <c r="AG21" s="326">
        <v>48.271666666666661</v>
      </c>
      <c r="AH21" s="238">
        <v>77.506578947368425</v>
      </c>
      <c r="AI21" s="238">
        <v>63.114130434782609</v>
      </c>
      <c r="AJ21" s="340">
        <v>94.63928571428572</v>
      </c>
      <c r="AK21" s="340">
        <v>162.91666666666669</v>
      </c>
      <c r="AL21" s="346">
        <v>106.89393939393939</v>
      </c>
      <c r="AM21" s="238">
        <v>157.10357142857143</v>
      </c>
      <c r="AN21" s="238">
        <v>147.19181585677748</v>
      </c>
      <c r="AO21" s="238">
        <v>198.89353448275864</v>
      </c>
      <c r="AP21" s="238">
        <v>162.32315340909091</v>
      </c>
      <c r="AQ21" s="238">
        <v>95.890625</v>
      </c>
      <c r="AR21" s="238">
        <v>65</v>
      </c>
      <c r="AS21" s="392">
        <f t="shared" si="0"/>
        <v>-45.75</v>
      </c>
      <c r="AT21" s="392">
        <f t="shared" si="1"/>
        <v>-55.643534482758639</v>
      </c>
    </row>
    <row r="22" spans="2:46" ht="14.4" hidden="1" customHeight="1" x14ac:dyDescent="0.3">
      <c r="B22" s="623"/>
      <c r="C22" s="508" t="s">
        <v>162</v>
      </c>
      <c r="D22" s="339"/>
      <c r="E22" s="339">
        <v>0</v>
      </c>
      <c r="F22" s="339"/>
      <c r="G22" s="339">
        <v>0</v>
      </c>
      <c r="H22" s="339">
        <v>0</v>
      </c>
      <c r="I22" s="339"/>
      <c r="J22" s="339">
        <v>0</v>
      </c>
      <c r="K22" s="290">
        <v>0</v>
      </c>
      <c r="L22" s="339">
        <v>0</v>
      </c>
      <c r="M22" s="339">
        <v>0</v>
      </c>
      <c r="N22" s="339">
        <v>0</v>
      </c>
      <c r="O22" s="339">
        <v>0</v>
      </c>
      <c r="P22" s="340">
        <v>0</v>
      </c>
      <c r="Q22" s="326">
        <v>0</v>
      </c>
      <c r="R22" s="238">
        <v>0</v>
      </c>
      <c r="S22" s="340">
        <f>+SUMIF('Monthly Detail'!$4:$4, S15,'Monthly Detail'!26:26)</f>
        <v>0</v>
      </c>
      <c r="T22" s="340">
        <f>+SUMIF('Monthly Detail'!$4:$4, T15,'Monthly Detail'!26:26)</f>
        <v>0</v>
      </c>
      <c r="U22" s="340">
        <f>+SUMIF('Monthly Detail'!$4:$4, U15,'Monthly Detail'!26:26)</f>
        <v>0</v>
      </c>
      <c r="V22" s="340">
        <f>+SUMIF('Monthly Detail'!$4:$4, V15,'Monthly Detail'!26:26)</f>
        <v>0</v>
      </c>
      <c r="W22" s="340">
        <f>+SUMIF('Monthly Detail'!$4:$4, W15,'Monthly Detail'!26:26)</f>
        <v>0</v>
      </c>
      <c r="X22" s="340">
        <f>+SUMIF('Monthly Detail'!$4:$4, X15,'Monthly Detail'!26:26)</f>
        <v>0</v>
      </c>
      <c r="Y22" s="340">
        <f>+SUMIF('Monthly Detail'!$4:$4, Y15,'Monthly Detail'!26:26)</f>
        <v>0</v>
      </c>
      <c r="Z22" s="340">
        <f>+SUMIF('Monthly Detail'!$4:$4, Z15,'Monthly Detail'!26:26)</f>
        <v>0</v>
      </c>
      <c r="AA22" s="340">
        <f>+SUMIF('Monthly Detail'!$4:$4, AA15,'Monthly Detail'!26:26)</f>
        <v>0</v>
      </c>
      <c r="AB22" s="340">
        <v>0</v>
      </c>
      <c r="AC22" s="340">
        <v>0</v>
      </c>
      <c r="AD22" s="340">
        <v>0</v>
      </c>
      <c r="AE22" s="340">
        <v>0</v>
      </c>
      <c r="AF22" s="340">
        <f>+SUMIF('Monthly Detail'!$4:$4, H14,'Monthly Detail'!26:26)</f>
        <v>0</v>
      </c>
      <c r="AG22" s="327">
        <v>0</v>
      </c>
      <c r="AH22" s="239">
        <v>0</v>
      </c>
      <c r="AI22" s="239">
        <v>0</v>
      </c>
      <c r="AJ22" s="339">
        <v>0</v>
      </c>
      <c r="AK22" s="339">
        <v>0</v>
      </c>
      <c r="AL22" s="347">
        <v>0</v>
      </c>
      <c r="AM22" s="239">
        <v>0</v>
      </c>
      <c r="AN22" s="239">
        <v>0</v>
      </c>
      <c r="AO22" s="239">
        <v>0</v>
      </c>
      <c r="AP22" s="239">
        <v>0</v>
      </c>
      <c r="AQ22" s="239">
        <v>0</v>
      </c>
      <c r="AR22" s="239">
        <v>0</v>
      </c>
      <c r="AS22" s="562">
        <f t="shared" si="0"/>
        <v>0</v>
      </c>
      <c r="AT22" s="562">
        <f t="shared" si="1"/>
        <v>0</v>
      </c>
    </row>
    <row r="23" spans="2:46" x14ac:dyDescent="0.3">
      <c r="B23" s="623"/>
      <c r="C23" s="508" t="s">
        <v>64</v>
      </c>
      <c r="D23" s="339"/>
      <c r="E23" s="175">
        <v>62.5</v>
      </c>
      <c r="F23" s="175">
        <v>62.5</v>
      </c>
      <c r="G23" s="175">
        <v>62.5</v>
      </c>
      <c r="H23" s="175">
        <v>62.5</v>
      </c>
      <c r="I23" s="175">
        <v>62.5</v>
      </c>
      <c r="J23" s="175">
        <v>62.5</v>
      </c>
      <c r="K23" s="291">
        <v>62.5</v>
      </c>
      <c r="L23" s="241">
        <v>62.5</v>
      </c>
      <c r="M23" s="241">
        <v>62.5</v>
      </c>
      <c r="N23" s="241">
        <v>62.5</v>
      </c>
      <c r="O23" s="241">
        <v>62.5</v>
      </c>
      <c r="P23" s="241">
        <v>73.189795088465829</v>
      </c>
      <c r="Q23" s="328">
        <v>66.830845681058207</v>
      </c>
      <c r="R23" s="240">
        <v>67.382615588049532</v>
      </c>
      <c r="S23" s="241">
        <f>+SUMIF('Monthly Detail'!$4:$4, S15,'Monthly Detail'!32:32)</f>
        <v>67.096303317535543</v>
      </c>
      <c r="T23" s="241">
        <f>+SUMIF('Monthly Detail'!$4:$4, T15,'Monthly Detail'!32:32)</f>
        <v>67.096475095785436</v>
      </c>
      <c r="U23" s="241">
        <f>+SUMIF('Monthly Detail'!$4:$4, U15,'Monthly Detail'!32:32)</f>
        <v>60.156844036697251</v>
      </c>
      <c r="V23" s="241">
        <f>+SUMIF('Monthly Detail'!$4:$4, V15,'Monthly Detail'!32:32)</f>
        <v>58.787142857142854</v>
      </c>
      <c r="W23" s="241">
        <f>+SUMIF('Monthly Detail'!$4:$4, W15,'Monthly Detail'!32:32)</f>
        <v>62.159420289855071</v>
      </c>
      <c r="X23" s="241">
        <f>+SUMIF('Monthly Detail'!$4:$4, X15,'Monthly Detail'!32:32)</f>
        <v>66.711111111111109</v>
      </c>
      <c r="Y23" s="241">
        <f>+SUMIF('Monthly Detail'!$4:$4, Y15,'Monthly Detail'!32:32)</f>
        <v>58.489932885906043</v>
      </c>
      <c r="Z23" s="241">
        <f>+SUMIF('Monthly Detail'!$4:$4, Z15,'Monthly Detail'!32:32)</f>
        <v>57.751037344398341</v>
      </c>
      <c r="AA23" s="241">
        <f>+SUMIF('Monthly Detail'!$4:$4, AA15,'Monthly Detail'!32:32)</f>
        <v>57.605734767025091</v>
      </c>
      <c r="AB23" s="241">
        <v>60.531352785145884</v>
      </c>
      <c r="AC23" s="241">
        <v>84.475686274509812</v>
      </c>
      <c r="AD23" s="241">
        <v>66.746887661141812</v>
      </c>
      <c r="AE23" s="241">
        <v>63.635896279594135</v>
      </c>
      <c r="AF23" s="241">
        <f>+SUMIF('Monthly Detail'!$4:$4, $B$14,'Monthly Detail'!32:32)</f>
        <v>69.092495636998251</v>
      </c>
      <c r="AG23" s="328">
        <v>62.5</v>
      </c>
      <c r="AH23" s="240">
        <v>62.5</v>
      </c>
      <c r="AI23" s="240">
        <v>62.5</v>
      </c>
      <c r="AJ23" s="241">
        <v>62.5</v>
      </c>
      <c r="AK23" s="241">
        <v>62.5</v>
      </c>
      <c r="AL23" s="348">
        <v>62.5</v>
      </c>
      <c r="AM23" s="240">
        <v>62.5</v>
      </c>
      <c r="AN23" s="240">
        <v>62.5</v>
      </c>
      <c r="AO23" s="240">
        <v>62.5</v>
      </c>
      <c r="AP23" s="240">
        <v>62.5</v>
      </c>
      <c r="AQ23" s="240">
        <v>62.5</v>
      </c>
      <c r="AR23" s="240">
        <v>62.5</v>
      </c>
      <c r="AS23" s="392">
        <f t="shared" si="0"/>
        <v>1.7098800489487189</v>
      </c>
      <c r="AT23" s="568">
        <f t="shared" si="1"/>
        <v>6.592495636998251</v>
      </c>
    </row>
    <row r="24" spans="2:46" ht="2.4" customHeight="1" x14ac:dyDescent="0.3">
      <c r="B24" s="279"/>
      <c r="C24" s="508"/>
      <c r="D24" s="339"/>
      <c r="E24" s="339"/>
      <c r="F24" s="339"/>
      <c r="G24" s="339"/>
      <c r="H24" s="339"/>
      <c r="I24" s="339"/>
      <c r="J24" s="339"/>
      <c r="K24" s="290"/>
      <c r="L24" s="339"/>
      <c r="M24" s="339"/>
      <c r="N24" s="339"/>
      <c r="O24" s="339"/>
      <c r="P24" s="339"/>
      <c r="Q24" s="327"/>
      <c r="R24" s="239"/>
      <c r="S24" s="339"/>
      <c r="T24" s="339"/>
      <c r="U24" s="339"/>
      <c r="V24" s="339"/>
      <c r="W24" s="339"/>
      <c r="X24" s="339"/>
      <c r="Y24" s="339"/>
      <c r="Z24" s="339"/>
      <c r="AA24" s="339"/>
      <c r="AB24" s="339"/>
      <c r="AC24" s="339"/>
      <c r="AD24" s="339"/>
      <c r="AE24" s="339"/>
      <c r="AF24" s="339"/>
      <c r="AG24" s="327"/>
      <c r="AH24" s="239"/>
      <c r="AI24" s="239"/>
      <c r="AJ24" s="339"/>
      <c r="AK24" s="339"/>
      <c r="AL24" s="347"/>
      <c r="AM24" s="239"/>
      <c r="AN24" s="239"/>
      <c r="AO24" s="239"/>
      <c r="AP24" s="239"/>
      <c r="AQ24" s="239"/>
      <c r="AR24" s="239"/>
      <c r="AS24" s="562">
        <f t="shared" si="0"/>
        <v>0</v>
      </c>
      <c r="AT24" s="562">
        <f t="shared" si="1"/>
        <v>0</v>
      </c>
    </row>
    <row r="25" spans="2:46" ht="15" thickBot="1" x14ac:dyDescent="0.35">
      <c r="B25" s="280"/>
      <c r="C25" s="509" t="s">
        <v>65</v>
      </c>
      <c r="D25" s="169"/>
      <c r="E25" s="171">
        <v>2.5000000000000001E-2</v>
      </c>
      <c r="F25" s="171">
        <v>2.6249999999999999E-2</v>
      </c>
      <c r="G25" s="171">
        <v>2.6249999999999999E-2</v>
      </c>
      <c r="H25" s="171">
        <v>2.6249999999999999E-2</v>
      </c>
      <c r="I25" s="171">
        <v>2.6249999999999999E-2</v>
      </c>
      <c r="J25" s="171">
        <v>1.3060515873015871E-2</v>
      </c>
      <c r="K25" s="292">
        <v>1.3980263157894737E-2</v>
      </c>
      <c r="L25" s="243">
        <v>1.0733695652173914E-2</v>
      </c>
      <c r="M25" s="243">
        <v>1.6294642857142858E-2</v>
      </c>
      <c r="N25" s="243">
        <v>2.6672979797979796E-2</v>
      </c>
      <c r="O25" s="243">
        <v>1.9886363636363636E-2</v>
      </c>
      <c r="P25" s="243">
        <v>2.4804687499999999E-2</v>
      </c>
      <c r="Q25" s="329">
        <v>2.4098970251716246E-2</v>
      </c>
      <c r="R25" s="242">
        <v>2.8125000000000001E-2</v>
      </c>
      <c r="S25" s="243">
        <f>+SUMIF('Monthly Detail'!$4:$4, S15,'Monthly Detail'!48:48)</f>
        <v>2.4098970251716246E-2</v>
      </c>
      <c r="T25" s="243">
        <f>+SUMIF('Monthly Detail'!$4:$4, T15,'Monthly Detail'!48:48)</f>
        <v>2.8125000000000001E-2</v>
      </c>
      <c r="U25" s="243">
        <f>+SUMIF('Monthly Detail'!$4:$4, U15,'Monthly Detail'!48:48)</f>
        <v>2.4192116477272728E-2</v>
      </c>
      <c r="V25" s="243">
        <f>+SUMIF('Monthly Detail'!$4:$4, V15,'Monthly Detail'!48:48)</f>
        <v>1.6406250000000001E-2</v>
      </c>
      <c r="W25" s="243">
        <f>+SUMIF('Monthly Detail'!$4:$4, W15,'Monthly Detail'!48:48)</f>
        <v>1.1945983379501385E-2</v>
      </c>
      <c r="X25" s="243">
        <f>+SUMIF('Monthly Detail'!$4:$4, X15,'Monthly Detail'!48:48)</f>
        <v>1.5980113636363636E-2</v>
      </c>
      <c r="Y25" s="243">
        <f>+SUMIF('Monthly Detail'!$4:$4, Y15,'Monthly Detail'!48:48)</f>
        <v>2.9563492063492063E-2</v>
      </c>
      <c r="Z25" s="243">
        <f>+SUMIF('Monthly Detail'!$4:$4, Z15,'Monthly Detail'!48:48)</f>
        <v>1.7931547619047618E-2</v>
      </c>
      <c r="AA25" s="243">
        <f>+SUMIF('Monthly Detail'!$4:$4, AA15,'Monthly Detail'!48:48)</f>
        <v>2.3312165775401069E-2</v>
      </c>
      <c r="AB25" s="243">
        <v>2.3283102766798416E-2</v>
      </c>
      <c r="AC25" s="243">
        <v>1.9921874999999999E-2</v>
      </c>
      <c r="AD25" s="243">
        <v>2.5710227272727273E-2</v>
      </c>
      <c r="AE25" s="243">
        <v>3.3156399521531099E-2</v>
      </c>
      <c r="AF25" s="243">
        <f>+SUMIF('Monthly Detail'!$4:$4, $B$14,'Monthly Detail'!48:48)</f>
        <v>2.0301870748299318E-2</v>
      </c>
      <c r="AG25" s="329">
        <v>1.3060515873015871E-2</v>
      </c>
      <c r="AH25" s="242">
        <v>1.3980263157894737E-2</v>
      </c>
      <c r="AI25" s="242">
        <v>1.0733695652173914E-2</v>
      </c>
      <c r="AJ25" s="243">
        <v>1.6294642857142858E-2</v>
      </c>
      <c r="AK25" s="243">
        <v>2.6041666666666668E-2</v>
      </c>
      <c r="AL25" s="349">
        <v>1.9649621212121212E-2</v>
      </c>
      <c r="AM25" s="242">
        <v>2.8794642857142859E-2</v>
      </c>
      <c r="AN25" s="242">
        <v>2.6134910485933503E-2</v>
      </c>
      <c r="AO25" s="242">
        <v>2.7532327586206898E-2</v>
      </c>
      <c r="AP25" s="242">
        <v>2.3215553977272728E-2</v>
      </c>
      <c r="AQ25" s="242">
        <v>1.66015625E-2</v>
      </c>
      <c r="AR25" s="242">
        <v>1.1253462603878116E-2</v>
      </c>
      <c r="AS25" s="563">
        <f t="shared" si="0"/>
        <v>-7.8231292517006827E-3</v>
      </c>
      <c r="AT25" s="563">
        <f t="shared" si="1"/>
        <v>-7.2304568379075798E-3</v>
      </c>
    </row>
    <row r="26" spans="2:46" x14ac:dyDescent="0.3">
      <c r="B26" s="624" t="s">
        <v>9</v>
      </c>
      <c r="C26" s="625"/>
      <c r="D26" s="218"/>
      <c r="E26" s="218"/>
      <c r="F26" s="218"/>
      <c r="G26" s="218"/>
      <c r="H26" s="218"/>
      <c r="I26" s="218"/>
      <c r="J26" s="218"/>
      <c r="K26" s="293"/>
      <c r="L26" s="218"/>
      <c r="M26" s="218"/>
      <c r="N26" s="218"/>
      <c r="O26" s="491"/>
      <c r="P26" s="491"/>
      <c r="Q26" s="493"/>
      <c r="R26" s="494"/>
      <c r="S26" s="491"/>
      <c r="T26" s="491"/>
      <c r="U26" s="491"/>
      <c r="V26" s="491"/>
      <c r="W26" s="491"/>
      <c r="X26" s="491"/>
      <c r="Y26" s="491"/>
      <c r="Z26" s="491"/>
      <c r="AA26" s="491"/>
      <c r="AB26" s="491"/>
      <c r="AC26" s="491"/>
      <c r="AD26" s="491"/>
      <c r="AE26" s="491"/>
      <c r="AF26" s="491"/>
      <c r="AG26" s="493"/>
      <c r="AH26" s="494"/>
      <c r="AI26" s="494"/>
      <c r="AJ26" s="491"/>
      <c r="AK26" s="491"/>
      <c r="AL26" s="495"/>
      <c r="AM26" s="494"/>
      <c r="AN26" s="494"/>
      <c r="AO26" s="494"/>
      <c r="AP26" s="494"/>
      <c r="AQ26" s="494"/>
      <c r="AR26" s="494"/>
      <c r="AS26" s="564"/>
      <c r="AT26" s="564"/>
    </row>
    <row r="27" spans="2:46" x14ac:dyDescent="0.3">
      <c r="B27" s="618" t="s">
        <v>330</v>
      </c>
      <c r="C27" s="619"/>
      <c r="E27" s="174"/>
      <c r="F27" s="174"/>
      <c r="G27" s="174"/>
      <c r="H27" s="174"/>
      <c r="I27" s="174"/>
      <c r="J27" s="174"/>
      <c r="K27" s="294"/>
      <c r="L27" s="245"/>
      <c r="M27" s="245"/>
      <c r="N27" s="245">
        <v>0</v>
      </c>
      <c r="O27" s="496">
        <v>0</v>
      </c>
      <c r="P27" s="496">
        <v>650</v>
      </c>
      <c r="Q27" s="497">
        <v>1612.6240274599538</v>
      </c>
      <c r="R27" s="498">
        <v>3719.6</v>
      </c>
      <c r="S27" s="496"/>
      <c r="T27" s="496"/>
      <c r="U27" s="496"/>
      <c r="V27" s="496"/>
      <c r="W27" s="496"/>
      <c r="X27" s="496"/>
      <c r="Y27" s="496"/>
      <c r="Z27" s="496"/>
      <c r="AA27" s="496"/>
      <c r="AB27" s="496">
        <v>0</v>
      </c>
      <c r="AC27" s="496">
        <v>0</v>
      </c>
      <c r="AD27" s="496">
        <v>610</v>
      </c>
      <c r="AE27" s="496">
        <v>900</v>
      </c>
      <c r="AF27" s="496">
        <f>+SUMIF('Monthly Detail'!$4:$4, $B$14,'Monthly Detail'!62:62)</f>
        <v>335</v>
      </c>
      <c r="AG27" s="497"/>
      <c r="AH27" s="498"/>
      <c r="AI27" s="498"/>
      <c r="AJ27" s="496"/>
      <c r="AK27" s="496">
        <v>0</v>
      </c>
      <c r="AL27" s="499">
        <v>0</v>
      </c>
      <c r="AM27" s="498">
        <v>0</v>
      </c>
      <c r="AN27" s="498">
        <v>0</v>
      </c>
      <c r="AO27" s="498">
        <v>1035.7413793103456</v>
      </c>
      <c r="AP27" s="498"/>
      <c r="AQ27" s="498"/>
      <c r="AR27" s="498"/>
      <c r="AS27" s="469">
        <f t="shared" ref="AS27:AS49" si="2">+AF27-R27</f>
        <v>-3384.6</v>
      </c>
      <c r="AT27" s="469">
        <f t="shared" ref="AT27:AT49" si="3">+AF27-AO27</f>
        <v>-700.74137931034556</v>
      </c>
    </row>
    <row r="28" spans="2:46" x14ac:dyDescent="0.3">
      <c r="B28" s="620" t="s">
        <v>332</v>
      </c>
      <c r="C28" s="621"/>
      <c r="D28" s="5"/>
      <c r="E28" s="172">
        <f>+E2-E27</f>
        <v>0</v>
      </c>
      <c r="F28" s="172">
        <f>+F2-F27</f>
        <v>0</v>
      </c>
      <c r="G28" s="172">
        <v>5166.6266666666661</v>
      </c>
      <c r="H28" s="172">
        <v>3957.7216666666668</v>
      </c>
      <c r="I28" s="172">
        <v>7569.7233333333343</v>
      </c>
      <c r="J28" s="172">
        <v>2255.7184999999999</v>
      </c>
      <c r="K28" s="295">
        <v>1022.1880263157896</v>
      </c>
      <c r="L28" s="172">
        <v>1435.4298913043481</v>
      </c>
      <c r="M28" s="172">
        <v>3942.5624846915707</v>
      </c>
      <c r="N28" s="172">
        <v>4387.4070731396541</v>
      </c>
      <c r="O28" s="172">
        <v>3311.2272398005284</v>
      </c>
      <c r="P28" s="172">
        <f t="shared" ref="P28" si="4">+P16-P27</f>
        <v>5420.8647844785883</v>
      </c>
      <c r="Q28" s="331">
        <v>7458.0192655261426</v>
      </c>
      <c r="R28" s="246">
        <v>9015.7143461413616</v>
      </c>
      <c r="S28" s="172">
        <f t="shared" ref="S28:AA28" si="5">+S2-S27</f>
        <v>0</v>
      </c>
      <c r="T28" s="172">
        <f t="shared" si="5"/>
        <v>0</v>
      </c>
      <c r="U28" s="172">
        <f t="shared" si="5"/>
        <v>0</v>
      </c>
      <c r="V28" s="172">
        <f t="shared" si="5"/>
        <v>0</v>
      </c>
      <c r="W28" s="172">
        <f t="shared" si="5"/>
        <v>0</v>
      </c>
      <c r="X28" s="172">
        <f t="shared" si="5"/>
        <v>0</v>
      </c>
      <c r="Y28" s="172">
        <f t="shared" si="5"/>
        <v>0</v>
      </c>
      <c r="Z28" s="172">
        <f t="shared" si="5"/>
        <v>0</v>
      </c>
      <c r="AA28" s="172">
        <f t="shared" si="5"/>
        <v>0</v>
      </c>
      <c r="AB28" s="172">
        <v>5015.13</v>
      </c>
      <c r="AC28" s="172">
        <v>4308.26</v>
      </c>
      <c r="AD28" s="172">
        <v>8450.8900000000012</v>
      </c>
      <c r="AE28" s="172">
        <v>13211.26</v>
      </c>
      <c r="AF28" s="172">
        <f t="shared" ref="AF28" si="6">+AF16-AF27</f>
        <v>9562.5</v>
      </c>
      <c r="AG28" s="331">
        <f>+AG2-AG27</f>
        <v>0</v>
      </c>
      <c r="AH28" s="246">
        <f>+AH2-AH27</f>
        <v>0</v>
      </c>
      <c r="AI28" s="246">
        <f>+AI2-AI27</f>
        <v>0</v>
      </c>
      <c r="AJ28" s="172">
        <f>+AJ2-AJ27</f>
        <v>0</v>
      </c>
      <c r="AK28" s="172">
        <f>+AK2-AK27</f>
        <v>0</v>
      </c>
      <c r="AL28" s="351">
        <f>+AL16-AL27</f>
        <v>6730.371212121212</v>
      </c>
      <c r="AM28" s="246">
        <f>+AM16-AM27</f>
        <v>9868.4732142857138</v>
      </c>
      <c r="AN28" s="246">
        <f>+AN16-AN27</f>
        <v>9248.9884910485926</v>
      </c>
      <c r="AO28" s="246">
        <f>+AO16-AO27</f>
        <v>11444.604525862069</v>
      </c>
      <c r="AP28" s="246">
        <f>+AP2-AP27</f>
        <v>0</v>
      </c>
      <c r="AQ28" s="246">
        <f>+AQ2-AQ27</f>
        <v>0</v>
      </c>
      <c r="AR28" s="246">
        <f>+AR2-AR27</f>
        <v>0</v>
      </c>
      <c r="AS28" s="468">
        <f t="shared" si="2"/>
        <v>546.7856538586384</v>
      </c>
      <c r="AT28" s="468">
        <f t="shared" si="3"/>
        <v>-1882.1045258620688</v>
      </c>
    </row>
    <row r="29" spans="2:46" x14ac:dyDescent="0.3">
      <c r="B29" s="626" t="s">
        <v>233</v>
      </c>
      <c r="C29" s="627"/>
      <c r="D29" s="303"/>
      <c r="E29" s="304"/>
      <c r="F29" s="304"/>
      <c r="G29" s="304"/>
      <c r="H29" s="304"/>
      <c r="I29" s="304"/>
      <c r="J29" s="304"/>
      <c r="K29" s="305" t="e">
        <f>+K28/K2</f>
        <v>#DIV/0!</v>
      </c>
      <c r="L29" s="510">
        <v>0.59259456203114436</v>
      </c>
      <c r="M29" s="510">
        <v>0.88787970479928569</v>
      </c>
      <c r="N29" s="510">
        <v>0.72582965315378078</v>
      </c>
      <c r="O29" s="510">
        <v>0.82062350132013073</v>
      </c>
      <c r="P29" s="510">
        <f t="shared" ref="P29" si="7">+P28/P16</f>
        <v>0.89293123416916509</v>
      </c>
      <c r="Q29" s="511">
        <v>0.8222150320135595</v>
      </c>
      <c r="R29" s="512">
        <v>0.70793025606572546</v>
      </c>
      <c r="S29" s="304"/>
      <c r="T29" s="304"/>
      <c r="U29" s="304"/>
      <c r="V29" s="304"/>
      <c r="W29" s="304"/>
      <c r="X29" s="304"/>
      <c r="Y29" s="512">
        <v>0.87906392197830707</v>
      </c>
      <c r="Z29" s="512">
        <v>0.87906392197830707</v>
      </c>
      <c r="AA29" s="512">
        <v>0.87906392197830707</v>
      </c>
      <c r="AB29" s="513">
        <v>0.87906392197830707</v>
      </c>
      <c r="AC29" s="510">
        <v>1</v>
      </c>
      <c r="AD29" s="510">
        <v>0.93267769501671471</v>
      </c>
      <c r="AE29" s="510">
        <v>0.93622114538319046</v>
      </c>
      <c r="AF29" s="510">
        <f t="shared" ref="AF29" si="8">+AF28/AF16</f>
        <v>0.9661530689568073</v>
      </c>
      <c r="AG29" s="511">
        <f>+AG28/AG16</f>
        <v>0</v>
      </c>
      <c r="AH29" s="512">
        <f t="shared" ref="AH29:AR29" si="9">+AH28/AH16</f>
        <v>0</v>
      </c>
      <c r="AI29" s="513">
        <f t="shared" si="9"/>
        <v>0</v>
      </c>
      <c r="AJ29" s="510">
        <f t="shared" si="9"/>
        <v>0</v>
      </c>
      <c r="AK29" s="510">
        <f t="shared" si="9"/>
        <v>0</v>
      </c>
      <c r="AL29" s="514">
        <f t="shared" si="9"/>
        <v>1</v>
      </c>
      <c r="AM29" s="512">
        <f t="shared" si="9"/>
        <v>1</v>
      </c>
      <c r="AN29" s="512">
        <f t="shared" si="9"/>
        <v>1</v>
      </c>
      <c r="AO29" s="512">
        <f t="shared" si="9"/>
        <v>0.91701020250720067</v>
      </c>
      <c r="AP29" s="512">
        <f t="shared" si="9"/>
        <v>0</v>
      </c>
      <c r="AQ29" s="512">
        <f t="shared" si="9"/>
        <v>0</v>
      </c>
      <c r="AR29" s="512">
        <f t="shared" si="9"/>
        <v>0</v>
      </c>
      <c r="AS29" s="515">
        <f t="shared" si="2"/>
        <v>0.25822281289108184</v>
      </c>
      <c r="AT29" s="515">
        <f t="shared" si="3"/>
        <v>4.9142866449606637E-2</v>
      </c>
    </row>
    <row r="30" spans="2:46" x14ac:dyDescent="0.3">
      <c r="B30" s="618" t="s">
        <v>281</v>
      </c>
      <c r="C30" s="619"/>
      <c r="D30" s="341"/>
      <c r="E30" s="341"/>
      <c r="F30" s="341"/>
      <c r="G30" s="341"/>
      <c r="H30" s="341"/>
      <c r="I30" s="341"/>
      <c r="J30" s="341"/>
      <c r="K30" s="245">
        <v>1179.44</v>
      </c>
      <c r="L30" s="245">
        <v>0</v>
      </c>
      <c r="M30" s="245">
        <v>2358.88</v>
      </c>
      <c r="N30" s="245">
        <v>1179.44</v>
      </c>
      <c r="O30" s="496">
        <v>0</v>
      </c>
      <c r="P30" s="496">
        <v>0</v>
      </c>
      <c r="Q30" s="497">
        <v>0</v>
      </c>
      <c r="R30" s="498">
        <v>0</v>
      </c>
      <c r="S30" s="492"/>
      <c r="T30" s="492"/>
      <c r="U30" s="492"/>
      <c r="V30" s="492"/>
      <c r="W30" s="492"/>
      <c r="X30" s="492"/>
      <c r="Y30" s="496">
        <f>+SUMIF('Monthly Detail'!$4:$4, Y15,'Monthly Detail'!68:68)</f>
        <v>1179.44</v>
      </c>
      <c r="Z30" s="496">
        <f>+SUMIF('Monthly Detail'!$4:$4, Z15,'Monthly Detail'!68:68)</f>
        <v>0</v>
      </c>
      <c r="AA30" s="496">
        <f>+SUMIF('Monthly Detail'!$4:$4, AA15,'Monthly Detail'!68:68)</f>
        <v>2400</v>
      </c>
      <c r="AB30" s="496">
        <v>0</v>
      </c>
      <c r="AC30" s="496">
        <v>665.56</v>
      </c>
      <c r="AD30" s="496">
        <v>0</v>
      </c>
      <c r="AE30" s="496">
        <v>0</v>
      </c>
      <c r="AF30" s="496">
        <f>+SUMIF('Monthly Detail'!$4:$4, $B$14,'Monthly Detail'!68:68)</f>
        <v>0</v>
      </c>
      <c r="AG30" s="500"/>
      <c r="AH30" s="498">
        <v>0</v>
      </c>
      <c r="AI30" s="501"/>
      <c r="AJ30" s="492"/>
      <c r="AK30" s="492"/>
      <c r="AL30" s="502">
        <v>0</v>
      </c>
      <c r="AM30" s="501">
        <v>0</v>
      </c>
      <c r="AN30" s="501">
        <v>0</v>
      </c>
      <c r="AO30" s="501"/>
      <c r="AP30" s="501"/>
      <c r="AQ30" s="501"/>
      <c r="AR30" s="501"/>
      <c r="AS30" s="469">
        <f t="shared" si="2"/>
        <v>0</v>
      </c>
      <c r="AT30" s="469">
        <f t="shared" si="3"/>
        <v>0</v>
      </c>
    </row>
    <row r="31" spans="2:46" x14ac:dyDescent="0.3">
      <c r="B31" s="618" t="s">
        <v>334</v>
      </c>
      <c r="C31" s="619"/>
      <c r="D31" s="341"/>
      <c r="E31" s="341"/>
      <c r="F31" s="341"/>
      <c r="G31" s="341"/>
      <c r="H31" s="341"/>
      <c r="I31" s="341"/>
      <c r="J31" s="341"/>
      <c r="K31" s="245"/>
      <c r="L31" s="245"/>
      <c r="M31" s="245"/>
      <c r="N31" s="245"/>
      <c r="O31" s="496"/>
      <c r="P31" s="496">
        <v>0</v>
      </c>
      <c r="Q31" s="497">
        <v>75</v>
      </c>
      <c r="R31" s="498">
        <v>75</v>
      </c>
      <c r="S31" s="492"/>
      <c r="T31" s="492"/>
      <c r="U31" s="492"/>
      <c r="V31" s="492"/>
      <c r="W31" s="492"/>
      <c r="X31" s="492"/>
      <c r="Y31" s="496"/>
      <c r="Z31" s="496"/>
      <c r="AA31" s="496"/>
      <c r="AB31" s="496"/>
      <c r="AC31" s="496"/>
      <c r="AD31" s="496">
        <v>17.54</v>
      </c>
      <c r="AE31" s="496">
        <v>15.71</v>
      </c>
      <c r="AF31" s="496">
        <f>+SUMIF('Monthly Detail'!$4:$4, $B$14,'Monthly Detail'!72:72)</f>
        <v>0</v>
      </c>
      <c r="AG31" s="500"/>
      <c r="AH31" s="498"/>
      <c r="AI31" s="501"/>
      <c r="AJ31" s="492"/>
      <c r="AK31" s="492"/>
      <c r="AL31" s="502"/>
      <c r="AM31" s="501">
        <v>0</v>
      </c>
      <c r="AN31" s="501">
        <v>0</v>
      </c>
      <c r="AO31" s="501"/>
      <c r="AP31" s="501"/>
      <c r="AQ31" s="501"/>
      <c r="AR31" s="501"/>
      <c r="AS31" s="469">
        <f t="shared" si="2"/>
        <v>-75</v>
      </c>
      <c r="AT31" s="469">
        <f t="shared" si="3"/>
        <v>0</v>
      </c>
    </row>
    <row r="32" spans="2:46" x14ac:dyDescent="0.3">
      <c r="B32" s="618" t="s">
        <v>265</v>
      </c>
      <c r="C32" s="619"/>
      <c r="E32" s="174">
        <v>12</v>
      </c>
      <c r="F32" s="174">
        <v>12</v>
      </c>
      <c r="G32" s="174">
        <v>12</v>
      </c>
      <c r="H32" s="174">
        <v>12</v>
      </c>
      <c r="I32" s="174">
        <v>12</v>
      </c>
      <c r="J32" s="174">
        <v>12</v>
      </c>
      <c r="K32" s="294">
        <v>12</v>
      </c>
      <c r="L32" s="245">
        <v>12</v>
      </c>
      <c r="M32" s="245">
        <v>12</v>
      </c>
      <c r="N32" s="245">
        <v>12</v>
      </c>
      <c r="O32" s="496">
        <v>114.89833333333335</v>
      </c>
      <c r="P32" s="496">
        <v>1300.7666666666667</v>
      </c>
      <c r="Q32" s="497">
        <v>111.76666666666667</v>
      </c>
      <c r="R32" s="498">
        <v>307.13666666666671</v>
      </c>
      <c r="S32" s="496">
        <f>+SUMIF('Monthly Detail'!$4:$4, S15,'Monthly Detail'!73:73)</f>
        <v>12</v>
      </c>
      <c r="T32" s="496">
        <f>+SUMIF('Monthly Detail'!$4:$4, T15,'Monthly Detail'!73:73)</f>
        <v>240.91</v>
      </c>
      <c r="U32" s="496">
        <f>+SUMIF('Monthly Detail'!$4:$4, U15,'Monthly Detail'!73:73)</f>
        <v>352.91</v>
      </c>
      <c r="V32" s="496">
        <f>+SUMIF('Monthly Detail'!$4:$4, V15,'Monthly Detail'!73:73)</f>
        <v>28.91</v>
      </c>
      <c r="W32" s="496">
        <f>+SUMIF('Monthly Detail'!$4:$4, W15,'Monthly Detail'!73:73)</f>
        <v>28.91</v>
      </c>
      <c r="X32" s="496">
        <f>+SUMIF('Monthly Detail'!$4:$4, X15,'Monthly Detail'!73:73)</f>
        <v>78.91</v>
      </c>
      <c r="Y32" s="496">
        <f>+SUMIF('Monthly Detail'!$4:$4, Y15,'Monthly Detail'!73:73)</f>
        <v>28.91</v>
      </c>
      <c r="Z32" s="496">
        <f>+SUMIF('Monthly Detail'!$4:$4, Z15,'Monthly Detail'!73:73)</f>
        <v>86.19</v>
      </c>
      <c r="AA32" s="496">
        <f>+SUMIF('Monthly Detail'!$4:$4, AA15,'Monthly Detail'!73:73)</f>
        <v>12</v>
      </c>
      <c r="AB32" s="496">
        <v>154.47</v>
      </c>
      <c r="AC32" s="496">
        <v>310.12</v>
      </c>
      <c r="AD32" s="496">
        <v>1251.1300000000001</v>
      </c>
      <c r="AE32" s="496">
        <v>14.81</v>
      </c>
      <c r="AF32" s="496">
        <f>+SUMIF('Monthly Detail'!$4:$4, $B$14,'Monthly Detail'!73:73)</f>
        <v>76.75</v>
      </c>
      <c r="AG32" s="497">
        <v>12</v>
      </c>
      <c r="AH32" s="498">
        <v>12</v>
      </c>
      <c r="AI32" s="498">
        <v>12</v>
      </c>
      <c r="AJ32" s="496">
        <v>12</v>
      </c>
      <c r="AK32" s="496">
        <v>12</v>
      </c>
      <c r="AL32" s="499">
        <v>12</v>
      </c>
      <c r="AM32" s="498">
        <v>12</v>
      </c>
      <c r="AN32" s="498">
        <v>12</v>
      </c>
      <c r="AO32" s="498">
        <v>12</v>
      </c>
      <c r="AP32" s="498">
        <v>12</v>
      </c>
      <c r="AQ32" s="498">
        <v>12</v>
      </c>
      <c r="AR32" s="498">
        <v>12</v>
      </c>
      <c r="AS32" s="469">
        <f t="shared" si="2"/>
        <v>-230.38666666666671</v>
      </c>
      <c r="AT32" s="469">
        <f t="shared" si="3"/>
        <v>64.75</v>
      </c>
    </row>
    <row r="33" spans="2:46" x14ac:dyDescent="0.3">
      <c r="B33" s="618" t="s">
        <v>266</v>
      </c>
      <c r="C33" s="619"/>
      <c r="E33" s="174">
        <v>100</v>
      </c>
      <c r="F33" s="174">
        <v>100</v>
      </c>
      <c r="G33" s="174">
        <v>100</v>
      </c>
      <c r="H33" s="174">
        <v>100</v>
      </c>
      <c r="I33" s="174">
        <v>100</v>
      </c>
      <c r="J33" s="174">
        <v>100</v>
      </c>
      <c r="K33" s="294">
        <v>100</v>
      </c>
      <c r="L33" s="245">
        <v>100</v>
      </c>
      <c r="M33" s="245">
        <v>100</v>
      </c>
      <c r="N33" s="245">
        <v>100</v>
      </c>
      <c r="O33" s="496">
        <v>100</v>
      </c>
      <c r="P33" s="496">
        <v>100</v>
      </c>
      <c r="Q33" s="497">
        <v>100</v>
      </c>
      <c r="R33" s="498">
        <v>100</v>
      </c>
      <c r="S33" s="496">
        <f>+SUMIF('Monthly Detail'!$4:$4, S15,'Monthly Detail'!75:75)</f>
        <v>0</v>
      </c>
      <c r="T33" s="496">
        <f>+SUMIF('Monthly Detail'!$4:$4, T15,'Monthly Detail'!75:75)</f>
        <v>150</v>
      </c>
      <c r="U33" s="496">
        <f>+SUMIF('Monthly Detail'!$4:$4, U15,'Monthly Detail'!75:75)</f>
        <v>0</v>
      </c>
      <c r="V33" s="496">
        <f>+SUMIF('Monthly Detail'!$4:$4, V15,'Monthly Detail'!75:75)</f>
        <v>430</v>
      </c>
      <c r="W33" s="496">
        <f>+SUMIF('Monthly Detail'!$4:$4, W15,'Monthly Detail'!75:75)</f>
        <v>0</v>
      </c>
      <c r="X33" s="496">
        <f>+SUMIF('Monthly Detail'!$4:$4, X15,'Monthly Detail'!75:75)</f>
        <v>0</v>
      </c>
      <c r="Y33" s="496">
        <f>+SUMIF('Monthly Detail'!$4:$4, Y15,'Monthly Detail'!75:75)</f>
        <v>0</v>
      </c>
      <c r="Z33" s="496">
        <f>+SUMIF('Monthly Detail'!$4:$4, Z15,'Monthly Detail'!75:75)</f>
        <v>50</v>
      </c>
      <c r="AA33" s="496">
        <f>+SUMIF('Monthly Detail'!$4:$4, AA15,'Monthly Detail'!75:75)</f>
        <v>0</v>
      </c>
      <c r="AB33" s="496">
        <v>141.19</v>
      </c>
      <c r="AC33" s="496">
        <v>0</v>
      </c>
      <c r="AD33" s="496">
        <v>0</v>
      </c>
      <c r="AE33" s="496">
        <v>0</v>
      </c>
      <c r="AF33" s="496">
        <f>+SUMIF('Monthly Detail'!$4:$4, $B$14,'Monthly Detail'!75:75)</f>
        <v>80</v>
      </c>
      <c r="AG33" s="497">
        <v>100</v>
      </c>
      <c r="AH33" s="498">
        <v>100</v>
      </c>
      <c r="AI33" s="498">
        <v>100</v>
      </c>
      <c r="AJ33" s="496">
        <v>100</v>
      </c>
      <c r="AK33" s="496">
        <v>100</v>
      </c>
      <c r="AL33" s="499">
        <v>100</v>
      </c>
      <c r="AM33" s="498">
        <v>100</v>
      </c>
      <c r="AN33" s="498">
        <v>100</v>
      </c>
      <c r="AO33" s="498">
        <v>100</v>
      </c>
      <c r="AP33" s="498">
        <v>100</v>
      </c>
      <c r="AQ33" s="498">
        <v>100</v>
      </c>
      <c r="AR33" s="498">
        <v>100</v>
      </c>
      <c r="AS33" s="566">
        <f t="shared" si="2"/>
        <v>-20</v>
      </c>
      <c r="AT33" s="469">
        <f t="shared" si="3"/>
        <v>-20</v>
      </c>
    </row>
    <row r="34" spans="2:46" x14ac:dyDescent="0.3">
      <c r="B34" s="618" t="s">
        <v>267</v>
      </c>
      <c r="C34" s="619"/>
      <c r="E34" s="174">
        <v>0</v>
      </c>
      <c r="F34" s="174">
        <v>0</v>
      </c>
      <c r="G34" s="174">
        <v>0</v>
      </c>
      <c r="H34" s="174">
        <v>13.86</v>
      </c>
      <c r="I34" s="174">
        <v>0</v>
      </c>
      <c r="J34" s="174">
        <v>0</v>
      </c>
      <c r="K34" s="294">
        <v>0</v>
      </c>
      <c r="L34" s="245">
        <v>0</v>
      </c>
      <c r="M34" s="245">
        <v>0</v>
      </c>
      <c r="N34" s="245">
        <v>0</v>
      </c>
      <c r="O34" s="496">
        <v>0</v>
      </c>
      <c r="P34" s="496">
        <v>0</v>
      </c>
      <c r="Q34" s="497">
        <v>0</v>
      </c>
      <c r="R34" s="498">
        <v>7.0966666666666667</v>
      </c>
      <c r="S34" s="496">
        <f>+SUMIF('Monthly Detail'!$4:$4, S15,'Monthly Detail'!76:76)</f>
        <v>0</v>
      </c>
      <c r="T34" s="496">
        <f>+SUMIF('Monthly Detail'!$4:$4, T15,'Monthly Detail'!76:76)</f>
        <v>0</v>
      </c>
      <c r="U34" s="496">
        <f>+SUMIF('Monthly Detail'!$4:$4, U15,'Monthly Detail'!76:76)</f>
        <v>13.86</v>
      </c>
      <c r="V34" s="496">
        <f>+SUMIF('Monthly Detail'!$4:$4, V15,'Monthly Detail'!76:76)</f>
        <v>0</v>
      </c>
      <c r="W34" s="496">
        <f>+SUMIF('Monthly Detail'!$4:$4, W15,'Monthly Detail'!76:76)</f>
        <v>0</v>
      </c>
      <c r="X34" s="496">
        <f>+SUMIF('Monthly Detail'!$4:$4, X15,'Monthly Detail'!76:76)</f>
        <v>0</v>
      </c>
      <c r="Y34" s="496">
        <f>+SUMIF('Monthly Detail'!$4:$4, Y15,'Monthly Detail'!76:76)</f>
        <v>0</v>
      </c>
      <c r="Z34" s="496">
        <f>+SUMIF('Monthly Detail'!$4:$4, Z15,'Monthly Detail'!76:76)</f>
        <v>0</v>
      </c>
      <c r="AA34" s="496">
        <f>+SUMIF('Monthly Detail'!$4:$4, AA15,'Monthly Detail'!76:76)</f>
        <v>0</v>
      </c>
      <c r="AB34" s="496">
        <v>0</v>
      </c>
      <c r="AC34" s="496">
        <v>0</v>
      </c>
      <c r="AD34" s="496">
        <v>0</v>
      </c>
      <c r="AE34" s="496">
        <v>42.58</v>
      </c>
      <c r="AF34" s="496">
        <f>+SUMIF('Monthly Detail'!$4:$4, $B$14,'Monthly Detail'!76:76)</f>
        <v>0</v>
      </c>
      <c r="AG34" s="497">
        <v>0</v>
      </c>
      <c r="AH34" s="498">
        <v>0</v>
      </c>
      <c r="AI34" s="498">
        <v>0</v>
      </c>
      <c r="AJ34" s="496">
        <v>0</v>
      </c>
      <c r="AK34" s="496">
        <v>0</v>
      </c>
      <c r="AL34" s="499">
        <v>0</v>
      </c>
      <c r="AM34" s="498">
        <v>0</v>
      </c>
      <c r="AN34" s="498">
        <v>0</v>
      </c>
      <c r="AO34" s="498">
        <v>0</v>
      </c>
      <c r="AP34" s="498">
        <v>0</v>
      </c>
      <c r="AQ34" s="498">
        <v>0</v>
      </c>
      <c r="AR34" s="498">
        <v>0</v>
      </c>
      <c r="AS34" s="469">
        <f t="shared" si="2"/>
        <v>-7.0966666666666667</v>
      </c>
      <c r="AT34" s="469">
        <f t="shared" si="3"/>
        <v>0</v>
      </c>
    </row>
    <row r="35" spans="2:46" x14ac:dyDescent="0.3">
      <c r="B35" s="618" t="s">
        <v>268</v>
      </c>
      <c r="C35" s="619"/>
      <c r="E35" s="174">
        <v>75</v>
      </c>
      <c r="F35" s="174">
        <v>225</v>
      </c>
      <c r="G35" s="174">
        <v>75</v>
      </c>
      <c r="H35" s="174">
        <v>75</v>
      </c>
      <c r="I35" s="174">
        <v>225</v>
      </c>
      <c r="J35" s="174">
        <v>75</v>
      </c>
      <c r="K35" s="294">
        <v>112.5</v>
      </c>
      <c r="L35" s="245">
        <v>225</v>
      </c>
      <c r="M35" s="245">
        <v>75</v>
      </c>
      <c r="N35" s="245">
        <v>75</v>
      </c>
      <c r="O35" s="496">
        <v>225</v>
      </c>
      <c r="P35" s="496">
        <v>150</v>
      </c>
      <c r="Q35" s="497">
        <v>200</v>
      </c>
      <c r="R35" s="498">
        <v>200</v>
      </c>
      <c r="S35" s="496">
        <f>+SUMIF('Monthly Detail'!$4:$4, S15,'Monthly Detail'!77:77)</f>
        <v>75</v>
      </c>
      <c r="T35" s="496">
        <f>+SUMIF('Monthly Detail'!$4:$4, T15,'Monthly Detail'!77:77)</f>
        <v>225</v>
      </c>
      <c r="U35" s="496">
        <f>+SUMIF('Monthly Detail'!$4:$4, U15,'Monthly Detail'!77:77)</f>
        <v>75</v>
      </c>
      <c r="V35" s="496">
        <f>+SUMIF('Monthly Detail'!$4:$4, V15,'Monthly Detail'!77:77)</f>
        <v>75</v>
      </c>
      <c r="W35" s="496">
        <f>+SUMIF('Monthly Detail'!$4:$4, W15,'Monthly Detail'!77:77)</f>
        <v>225</v>
      </c>
      <c r="X35" s="496">
        <f>+SUMIF('Monthly Detail'!$4:$4, X15,'Monthly Detail'!77:77)</f>
        <v>75</v>
      </c>
      <c r="Y35" s="496">
        <f>+SUMIF('Monthly Detail'!$4:$4, Y15,'Monthly Detail'!77:77)</f>
        <v>112.5</v>
      </c>
      <c r="Z35" s="496">
        <f>+SUMIF('Monthly Detail'!$4:$4, Z15,'Monthly Detail'!77:77)</f>
        <v>225</v>
      </c>
      <c r="AA35" s="496">
        <f>+SUMIF('Monthly Detail'!$4:$4, AA15,'Monthly Detail'!77:77)</f>
        <v>75</v>
      </c>
      <c r="AB35" s="496">
        <v>75</v>
      </c>
      <c r="AC35" s="496">
        <v>225</v>
      </c>
      <c r="AD35" s="496">
        <v>185</v>
      </c>
      <c r="AE35" s="496">
        <v>207.5</v>
      </c>
      <c r="AF35" s="496">
        <f>+SUMIF('Monthly Detail'!$4:$4, $B$14,'Monthly Detail'!77:77)</f>
        <v>208.75</v>
      </c>
      <c r="AG35" s="497">
        <v>75</v>
      </c>
      <c r="AH35" s="498">
        <v>75</v>
      </c>
      <c r="AI35" s="498">
        <v>225</v>
      </c>
      <c r="AJ35" s="496">
        <v>75</v>
      </c>
      <c r="AK35" s="496">
        <v>75</v>
      </c>
      <c r="AL35" s="499">
        <v>225</v>
      </c>
      <c r="AM35" s="498">
        <v>75</v>
      </c>
      <c r="AN35" s="498">
        <v>75</v>
      </c>
      <c r="AO35" s="498">
        <v>225</v>
      </c>
      <c r="AP35" s="498">
        <v>75</v>
      </c>
      <c r="AQ35" s="498">
        <v>75</v>
      </c>
      <c r="AR35" s="498">
        <v>225</v>
      </c>
      <c r="AS35" s="469">
        <f t="shared" si="2"/>
        <v>8.75</v>
      </c>
      <c r="AT35" s="469">
        <f t="shared" si="3"/>
        <v>-16.25</v>
      </c>
    </row>
    <row r="36" spans="2:46" x14ac:dyDescent="0.3">
      <c r="B36" s="618" t="s">
        <v>269</v>
      </c>
      <c r="C36" s="619"/>
      <c r="E36" s="174">
        <v>28.905000000000001</v>
      </c>
      <c r="F36" s="174">
        <v>20.33666666666667</v>
      </c>
      <c r="G36" s="174">
        <v>58.913333333333327</v>
      </c>
      <c r="H36" s="174">
        <v>38.104999999999997</v>
      </c>
      <c r="I36" s="174">
        <v>30.791666666666668</v>
      </c>
      <c r="J36" s="174">
        <v>31.453999999999997</v>
      </c>
      <c r="K36" s="294">
        <v>23.344999999999999</v>
      </c>
      <c r="L36" s="245">
        <v>17.718333333333334</v>
      </c>
      <c r="M36" s="245">
        <v>9.9583333333333339</v>
      </c>
      <c r="N36" s="245">
        <v>5.8833333333333329</v>
      </c>
      <c r="O36" s="496">
        <v>2.4500000000000002</v>
      </c>
      <c r="P36" s="496">
        <v>2.4500000000000002</v>
      </c>
      <c r="Q36" s="497">
        <v>8.2800000000000011</v>
      </c>
      <c r="R36" s="498">
        <v>6.9000000000000012</v>
      </c>
      <c r="S36" s="496">
        <f>+SUMIF('Monthly Detail'!$4:$4, S15,'Monthly Detail'!78:78)</f>
        <v>33.76</v>
      </c>
      <c r="T36" s="496">
        <f>+SUMIF('Monthly Detail'!$4:$4, T15,'Monthly Detail'!78:78)</f>
        <v>48.31</v>
      </c>
      <c r="U36" s="496">
        <f>+SUMIF('Monthly Detail'!$4:$4, U15,'Monthly Detail'!78:78)</f>
        <v>29</v>
      </c>
      <c r="V36" s="496">
        <f>+SUMIF('Monthly Detail'!$4:$4, V15,'Monthly Detail'!78:78)</f>
        <v>29</v>
      </c>
      <c r="W36" s="496">
        <f>+SUMIF('Monthly Detail'!$4:$4, W15,'Monthly Detail'!78:78)</f>
        <v>0</v>
      </c>
      <c r="X36" s="496">
        <f>+SUMIF('Monthly Detail'!$4:$4, X15,'Monthly Detail'!78:78)</f>
        <v>0</v>
      </c>
      <c r="Y36" s="496">
        <f>+SUMIF('Monthly Detail'!$4:$4, Y15,'Monthly Detail'!78:78)</f>
        <v>0</v>
      </c>
      <c r="Z36" s="496">
        <f>+SUMIF('Monthly Detail'!$4:$4, Z15,'Monthly Detail'!78:78)</f>
        <v>1.75</v>
      </c>
      <c r="AA36" s="496">
        <f>+SUMIF('Monthly Detail'!$4:$4, AA15,'Monthly Detail'!78:78)</f>
        <v>4.55</v>
      </c>
      <c r="AB36" s="496">
        <v>3.5</v>
      </c>
      <c r="AC36" s="496">
        <v>0</v>
      </c>
      <c r="AD36" s="496">
        <v>31.6</v>
      </c>
      <c r="AE36" s="496">
        <v>0</v>
      </c>
      <c r="AF36" s="496">
        <f>+SUMIF('Monthly Detail'!$4:$4, $B$14,'Monthly Detail'!78:78)</f>
        <v>0</v>
      </c>
      <c r="AG36" s="497">
        <v>31.453999999999997</v>
      </c>
      <c r="AH36" s="498">
        <v>31.453999999999997</v>
      </c>
      <c r="AI36" s="498">
        <v>31.453999999999997</v>
      </c>
      <c r="AJ36" s="496">
        <v>31.454000000000001</v>
      </c>
      <c r="AK36" s="496">
        <v>31.453999999999997</v>
      </c>
      <c r="AL36" s="499">
        <v>31.453999999999997</v>
      </c>
      <c r="AM36" s="498">
        <v>31.453999999999997</v>
      </c>
      <c r="AN36" s="498">
        <v>31.453999999999997</v>
      </c>
      <c r="AO36" s="498">
        <v>31.453999999999997</v>
      </c>
      <c r="AP36" s="498">
        <v>31.453999999999997</v>
      </c>
      <c r="AQ36" s="498">
        <v>31.453999999999997</v>
      </c>
      <c r="AR36" s="498">
        <v>31.453999999999997</v>
      </c>
      <c r="AS36" s="469">
        <f t="shared" si="2"/>
        <v>-6.9000000000000012</v>
      </c>
      <c r="AT36" s="469">
        <f t="shared" si="3"/>
        <v>-31.453999999999997</v>
      </c>
    </row>
    <row r="37" spans="2:46" x14ac:dyDescent="0.3">
      <c r="B37" s="618" t="s">
        <v>270</v>
      </c>
      <c r="C37" s="619"/>
      <c r="E37" s="174">
        <v>0</v>
      </c>
      <c r="F37" s="174"/>
      <c r="G37" s="174">
        <v>0</v>
      </c>
      <c r="H37" s="174">
        <v>0</v>
      </c>
      <c r="I37" s="174">
        <v>0</v>
      </c>
      <c r="J37" s="174"/>
      <c r="K37" s="294">
        <v>0</v>
      </c>
      <c r="L37" s="245">
        <v>0</v>
      </c>
      <c r="M37" s="245">
        <v>0</v>
      </c>
      <c r="N37" s="245">
        <v>0</v>
      </c>
      <c r="O37" s="496">
        <v>0</v>
      </c>
      <c r="P37" s="496">
        <v>0</v>
      </c>
      <c r="Q37" s="497">
        <v>218.02</v>
      </c>
      <c r="R37" s="498">
        <v>137.54000000000002</v>
      </c>
      <c r="S37" s="496">
        <f>+SUMIF('Monthly Detail'!$4:$4, S15,'Monthly Detail'!79:79)</f>
        <v>0</v>
      </c>
      <c r="T37" s="496">
        <f>+SUMIF('Monthly Detail'!$4:$4, T15,'Monthly Detail'!79:79)</f>
        <v>0</v>
      </c>
      <c r="U37" s="496">
        <f>+SUMIF('Monthly Detail'!$4:$4, U15,'Monthly Detail'!79:79)</f>
        <v>0</v>
      </c>
      <c r="V37" s="496">
        <f>+SUMIF('Monthly Detail'!$4:$4, V15,'Monthly Detail'!79:79)</f>
        <v>0</v>
      </c>
      <c r="W37" s="496">
        <f>+SUMIF('Monthly Detail'!$4:$4, W15,'Monthly Detail'!79:79)</f>
        <v>0</v>
      </c>
      <c r="X37" s="496">
        <f>+SUMIF('Monthly Detail'!$4:$4, X15,'Monthly Detail'!79:79)</f>
        <v>0</v>
      </c>
      <c r="Y37" s="496">
        <f>+SUMIF('Monthly Detail'!$4:$4, Y15,'Monthly Detail'!79:79)</f>
        <v>0</v>
      </c>
      <c r="Z37" s="496">
        <f>+SUMIF('Monthly Detail'!$4:$4, Z15,'Monthly Detail'!79:79)</f>
        <v>0</v>
      </c>
      <c r="AA37" s="496">
        <f>+SUMIF('Monthly Detail'!$4:$4, AA15,'Monthly Detail'!79:79)</f>
        <v>0</v>
      </c>
      <c r="AB37" s="496">
        <v>0</v>
      </c>
      <c r="AC37" s="496">
        <v>0</v>
      </c>
      <c r="AD37" s="496">
        <v>218.02</v>
      </c>
      <c r="AE37" s="496">
        <v>57.06</v>
      </c>
      <c r="AF37" s="496">
        <f>+SUMIF('Monthly Detail'!$4:$4, $B$14,'Monthly Detail'!79:79)</f>
        <v>44.41</v>
      </c>
      <c r="AG37" s="497"/>
      <c r="AH37" s="498"/>
      <c r="AI37" s="498"/>
      <c r="AJ37" s="496"/>
      <c r="AK37" s="496"/>
      <c r="AL37" s="499">
        <v>0</v>
      </c>
      <c r="AM37" s="498">
        <v>0</v>
      </c>
      <c r="AN37" s="498">
        <v>0</v>
      </c>
      <c r="AO37" s="498"/>
      <c r="AP37" s="498"/>
      <c r="AQ37" s="498"/>
      <c r="AR37" s="498"/>
      <c r="AS37" s="469">
        <f t="shared" si="2"/>
        <v>-93.130000000000024</v>
      </c>
      <c r="AT37" s="469">
        <f t="shared" si="3"/>
        <v>44.41</v>
      </c>
    </row>
    <row r="38" spans="2:46" x14ac:dyDescent="0.3">
      <c r="B38" s="618" t="s">
        <v>271</v>
      </c>
      <c r="C38" s="619"/>
      <c r="E38" s="174">
        <v>93.21</v>
      </c>
      <c r="F38" s="174">
        <v>194.71</v>
      </c>
      <c r="G38" s="174">
        <v>210.47</v>
      </c>
      <c r="H38" s="174">
        <v>313.33999999999997</v>
      </c>
      <c r="I38" s="174">
        <v>226.36</v>
      </c>
      <c r="J38" s="174">
        <v>105.16</v>
      </c>
      <c r="K38" s="294">
        <v>124.93</v>
      </c>
      <c r="L38" s="245">
        <v>156.19</v>
      </c>
      <c r="M38" s="245">
        <v>141.66999999999999</v>
      </c>
      <c r="N38" s="245">
        <v>145.28</v>
      </c>
      <c r="O38" s="496">
        <v>141.1</v>
      </c>
      <c r="P38" s="496">
        <v>247.63911170144925</v>
      </c>
      <c r="Q38" s="497">
        <v>339.03333674686911</v>
      </c>
      <c r="R38" s="498">
        <v>460.72962724618162</v>
      </c>
      <c r="S38" s="496">
        <f>+SUMIF('Monthly Detail'!$4:$4, S15,'Monthly Detail'!80:80)</f>
        <v>194.71</v>
      </c>
      <c r="T38" s="496">
        <f>+SUMIF('Monthly Detail'!$4:$4, T15,'Monthly Detail'!80:80)</f>
        <v>210.47</v>
      </c>
      <c r="U38" s="496">
        <f>+SUMIF('Monthly Detail'!$4:$4, U15,'Monthly Detail'!80:80)</f>
        <v>313.33999999999997</v>
      </c>
      <c r="V38" s="496">
        <f>+SUMIF('Monthly Detail'!$4:$4, V15,'Monthly Detail'!80:80)</f>
        <v>205.12</v>
      </c>
      <c r="W38" s="496">
        <f>+SUMIF('Monthly Detail'!$4:$4, W15,'Monthly Detail'!80:80)</f>
        <v>105.16</v>
      </c>
      <c r="X38" s="496">
        <f>+SUMIF('Monthly Detail'!$4:$4, X15,'Monthly Detail'!80:80)</f>
        <v>124.93</v>
      </c>
      <c r="Y38" s="496">
        <f>+SUMIF('Monthly Detail'!$4:$4, Y15,'Monthly Detail'!80:80)</f>
        <v>156.19</v>
      </c>
      <c r="Z38" s="496">
        <f>+SUMIF('Monthly Detail'!$4:$4, Z15,'Monthly Detail'!80:80)</f>
        <v>141.66999999999999</v>
      </c>
      <c r="AA38" s="496">
        <f>+SUMIF('Monthly Detail'!$4:$4, AA15,'Monthly Detail'!80:80)</f>
        <v>145.28</v>
      </c>
      <c r="AB38" s="496">
        <v>173.37</v>
      </c>
      <c r="AC38" s="496">
        <v>236.32</v>
      </c>
      <c r="AD38" s="496">
        <v>228.28</v>
      </c>
      <c r="AE38" s="496">
        <v>404.2</v>
      </c>
      <c r="AF38" s="496">
        <f>+SUMIF('Monthly Detail'!$4:$4, $B$14,'Monthly Detail'!80:80)</f>
        <v>334.27</v>
      </c>
      <c r="AG38" s="497">
        <v>105.16</v>
      </c>
      <c r="AH38" s="498">
        <v>105.16</v>
      </c>
      <c r="AI38" s="498">
        <v>105.16</v>
      </c>
      <c r="AJ38" s="496">
        <v>105.16</v>
      </c>
      <c r="AK38" s="496">
        <v>105.16</v>
      </c>
      <c r="AL38" s="499">
        <v>105.16</v>
      </c>
      <c r="AM38" s="498">
        <v>105.16</v>
      </c>
      <c r="AN38" s="498">
        <v>105.16</v>
      </c>
      <c r="AO38" s="498">
        <v>105.16</v>
      </c>
      <c r="AP38" s="498">
        <v>105.16</v>
      </c>
      <c r="AQ38" s="498">
        <v>105.16</v>
      </c>
      <c r="AR38" s="498">
        <v>105.16</v>
      </c>
      <c r="AS38" s="469">
        <f t="shared" si="2"/>
        <v>-126.45962724618164</v>
      </c>
      <c r="AT38" s="469">
        <f t="shared" si="3"/>
        <v>229.10999999999999</v>
      </c>
    </row>
    <row r="39" spans="2:46" x14ac:dyDescent="0.3">
      <c r="B39" s="618" t="s">
        <v>272</v>
      </c>
      <c r="C39" s="619"/>
      <c r="E39" s="174">
        <v>0</v>
      </c>
      <c r="F39" s="174">
        <v>0</v>
      </c>
      <c r="G39" s="174">
        <v>0</v>
      </c>
      <c r="H39" s="174">
        <v>171.41666666666666</v>
      </c>
      <c r="I39" s="174">
        <v>234.625</v>
      </c>
      <c r="J39" s="174">
        <v>296.16666666666669</v>
      </c>
      <c r="K39" s="294">
        <v>416.75</v>
      </c>
      <c r="L39" s="245">
        <v>316.75</v>
      </c>
      <c r="M39" s="245">
        <v>0</v>
      </c>
      <c r="N39" s="245">
        <v>0</v>
      </c>
      <c r="O39" s="496">
        <v>0</v>
      </c>
      <c r="P39" s="496">
        <v>0</v>
      </c>
      <c r="Q39" s="497">
        <v>0</v>
      </c>
      <c r="R39" s="498">
        <v>81.666666666666671</v>
      </c>
      <c r="S39" s="496">
        <f>+SUMIF('Monthly Detail'!$4:$4, S15,'Monthly Detail'!81:81)</f>
        <v>200</v>
      </c>
      <c r="T39" s="496">
        <f>+SUMIF('Monthly Detail'!$4:$4, T15,'Monthly Detail'!81:81)</f>
        <v>633.5</v>
      </c>
      <c r="U39" s="496">
        <f>+SUMIF('Monthly Detail'!$4:$4, U15,'Monthly Detail'!81:81)</f>
        <v>0</v>
      </c>
      <c r="V39" s="496">
        <f>+SUMIF('Monthly Detail'!$4:$4, V15,'Monthly Detail'!81:81)</f>
        <v>0</v>
      </c>
      <c r="W39" s="496">
        <f>+SUMIF('Monthly Detail'!$4:$4, W15,'Monthly Detail'!81:81)</f>
        <v>0</v>
      </c>
      <c r="X39" s="496">
        <f>+SUMIF('Monthly Detail'!$4:$4, X15,'Monthly Detail'!81:81)</f>
        <v>0</v>
      </c>
      <c r="Y39" s="496">
        <f>+SUMIF('Monthly Detail'!$4:$4, Y15,'Monthly Detail'!81:81)</f>
        <v>0</v>
      </c>
      <c r="Z39" s="496">
        <f>+SUMIF('Monthly Detail'!$4:$4, Z15,'Monthly Detail'!81:81)</f>
        <v>0</v>
      </c>
      <c r="AA39" s="496">
        <f>+SUMIF('Monthly Detail'!$4:$4, AA15,'Monthly Detail'!81:81)</f>
        <v>0</v>
      </c>
      <c r="AB39" s="496">
        <v>0</v>
      </c>
      <c r="AC39" s="496">
        <v>0</v>
      </c>
      <c r="AD39" s="496">
        <v>0</v>
      </c>
      <c r="AE39" s="496">
        <v>490</v>
      </c>
      <c r="AF39" s="496">
        <f>+SUMIF('Monthly Detail'!$4:$4, $B$14,'Monthly Detail'!81:81)</f>
        <v>0</v>
      </c>
      <c r="AG39" s="497">
        <v>296.16666666666669</v>
      </c>
      <c r="AH39" s="498">
        <v>296.16666666666669</v>
      </c>
      <c r="AI39" s="498">
        <v>296.16666666666669</v>
      </c>
      <c r="AJ39" s="496">
        <v>296.16666666666669</v>
      </c>
      <c r="AK39" s="496">
        <v>296.16666666666669</v>
      </c>
      <c r="AL39" s="499">
        <v>296.16666666666669</v>
      </c>
      <c r="AM39" s="498">
        <v>296.16666666666669</v>
      </c>
      <c r="AN39" s="498">
        <v>296.16666666666669</v>
      </c>
      <c r="AO39" s="498">
        <v>296.16666666666669</v>
      </c>
      <c r="AP39" s="498">
        <v>296.16666666666669</v>
      </c>
      <c r="AQ39" s="498">
        <v>296.16666666666669</v>
      </c>
      <c r="AR39" s="498">
        <v>296.16666666666669</v>
      </c>
      <c r="AS39" s="469">
        <f t="shared" si="2"/>
        <v>-81.666666666666671</v>
      </c>
      <c r="AT39" s="469">
        <f t="shared" si="3"/>
        <v>-296.16666666666669</v>
      </c>
    </row>
    <row r="40" spans="2:46" x14ac:dyDescent="0.3">
      <c r="B40" s="618" t="s">
        <v>273</v>
      </c>
      <c r="C40" s="619"/>
      <c r="E40" s="174">
        <v>170.51666666666668</v>
      </c>
      <c r="F40" s="174">
        <v>199.50749999999999</v>
      </c>
      <c r="G40" s="174">
        <v>187.23999999999998</v>
      </c>
      <c r="H40" s="174">
        <v>199.92666666666665</v>
      </c>
      <c r="I40" s="174">
        <v>190.87</v>
      </c>
      <c r="J40" s="174">
        <v>190.98000000000002</v>
      </c>
      <c r="K40" s="294">
        <v>183.86833333333334</v>
      </c>
      <c r="L40" s="245">
        <v>159.19166666666663</v>
      </c>
      <c r="M40" s="245">
        <v>159.23333333333332</v>
      </c>
      <c r="N40" s="245">
        <v>139.66833333333332</v>
      </c>
      <c r="O40" s="496">
        <v>140.33833333333334</v>
      </c>
      <c r="P40" s="496">
        <v>141.00833333333333</v>
      </c>
      <c r="Q40" s="497">
        <v>202.29</v>
      </c>
      <c r="R40" s="498">
        <v>164.46</v>
      </c>
      <c r="S40" s="496">
        <f>+SUMIF('Monthly Detail'!$4:$4, S15,'Monthly Detail'!82:82)</f>
        <v>286.48</v>
      </c>
      <c r="T40" s="496">
        <f>+SUMIF('Monthly Detail'!$4:$4, T15,'Monthly Detail'!82:82)</f>
        <v>138.16999999999999</v>
      </c>
      <c r="U40" s="496">
        <f>+SUMIF('Monthly Detail'!$4:$4, U15,'Monthly Detail'!82:82)</f>
        <v>263.36</v>
      </c>
      <c r="V40" s="496">
        <f>+SUMIF('Monthly Detail'!$4:$4, V15,'Monthly Detail'!82:82)</f>
        <v>138.4</v>
      </c>
      <c r="W40" s="496">
        <f>+SUMIF('Monthly Detail'!$4:$4, W15,'Monthly Detail'!82:82)</f>
        <v>138.4</v>
      </c>
      <c r="X40" s="496">
        <f>+SUMIF('Monthly Detail'!$4:$4, X15,'Monthly Detail'!82:82)</f>
        <v>138.4</v>
      </c>
      <c r="Y40" s="496">
        <f>+SUMIF('Monthly Detail'!$4:$4, Y15,'Monthly Detail'!82:82)</f>
        <v>138.41999999999999</v>
      </c>
      <c r="Z40" s="496">
        <f>+SUMIF('Monthly Detail'!$4:$4, Z15,'Monthly Detail'!82:82)</f>
        <v>138.41999999999999</v>
      </c>
      <c r="AA40" s="496">
        <f>+SUMIF('Monthly Detail'!$4:$4, AA15,'Monthly Detail'!82:82)</f>
        <v>145.97</v>
      </c>
      <c r="AB40" s="496">
        <v>142.41999999999999</v>
      </c>
      <c r="AC40" s="496">
        <v>142.41999999999999</v>
      </c>
      <c r="AD40" s="496">
        <v>202.29</v>
      </c>
      <c r="AE40" s="496">
        <v>164.46</v>
      </c>
      <c r="AF40" s="496">
        <f>+SUMIF('Monthly Detail'!$4:$4, $B$14,'Monthly Detail'!82:82)</f>
        <v>378.53</v>
      </c>
      <c r="AG40" s="497">
        <v>190.98000000000002</v>
      </c>
      <c r="AH40" s="498">
        <v>190.98000000000002</v>
      </c>
      <c r="AI40" s="498">
        <v>190.98000000000002</v>
      </c>
      <c r="AJ40" s="496">
        <v>190.98000000000002</v>
      </c>
      <c r="AK40" s="496">
        <v>190.98000000000002</v>
      </c>
      <c r="AL40" s="499">
        <v>190.98000000000002</v>
      </c>
      <c r="AM40" s="498">
        <v>190.98000000000002</v>
      </c>
      <c r="AN40" s="498">
        <v>190.98000000000002</v>
      </c>
      <c r="AO40" s="498">
        <v>190.98000000000002</v>
      </c>
      <c r="AP40" s="498">
        <v>190.98000000000002</v>
      </c>
      <c r="AQ40" s="498">
        <v>190.98000000000002</v>
      </c>
      <c r="AR40" s="498">
        <v>190.98000000000002</v>
      </c>
      <c r="AS40" s="469">
        <f t="shared" si="2"/>
        <v>214.06999999999996</v>
      </c>
      <c r="AT40" s="469">
        <f t="shared" si="3"/>
        <v>187.54999999999995</v>
      </c>
    </row>
    <row r="41" spans="2:46" x14ac:dyDescent="0.3">
      <c r="B41" s="618" t="s">
        <v>294</v>
      </c>
      <c r="C41" s="619"/>
      <c r="E41" s="174"/>
      <c r="F41" s="174"/>
      <c r="G41" s="174"/>
      <c r="H41" s="174"/>
      <c r="I41" s="174"/>
      <c r="J41" s="174"/>
      <c r="K41" s="294"/>
      <c r="L41" s="245"/>
      <c r="M41" s="245"/>
      <c r="N41" s="245">
        <v>0</v>
      </c>
      <c r="O41" s="496">
        <v>0</v>
      </c>
      <c r="P41" s="496">
        <v>0</v>
      </c>
      <c r="Q41" s="497">
        <v>0</v>
      </c>
      <c r="R41" s="498">
        <v>58.333333333333336</v>
      </c>
      <c r="S41" s="496"/>
      <c r="T41" s="496"/>
      <c r="U41" s="496"/>
      <c r="V41" s="496"/>
      <c r="W41" s="496"/>
      <c r="X41" s="496"/>
      <c r="Y41" s="496"/>
      <c r="Z41" s="496"/>
      <c r="AA41" s="496"/>
      <c r="AB41" s="496">
        <v>0</v>
      </c>
      <c r="AC41" s="496">
        <v>0</v>
      </c>
      <c r="AD41" s="496">
        <v>0</v>
      </c>
      <c r="AE41" s="496">
        <v>50</v>
      </c>
      <c r="AF41" s="496">
        <f>+SUMIF('Monthly Detail'!$4:$4, $B$14,'Monthly Detail'!83:83)</f>
        <v>0</v>
      </c>
      <c r="AG41" s="497"/>
      <c r="AH41" s="498"/>
      <c r="AI41" s="498"/>
      <c r="AJ41" s="496"/>
      <c r="AK41" s="496">
        <v>0</v>
      </c>
      <c r="AL41" s="499">
        <v>0</v>
      </c>
      <c r="AM41" s="498">
        <v>0</v>
      </c>
      <c r="AN41" s="498">
        <v>0</v>
      </c>
      <c r="AO41" s="498"/>
      <c r="AP41" s="498"/>
      <c r="AQ41" s="498"/>
      <c r="AR41" s="498"/>
      <c r="AS41" s="469">
        <f t="shared" si="2"/>
        <v>-58.333333333333336</v>
      </c>
      <c r="AT41" s="469">
        <f t="shared" si="3"/>
        <v>0</v>
      </c>
    </row>
    <row r="42" spans="2:46" x14ac:dyDescent="0.3">
      <c r="B42" s="620" t="s">
        <v>10</v>
      </c>
      <c r="C42" s="621"/>
      <c r="D42" s="5"/>
      <c r="E42" s="172">
        <f>SUM(E32:E40)</f>
        <v>479.63166666666666</v>
      </c>
      <c r="F42" s="172">
        <f>SUM(F32:F40)</f>
        <v>751.55416666666656</v>
      </c>
      <c r="G42" s="172">
        <v>643.62333333333333</v>
      </c>
      <c r="H42" s="172">
        <v>923.6483333333332</v>
      </c>
      <c r="I42" s="172">
        <v>1019.6466666666699</v>
      </c>
      <c r="J42" s="172">
        <v>810.76066666666679</v>
      </c>
      <c r="K42" s="295">
        <v>2152.8333333333335</v>
      </c>
      <c r="L42" s="172">
        <v>986.84999999999991</v>
      </c>
      <c r="M42" s="172">
        <f>+SUM(M30:M41)</f>
        <v>2856.7416666666668</v>
      </c>
      <c r="N42" s="172">
        <v>1657.2716666666668</v>
      </c>
      <c r="O42" s="172">
        <v>723.78666666666675</v>
      </c>
      <c r="P42" s="172">
        <v>1941.8641117014495</v>
      </c>
      <c r="Q42" s="331">
        <v>1254.3900034135356</v>
      </c>
      <c r="R42" s="246">
        <v>1598.8629605795149</v>
      </c>
      <c r="S42" s="172">
        <f t="shared" ref="S42:AA42" si="10">SUM(S32:S40)</f>
        <v>801.95</v>
      </c>
      <c r="T42" s="172">
        <f t="shared" si="10"/>
        <v>1646.3600000000001</v>
      </c>
      <c r="U42" s="172">
        <f t="shared" si="10"/>
        <v>1047.47</v>
      </c>
      <c r="V42" s="172">
        <f t="shared" si="10"/>
        <v>906.43000000000006</v>
      </c>
      <c r="W42" s="172">
        <f t="shared" si="10"/>
        <v>497.47</v>
      </c>
      <c r="X42" s="172">
        <f t="shared" si="10"/>
        <v>417.24</v>
      </c>
      <c r="Y42" s="172">
        <f t="shared" si="10"/>
        <v>436.02</v>
      </c>
      <c r="Z42" s="172">
        <f t="shared" si="10"/>
        <v>643.03</v>
      </c>
      <c r="AA42" s="172">
        <f t="shared" si="10"/>
        <v>382.79999999999995</v>
      </c>
      <c r="AB42" s="172">
        <v>689.94999999999993</v>
      </c>
      <c r="AC42" s="172">
        <v>1579.4199999999998</v>
      </c>
      <c r="AD42" s="172">
        <v>2133.86</v>
      </c>
      <c r="AE42" s="172">
        <v>1446.3200000000002</v>
      </c>
      <c r="AF42" s="172">
        <f t="shared" ref="AF42" si="11">+SUM(AF30:AF41)</f>
        <v>1122.71</v>
      </c>
      <c r="AG42" s="331">
        <v>810.76066666666679</v>
      </c>
      <c r="AH42" s="246">
        <v>810.76066666666679</v>
      </c>
      <c r="AI42" s="246">
        <v>810.76066666666679</v>
      </c>
      <c r="AJ42" s="172">
        <v>960.76066666666679</v>
      </c>
      <c r="AK42" s="172">
        <v>810.76066666666679</v>
      </c>
      <c r="AL42" s="351">
        <v>810.76066666666679</v>
      </c>
      <c r="AM42" s="246">
        <v>960.76066666666679</v>
      </c>
      <c r="AN42" s="246">
        <v>810.76066666666679</v>
      </c>
      <c r="AO42" s="246">
        <v>1846.5020459770124</v>
      </c>
      <c r="AP42" s="246">
        <v>960.76066666666679</v>
      </c>
      <c r="AQ42" s="246">
        <v>810.76066666666679</v>
      </c>
      <c r="AR42" s="246">
        <v>810.76066666666679</v>
      </c>
      <c r="AS42" s="468">
        <f t="shared" si="2"/>
        <v>-476.15296057951491</v>
      </c>
      <c r="AT42" s="468">
        <f t="shared" si="3"/>
        <v>-723.79204597701232</v>
      </c>
    </row>
    <row r="43" spans="2:46" x14ac:dyDescent="0.3">
      <c r="B43" s="634" t="s">
        <v>11</v>
      </c>
      <c r="C43" s="635"/>
      <c r="E43" s="9">
        <f>+E16-E42</f>
        <v>4458.3683333333338</v>
      </c>
      <c r="F43" s="9">
        <f>+F16-F42</f>
        <v>3737.9458333333323</v>
      </c>
      <c r="G43" s="9">
        <v>5166.6266666666661</v>
      </c>
      <c r="H43" s="9">
        <v>3957.7216666666668</v>
      </c>
      <c r="I43" s="9">
        <v>7569.7233333333343</v>
      </c>
      <c r="J43" s="9">
        <v>2255.7184999999999</v>
      </c>
      <c r="K43" s="296">
        <v>1022.1880263157896</v>
      </c>
      <c r="L43" s="9">
        <v>1435.4298913043481</v>
      </c>
      <c r="M43" s="9">
        <v>3942.5624846915707</v>
      </c>
      <c r="N43" s="9">
        <v>4387.4070731396541</v>
      </c>
      <c r="O43" s="9">
        <v>3311.2272398005284</v>
      </c>
      <c r="P43" s="9">
        <f>+P28-P42</f>
        <v>3479.0006727771388</v>
      </c>
      <c r="Q43" s="332">
        <v>6203.6292621126067</v>
      </c>
      <c r="R43" s="247">
        <v>7416.8513855618467</v>
      </c>
      <c r="S43" s="9">
        <f t="shared" ref="S43:AA43" si="12">+S16-S42</f>
        <v>6276.71</v>
      </c>
      <c r="T43" s="9">
        <f t="shared" si="12"/>
        <v>7109.73</v>
      </c>
      <c r="U43" s="9">
        <f t="shared" si="12"/>
        <v>7148.9000000000005</v>
      </c>
      <c r="V43" s="9">
        <f t="shared" si="12"/>
        <v>4031.6899999999996</v>
      </c>
      <c r="W43" s="9">
        <f t="shared" si="12"/>
        <v>1647.03</v>
      </c>
      <c r="X43" s="9">
        <f t="shared" si="12"/>
        <v>2584.7600000000002</v>
      </c>
      <c r="Y43" s="9">
        <f t="shared" si="12"/>
        <v>3921.48</v>
      </c>
      <c r="Z43" s="9">
        <f t="shared" si="12"/>
        <v>2836.4700000000003</v>
      </c>
      <c r="AA43" s="9">
        <f t="shared" si="12"/>
        <v>3635.2</v>
      </c>
      <c r="AB43" s="9">
        <v>5015.13</v>
      </c>
      <c r="AC43" s="9">
        <v>2728.84</v>
      </c>
      <c r="AD43" s="9">
        <v>6317.0300000000007</v>
      </c>
      <c r="AE43" s="9">
        <v>11764.94</v>
      </c>
      <c r="AF43" s="9">
        <f>+AF28-AF42</f>
        <v>8439.7900000000009</v>
      </c>
      <c r="AG43" s="332">
        <f t="shared" ref="AG43:AL43" si="13">+AG16-AG42</f>
        <v>2255.7184999999999</v>
      </c>
      <c r="AH43" s="247">
        <f t="shared" si="13"/>
        <v>4082.9005175438597</v>
      </c>
      <c r="AI43" s="247">
        <f t="shared" si="13"/>
        <v>3183.372485507246</v>
      </c>
      <c r="AJ43" s="9">
        <f t="shared" si="13"/>
        <v>5003.6946904761908</v>
      </c>
      <c r="AK43" s="9">
        <f t="shared" si="13"/>
        <v>9421.0310000000009</v>
      </c>
      <c r="AL43" s="352">
        <f t="shared" si="13"/>
        <v>5919.610545454545</v>
      </c>
      <c r="AM43" s="247">
        <f>+AM28-AM42</f>
        <v>8907.7125476190467</v>
      </c>
      <c r="AN43" s="247">
        <f>+AN16-AN42</f>
        <v>8438.2278243819255</v>
      </c>
      <c r="AO43" s="247">
        <f>+AO16-AO42</f>
        <v>10633.843859195402</v>
      </c>
      <c r="AP43" s="247">
        <f>+AP16-AP42</f>
        <v>9233.936421401515</v>
      </c>
      <c r="AQ43" s="247">
        <f>+AQ16-AQ42</f>
        <v>5231.903395833333</v>
      </c>
      <c r="AR43" s="247">
        <f>+AR16-AR42</f>
        <v>3301.239333333333</v>
      </c>
      <c r="AS43" s="469">
        <f t="shared" si="2"/>
        <v>1022.9386144381542</v>
      </c>
      <c r="AT43" s="469">
        <f t="shared" si="3"/>
        <v>-2194.0538591954009</v>
      </c>
    </row>
    <row r="44" spans="2:46" x14ac:dyDescent="0.3">
      <c r="B44" s="632" t="s">
        <v>284</v>
      </c>
      <c r="C44" s="633"/>
      <c r="D44" s="168"/>
      <c r="E44" s="307"/>
      <c r="F44" s="307"/>
      <c r="G44" s="307"/>
      <c r="H44" s="307"/>
      <c r="I44" s="307"/>
      <c r="J44" s="307"/>
      <c r="K44" s="308">
        <f>+K43/K16</f>
        <v>0.32194681878573356</v>
      </c>
      <c r="L44" s="323">
        <v>0.59259456203114436</v>
      </c>
      <c r="M44" s="323">
        <v>0.88787970479928569</v>
      </c>
      <c r="N44" s="323">
        <v>0.72582965315378078</v>
      </c>
      <c r="O44" s="323">
        <v>0.82062350132013073</v>
      </c>
      <c r="P44" s="323">
        <f t="shared" ref="P44" si="14">+P43/P16</f>
        <v>0.57306508978291171</v>
      </c>
      <c r="Q44" s="391">
        <v>0.68392384770654391</v>
      </c>
      <c r="R44" s="310">
        <v>0.58238463409496122</v>
      </c>
      <c r="S44" s="307"/>
      <c r="T44" s="307"/>
      <c r="U44" s="307"/>
      <c r="V44" s="307"/>
      <c r="W44" s="307"/>
      <c r="X44" s="307"/>
      <c r="Y44" s="310">
        <f>+Y43/Y16</f>
        <v>0.89993803786574866</v>
      </c>
      <c r="Z44" s="310">
        <f>+Z43/Z16</f>
        <v>0.81519471188389148</v>
      </c>
      <c r="AA44" s="310">
        <f>+AA43/AA16</f>
        <v>0.90472872075659527</v>
      </c>
      <c r="AB44" s="390">
        <v>0.87906392197830707</v>
      </c>
      <c r="AC44" s="323">
        <v>0.6333972415778063</v>
      </c>
      <c r="AD44" s="323">
        <v>0.69717544303043077</v>
      </c>
      <c r="AE44" s="323">
        <v>0.83372710870609712</v>
      </c>
      <c r="AF44" s="323">
        <f t="shared" ref="AF44" si="15">+AF43/AF16</f>
        <v>0.8527193735791867</v>
      </c>
      <c r="AG44" s="391">
        <f t="shared" ref="AG44:AL44" si="16">+AG43/AG16</f>
        <v>0.73560535630575241</v>
      </c>
      <c r="AH44" s="310">
        <f t="shared" si="16"/>
        <v>0.83432431544656205</v>
      </c>
      <c r="AI44" s="390">
        <f t="shared" si="16"/>
        <v>0.79701210856593774</v>
      </c>
      <c r="AJ44" s="323">
        <f t="shared" si="16"/>
        <v>0.83891896088783902</v>
      </c>
      <c r="AK44" s="323">
        <f t="shared" si="16"/>
        <v>0.92076063576353118</v>
      </c>
      <c r="AL44" s="394">
        <f t="shared" si="16"/>
        <v>0.87953700604113638</v>
      </c>
      <c r="AM44" s="310">
        <f t="shared" ref="AM44:AN44" si="17">+AM43/AM16</f>
        <v>0.90264343371010436</v>
      </c>
      <c r="AN44" s="310">
        <f t="shared" si="17"/>
        <v>0.91234061244088027</v>
      </c>
      <c r="AO44" s="310">
        <f>+AO43/AO16</f>
        <v>0.85204720606247464</v>
      </c>
      <c r="AP44" s="309"/>
      <c r="AQ44" s="309"/>
      <c r="AR44" s="309"/>
      <c r="AS44" s="573">
        <f t="shared" si="2"/>
        <v>0.27033473948422548</v>
      </c>
      <c r="AT44" s="470">
        <f t="shared" si="3"/>
        <v>6.7216751671206332E-4</v>
      </c>
    </row>
    <row r="45" spans="2:46" hidden="1" x14ac:dyDescent="0.3">
      <c r="B45" s="630" t="s">
        <v>13</v>
      </c>
      <c r="C45" s="631"/>
      <c r="E45" s="174">
        <v>0.03</v>
      </c>
      <c r="F45" s="174">
        <v>0.01</v>
      </c>
      <c r="G45" s="174">
        <v>0</v>
      </c>
      <c r="H45" s="174">
        <v>0</v>
      </c>
      <c r="I45" s="174">
        <v>0</v>
      </c>
      <c r="J45" s="174">
        <v>0</v>
      </c>
      <c r="K45" s="294">
        <v>0</v>
      </c>
      <c r="L45" s="245">
        <v>0</v>
      </c>
      <c r="M45" s="245">
        <v>0</v>
      </c>
      <c r="N45" s="245">
        <v>0</v>
      </c>
      <c r="O45" s="245">
        <v>0</v>
      </c>
      <c r="P45" s="245">
        <v>0</v>
      </c>
      <c r="Q45" s="330">
        <v>0</v>
      </c>
      <c r="R45" s="244">
        <v>0</v>
      </c>
      <c r="S45" s="245">
        <f>+SUMIF('Monthly Detail'!$4:$4, S15,'Monthly Detail'!93:93)</f>
        <v>0.01</v>
      </c>
      <c r="T45" s="245">
        <f>+SUMIF('Monthly Detail'!$4:$4, T15,'Monthly Detail'!93:93)</f>
        <v>0</v>
      </c>
      <c r="U45" s="245">
        <f>+SUMIF('Monthly Detail'!$4:$4, U15,'Monthly Detail'!93:93)</f>
        <v>0</v>
      </c>
      <c r="V45" s="245">
        <f>+SUMIF('Monthly Detail'!$4:$4, V15,'Monthly Detail'!93:93)</f>
        <v>0</v>
      </c>
      <c r="W45" s="245">
        <f>+SUMIF('Monthly Detail'!$4:$4, W15,'Monthly Detail'!93:93)</f>
        <v>0</v>
      </c>
      <c r="X45" s="245">
        <f>+SUMIF('Monthly Detail'!$4:$4, X15,'Monthly Detail'!93:93)</f>
        <v>0</v>
      </c>
      <c r="Y45" s="245">
        <f>+SUMIF('Monthly Detail'!$4:$4, Y15,'Monthly Detail'!93:93)</f>
        <v>0</v>
      </c>
      <c r="Z45" s="245">
        <f>+SUMIF('Monthly Detail'!$4:$4, Z15,'Monthly Detail'!93:93)</f>
        <v>0</v>
      </c>
      <c r="AA45" s="245">
        <f>+SUMIF('Monthly Detail'!$4:$4, AA15,'Monthly Detail'!93:93)</f>
        <v>0</v>
      </c>
      <c r="AB45" s="245">
        <v>0</v>
      </c>
      <c r="AC45" s="245">
        <v>25</v>
      </c>
      <c r="AD45" s="245">
        <v>0</v>
      </c>
      <c r="AE45" s="245">
        <v>0</v>
      </c>
      <c r="AF45" s="245">
        <f>+SUMIF('Monthly Detail'!$4:$4, F14,'Monthly Detail'!93:93)</f>
        <v>0</v>
      </c>
      <c r="AG45" s="330">
        <v>0</v>
      </c>
      <c r="AH45" s="244">
        <v>0</v>
      </c>
      <c r="AI45" s="244">
        <v>0</v>
      </c>
      <c r="AJ45" s="245">
        <v>0</v>
      </c>
      <c r="AK45" s="245">
        <v>0</v>
      </c>
      <c r="AL45" s="350">
        <v>0</v>
      </c>
      <c r="AM45" s="244">
        <v>0</v>
      </c>
      <c r="AN45" s="244">
        <v>0</v>
      </c>
      <c r="AO45" s="244">
        <v>0</v>
      </c>
      <c r="AP45" s="244">
        <v>0</v>
      </c>
      <c r="AQ45" s="244">
        <v>0</v>
      </c>
      <c r="AR45" s="244">
        <v>0</v>
      </c>
      <c r="AS45" s="469">
        <f t="shared" si="2"/>
        <v>0</v>
      </c>
      <c r="AT45" s="469">
        <f t="shared" si="3"/>
        <v>0</v>
      </c>
    </row>
    <row r="46" spans="2:46" x14ac:dyDescent="0.3">
      <c r="B46" s="620" t="s">
        <v>351</v>
      </c>
      <c r="C46" s="621"/>
      <c r="D46" s="5"/>
      <c r="E46" s="172">
        <f>+E45</f>
        <v>0.03</v>
      </c>
      <c r="F46" s="172">
        <f>+F45</f>
        <v>0.01</v>
      </c>
      <c r="G46" s="172">
        <v>0</v>
      </c>
      <c r="H46" s="172">
        <v>0</v>
      </c>
      <c r="I46" s="172">
        <v>7569.7233333333343</v>
      </c>
      <c r="J46" s="172">
        <v>2255.7184999999999</v>
      </c>
      <c r="K46" s="295">
        <v>0</v>
      </c>
      <c r="L46" s="172">
        <v>0</v>
      </c>
      <c r="M46" s="172">
        <v>0</v>
      </c>
      <c r="N46" s="172">
        <v>0</v>
      </c>
      <c r="O46" s="172">
        <v>0</v>
      </c>
      <c r="P46" s="172">
        <v>0</v>
      </c>
      <c r="Q46" s="331">
        <v>-715.26</v>
      </c>
      <c r="R46" s="246">
        <v>-607.12</v>
      </c>
      <c r="S46" s="172">
        <f t="shared" ref="S46:S47" si="18">+S45</f>
        <v>0.01</v>
      </c>
      <c r="T46" s="172">
        <f t="shared" ref="T46:X46" si="19">+T45</f>
        <v>0</v>
      </c>
      <c r="U46" s="172">
        <f t="shared" si="19"/>
        <v>0</v>
      </c>
      <c r="V46" s="172">
        <f t="shared" si="19"/>
        <v>0</v>
      </c>
      <c r="W46" s="172">
        <f t="shared" si="19"/>
        <v>0</v>
      </c>
      <c r="X46" s="172">
        <f t="shared" si="19"/>
        <v>0</v>
      </c>
      <c r="Y46" s="172">
        <f t="shared" ref="Y46:Z46" si="20">+Y45</f>
        <v>0</v>
      </c>
      <c r="Z46" s="172">
        <f t="shared" si="20"/>
        <v>0</v>
      </c>
      <c r="AA46" s="172">
        <f t="shared" ref="AA46" si="21">+AA45</f>
        <v>0</v>
      </c>
      <c r="AB46" s="172">
        <v>0</v>
      </c>
      <c r="AC46" s="172">
        <v>25</v>
      </c>
      <c r="AD46" s="172">
        <v>0</v>
      </c>
      <c r="AE46" s="172">
        <v>-606.69000000000005</v>
      </c>
      <c r="AF46" s="172">
        <f>+'Monthly Detail'!AJ98</f>
        <v>-638.92999999999995</v>
      </c>
      <c r="AG46" s="331">
        <v>0</v>
      </c>
      <c r="AH46" s="246">
        <v>0</v>
      </c>
      <c r="AI46" s="246">
        <v>0</v>
      </c>
      <c r="AJ46" s="172">
        <v>0</v>
      </c>
      <c r="AK46" s="172">
        <v>0</v>
      </c>
      <c r="AL46" s="351">
        <v>0</v>
      </c>
      <c r="AM46" s="246">
        <v>0</v>
      </c>
      <c r="AN46" s="246">
        <v>0</v>
      </c>
      <c r="AO46" s="246">
        <v>0</v>
      </c>
      <c r="AP46" s="246">
        <v>0</v>
      </c>
      <c r="AQ46" s="246">
        <v>0</v>
      </c>
      <c r="AR46" s="246">
        <v>0</v>
      </c>
      <c r="AS46" s="468">
        <f t="shared" si="2"/>
        <v>-31.809999999999945</v>
      </c>
      <c r="AT46" s="468">
        <f t="shared" si="3"/>
        <v>-638.92999999999995</v>
      </c>
    </row>
    <row r="47" spans="2:46" hidden="1" x14ac:dyDescent="0.3">
      <c r="B47" s="634" t="s">
        <v>15</v>
      </c>
      <c r="C47" s="635"/>
      <c r="D47" s="3"/>
      <c r="E47" s="10">
        <f>+E46</f>
        <v>0.03</v>
      </c>
      <c r="F47" s="10">
        <f>+F46</f>
        <v>0.01</v>
      </c>
      <c r="G47" s="10">
        <v>0</v>
      </c>
      <c r="H47" s="10">
        <v>0</v>
      </c>
      <c r="I47" s="10">
        <v>0</v>
      </c>
      <c r="J47" s="10">
        <v>0</v>
      </c>
      <c r="K47" s="301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333">
        <v>0</v>
      </c>
      <c r="R47" s="302">
        <v>-607.12</v>
      </c>
      <c r="S47" s="10">
        <f t="shared" si="18"/>
        <v>0.01</v>
      </c>
      <c r="T47" s="10">
        <f t="shared" ref="T47:X47" si="22">+T46</f>
        <v>0</v>
      </c>
      <c r="U47" s="10">
        <f t="shared" si="22"/>
        <v>0</v>
      </c>
      <c r="V47" s="10">
        <f t="shared" si="22"/>
        <v>0</v>
      </c>
      <c r="W47" s="10">
        <f t="shared" si="22"/>
        <v>0</v>
      </c>
      <c r="X47" s="10">
        <f t="shared" si="22"/>
        <v>0</v>
      </c>
      <c r="Y47" s="10">
        <f t="shared" ref="Y47:Z47" si="23">+Y46</f>
        <v>0</v>
      </c>
      <c r="Z47" s="10">
        <f t="shared" si="23"/>
        <v>0</v>
      </c>
      <c r="AA47" s="10">
        <f t="shared" ref="AA47" si="24">+AA46</f>
        <v>0</v>
      </c>
      <c r="AB47" s="10">
        <v>0</v>
      </c>
      <c r="AC47" s="10">
        <v>25</v>
      </c>
      <c r="AD47" s="10">
        <v>0</v>
      </c>
      <c r="AE47" s="10">
        <v>-606.69000000000005</v>
      </c>
      <c r="AF47" s="10">
        <f t="shared" ref="AF47" si="25">+AF46</f>
        <v>-638.92999999999995</v>
      </c>
      <c r="AG47" s="333">
        <v>0</v>
      </c>
      <c r="AH47" s="302">
        <v>0</v>
      </c>
      <c r="AI47" s="302">
        <v>0</v>
      </c>
      <c r="AJ47" s="10">
        <v>0</v>
      </c>
      <c r="AK47" s="10">
        <v>0</v>
      </c>
      <c r="AL47" s="353">
        <v>0</v>
      </c>
      <c r="AM47" s="302">
        <v>0</v>
      </c>
      <c r="AN47" s="302">
        <v>0</v>
      </c>
      <c r="AO47" s="302">
        <v>0</v>
      </c>
      <c r="AP47" s="302">
        <v>0</v>
      </c>
      <c r="AQ47" s="302">
        <v>0</v>
      </c>
      <c r="AR47" s="302">
        <v>0</v>
      </c>
      <c r="AS47" s="565">
        <f t="shared" si="2"/>
        <v>-31.809999999999945</v>
      </c>
      <c r="AT47" s="565">
        <f t="shared" si="3"/>
        <v>-638.92999999999995</v>
      </c>
    </row>
    <row r="48" spans="2:46" x14ac:dyDescent="0.3">
      <c r="B48" s="626" t="s">
        <v>285</v>
      </c>
      <c r="C48" s="627"/>
      <c r="D48" s="303"/>
      <c r="E48" s="304"/>
      <c r="F48" s="304"/>
      <c r="G48" s="304"/>
      <c r="H48" s="304"/>
      <c r="I48" s="304"/>
      <c r="J48" s="304"/>
      <c r="K48" s="305">
        <v>3250</v>
      </c>
      <c r="L48" s="304">
        <v>800</v>
      </c>
      <c r="M48" s="304">
        <v>1600</v>
      </c>
      <c r="N48" s="304">
        <v>1600</v>
      </c>
      <c r="O48" s="304">
        <v>1270</v>
      </c>
      <c r="P48" s="304">
        <v>3964.1962695766706</v>
      </c>
      <c r="Q48" s="334">
        <v>4045.8968508380203</v>
      </c>
      <c r="R48" s="306">
        <v>4766.811969893286</v>
      </c>
      <c r="S48" s="304"/>
      <c r="T48" s="304"/>
      <c r="U48" s="304"/>
      <c r="V48" s="304"/>
      <c r="W48" s="304"/>
      <c r="X48" s="304"/>
      <c r="Y48" s="306">
        <f>-'Monthly Detail'!AC143</f>
        <v>3325</v>
      </c>
      <c r="Z48" s="306">
        <f>-'Monthly Detail'!AD143</f>
        <v>3220</v>
      </c>
      <c r="AA48" s="306">
        <f>-'Monthly Detail'!AE143</f>
        <v>-75</v>
      </c>
      <c r="AB48" s="305">
        <v>4300</v>
      </c>
      <c r="AC48" s="304">
        <v>2750</v>
      </c>
      <c r="AD48" s="304">
        <v>4307.5404834788205</v>
      </c>
      <c r="AE48" s="304">
        <v>9775</v>
      </c>
      <c r="AF48" s="304">
        <f>-'Monthly Detail'!AJ143</f>
        <v>6767.5</v>
      </c>
      <c r="AG48" s="334">
        <v>2000</v>
      </c>
      <c r="AH48" s="306">
        <v>1050</v>
      </c>
      <c r="AI48" s="306">
        <v>1150</v>
      </c>
      <c r="AJ48" s="304">
        <v>1275</v>
      </c>
      <c r="AK48" s="304">
        <v>2400</v>
      </c>
      <c r="AL48" s="354">
        <v>1270</v>
      </c>
      <c r="AM48" s="306">
        <v>2464.61</v>
      </c>
      <c r="AN48" s="306">
        <v>6405</v>
      </c>
      <c r="AO48" s="306">
        <v>5600</v>
      </c>
      <c r="AP48" s="306">
        <v>-7900</v>
      </c>
      <c r="AQ48" s="306">
        <v>-4100</v>
      </c>
      <c r="AR48" s="306">
        <v>-1425</v>
      </c>
      <c r="AS48" s="576">
        <f t="shared" si="2"/>
        <v>2000.688030106714</v>
      </c>
      <c r="AT48" s="576">
        <f t="shared" si="3"/>
        <v>1167.5</v>
      </c>
    </row>
    <row r="49" spans="2:46" ht="15" thickBot="1" x14ac:dyDescent="0.35">
      <c r="B49" s="628" t="s">
        <v>16</v>
      </c>
      <c r="C49" s="629"/>
      <c r="D49" s="176"/>
      <c r="E49" s="177">
        <f>+E47+E43</f>
        <v>4458.3983333333335</v>
      </c>
      <c r="F49" s="177">
        <f>+F47+F43</f>
        <v>3737.9558333333325</v>
      </c>
      <c r="G49" s="177">
        <v>5166.6266666666661</v>
      </c>
      <c r="H49" s="177">
        <v>3957.7216666666668</v>
      </c>
      <c r="I49" s="177">
        <v>7569.7233333333343</v>
      </c>
      <c r="J49" s="177">
        <v>2255.7184999999999</v>
      </c>
      <c r="K49" s="297">
        <v>1022.1880263157896</v>
      </c>
      <c r="L49" s="177">
        <v>1435.4298913043481</v>
      </c>
      <c r="M49" s="177">
        <v>3942.5624846915707</v>
      </c>
      <c r="N49" s="177">
        <v>4387.4070731396541</v>
      </c>
      <c r="O49" s="177">
        <v>3311.2272398005284</v>
      </c>
      <c r="P49" s="249">
        <v>4129.0006727771388</v>
      </c>
      <c r="Q49" s="504">
        <v>6203.6292621126067</v>
      </c>
      <c r="R49" s="599">
        <v>6809.7313855618468</v>
      </c>
      <c r="S49" s="249">
        <f t="shared" ref="S49" si="26">+S47+S43</f>
        <v>6276.72</v>
      </c>
      <c r="T49" s="249">
        <f t="shared" ref="T49:X49" si="27">+T47+T43</f>
        <v>7109.73</v>
      </c>
      <c r="U49" s="249">
        <f t="shared" si="27"/>
        <v>7148.9000000000005</v>
      </c>
      <c r="V49" s="249">
        <f t="shared" si="27"/>
        <v>4031.6899999999996</v>
      </c>
      <c r="W49" s="249">
        <f t="shared" si="27"/>
        <v>1647.03</v>
      </c>
      <c r="X49" s="249">
        <f t="shared" si="27"/>
        <v>2584.7600000000002</v>
      </c>
      <c r="Y49" s="249">
        <f t="shared" ref="Y49:Z49" si="28">+Y47+Y43</f>
        <v>3921.48</v>
      </c>
      <c r="Z49" s="249">
        <f t="shared" si="28"/>
        <v>2836.4700000000003</v>
      </c>
      <c r="AA49" s="249">
        <f t="shared" ref="AA49" si="29">+AA47+AA43</f>
        <v>3635.2</v>
      </c>
      <c r="AB49" s="249">
        <v>5015.13</v>
      </c>
      <c r="AC49" s="249">
        <v>2753.84</v>
      </c>
      <c r="AD49" s="249">
        <v>6317.0300000000007</v>
      </c>
      <c r="AE49" s="249">
        <v>11158.25</v>
      </c>
      <c r="AF49" s="249">
        <f t="shared" ref="AF49" si="30">+AF47+AF43</f>
        <v>7800.8600000000006</v>
      </c>
      <c r="AG49" s="335">
        <v>2255.7184999999999</v>
      </c>
      <c r="AH49" s="248">
        <v>4082.9005175438597</v>
      </c>
      <c r="AI49" s="248">
        <v>3183.372485507246</v>
      </c>
      <c r="AJ49" s="177">
        <v>5003.6946904761908</v>
      </c>
      <c r="AK49" s="177">
        <v>9421.0310000000009</v>
      </c>
      <c r="AL49" s="355">
        <v>5919.610545454545</v>
      </c>
      <c r="AM49" s="248">
        <v>8907.7125476190467</v>
      </c>
      <c r="AN49" s="248">
        <v>8438.2278243819255</v>
      </c>
      <c r="AO49" s="248">
        <v>10633.843859195402</v>
      </c>
      <c r="AP49" s="248">
        <v>9233.936421401515</v>
      </c>
      <c r="AQ49" s="248">
        <v>5231.903395833333</v>
      </c>
      <c r="AR49" s="248">
        <v>3301.239333333333</v>
      </c>
      <c r="AS49" s="567">
        <f t="shared" si="2"/>
        <v>991.12861443815382</v>
      </c>
      <c r="AT49" s="471">
        <f t="shared" si="3"/>
        <v>-2832.9838591954012</v>
      </c>
    </row>
    <row r="50" spans="2:46" ht="15" thickTop="1" x14ac:dyDescent="0.3"/>
    <row r="51" spans="2:46" x14ac:dyDescent="0.3">
      <c r="B51" s="281"/>
      <c r="C51" s="281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45"/>
      <c r="T51" s="245"/>
      <c r="U51" s="245"/>
      <c r="V51" s="245"/>
      <c r="W51" s="245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298"/>
      <c r="AT51" s="298"/>
    </row>
  </sheetData>
  <mergeCells count="27">
    <mergeCell ref="B35:C35"/>
    <mergeCell ref="B29:C29"/>
    <mergeCell ref="B28:C28"/>
    <mergeCell ref="B49:C49"/>
    <mergeCell ref="B45:C45"/>
    <mergeCell ref="B44:C44"/>
    <mergeCell ref="B41:C41"/>
    <mergeCell ref="B47:C47"/>
    <mergeCell ref="B48:C48"/>
    <mergeCell ref="B46:C46"/>
    <mergeCell ref="B43:C43"/>
    <mergeCell ref="B14:AT14"/>
    <mergeCell ref="B16:C16"/>
    <mergeCell ref="B39:C39"/>
    <mergeCell ref="B40:C40"/>
    <mergeCell ref="B42:C42"/>
    <mergeCell ref="B17:B23"/>
    <mergeCell ref="B38:C38"/>
    <mergeCell ref="B27:C27"/>
    <mergeCell ref="B31:C31"/>
    <mergeCell ref="B36:C36"/>
    <mergeCell ref="B37:C37"/>
    <mergeCell ref="B32:C32"/>
    <mergeCell ref="B26:C26"/>
    <mergeCell ref="B30:C30"/>
    <mergeCell ref="B33:C33"/>
    <mergeCell ref="B34:C34"/>
  </mergeCells>
  <pageMargins left="0.7" right="0.7" top="0.75" bottom="0.75" header="0.3" footer="0.3"/>
  <pageSetup scale="5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>
      <selection activeCell="C1" sqref="C1:C1048576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49</v>
      </c>
      <c r="C2" s="13"/>
    </row>
    <row r="3" spans="2:3" x14ac:dyDescent="0.3">
      <c r="B3" s="14">
        <v>43831</v>
      </c>
      <c r="C3" t="s">
        <v>50</v>
      </c>
    </row>
    <row r="4" spans="2:3" x14ac:dyDescent="0.3">
      <c r="B4" s="14">
        <v>43850</v>
      </c>
      <c r="C4" t="s">
        <v>51</v>
      </c>
    </row>
    <row r="5" spans="2:3" x14ac:dyDescent="0.3">
      <c r="B5" s="14">
        <v>43878</v>
      </c>
      <c r="C5" t="s">
        <v>52</v>
      </c>
    </row>
    <row r="6" spans="2:3" x14ac:dyDescent="0.3">
      <c r="B6" s="14">
        <v>43976</v>
      </c>
      <c r="C6" t="s">
        <v>53</v>
      </c>
    </row>
    <row r="7" spans="2:3" x14ac:dyDescent="0.3">
      <c r="B7" s="14">
        <v>44081</v>
      </c>
      <c r="C7" t="s">
        <v>54</v>
      </c>
    </row>
    <row r="8" spans="2:3" x14ac:dyDescent="0.3">
      <c r="B8" s="14">
        <v>44016</v>
      </c>
      <c r="C8" t="s">
        <v>55</v>
      </c>
    </row>
    <row r="9" spans="2:3" x14ac:dyDescent="0.3">
      <c r="B9" s="14">
        <v>44161</v>
      </c>
      <c r="C9" t="s">
        <v>56</v>
      </c>
    </row>
    <row r="10" spans="2:3" x14ac:dyDescent="0.3">
      <c r="B10" s="14">
        <f>+B9+1</f>
        <v>44162</v>
      </c>
      <c r="C10" t="s">
        <v>57</v>
      </c>
    </row>
    <row r="11" spans="2:3" x14ac:dyDescent="0.3">
      <c r="B11" s="14">
        <v>44189</v>
      </c>
      <c r="C11" t="s">
        <v>58</v>
      </c>
    </row>
    <row r="12" spans="2:3" x14ac:dyDescent="0.3">
      <c r="B12" s="14">
        <f>+B11+1</f>
        <v>44190</v>
      </c>
      <c r="C12" t="s">
        <v>59</v>
      </c>
    </row>
    <row r="13" spans="2:3" x14ac:dyDescent="0.3">
      <c r="B13" s="14">
        <f>+B3+366</f>
        <v>44197</v>
      </c>
      <c r="C13" t="s">
        <v>50</v>
      </c>
    </row>
    <row r="14" spans="2:3" x14ac:dyDescent="0.3">
      <c r="B14" s="14">
        <f t="shared" ref="B14:B22" si="0">+B4+366</f>
        <v>44216</v>
      </c>
      <c r="C14" t="s">
        <v>51</v>
      </c>
    </row>
    <row r="15" spans="2:3" x14ac:dyDescent="0.3">
      <c r="B15" s="14">
        <f t="shared" si="0"/>
        <v>44244</v>
      </c>
      <c r="C15" t="s">
        <v>52</v>
      </c>
    </row>
    <row r="16" spans="2:3" x14ac:dyDescent="0.3">
      <c r="B16" s="14">
        <f t="shared" si="0"/>
        <v>44342</v>
      </c>
      <c r="C16" t="s">
        <v>53</v>
      </c>
    </row>
    <row r="17" spans="2:3" x14ac:dyDescent="0.3">
      <c r="B17" s="14">
        <f t="shared" si="0"/>
        <v>44447</v>
      </c>
      <c r="C17" t="s">
        <v>54</v>
      </c>
    </row>
    <row r="18" spans="2:3" x14ac:dyDescent="0.3">
      <c r="B18" s="14">
        <f t="shared" si="0"/>
        <v>44382</v>
      </c>
      <c r="C18" t="s">
        <v>55</v>
      </c>
    </row>
    <row r="19" spans="2:3" x14ac:dyDescent="0.3">
      <c r="B19" s="14">
        <f t="shared" si="0"/>
        <v>44527</v>
      </c>
      <c r="C19" t="s">
        <v>56</v>
      </c>
    </row>
    <row r="20" spans="2:3" x14ac:dyDescent="0.3">
      <c r="B20" s="14">
        <f t="shared" si="0"/>
        <v>44528</v>
      </c>
      <c r="C20" t="s">
        <v>57</v>
      </c>
    </row>
    <row r="21" spans="2:3" x14ac:dyDescent="0.3">
      <c r="B21" s="14">
        <f t="shared" si="0"/>
        <v>44555</v>
      </c>
      <c r="C21" t="s">
        <v>58</v>
      </c>
    </row>
    <row r="22" spans="2:3" x14ac:dyDescent="0.3">
      <c r="B22" s="14">
        <f t="shared" si="0"/>
        <v>44556</v>
      </c>
      <c r="C22" t="s">
        <v>59</v>
      </c>
    </row>
    <row r="23" spans="2:3" x14ac:dyDescent="0.3">
      <c r="B23" s="14">
        <f>+B13+365</f>
        <v>44562</v>
      </c>
      <c r="C23" t="s">
        <v>50</v>
      </c>
    </row>
    <row r="24" spans="2:3" x14ac:dyDescent="0.3">
      <c r="B24" s="14">
        <f t="shared" ref="B24:B62" si="1">+B14+365</f>
        <v>44581</v>
      </c>
      <c r="C24" t="s">
        <v>51</v>
      </c>
    </row>
    <row r="25" spans="2:3" x14ac:dyDescent="0.3">
      <c r="B25" s="14">
        <f t="shared" si="1"/>
        <v>44609</v>
      </c>
      <c r="C25" t="s">
        <v>52</v>
      </c>
    </row>
    <row r="26" spans="2:3" x14ac:dyDescent="0.3">
      <c r="B26" s="14">
        <f t="shared" si="1"/>
        <v>44707</v>
      </c>
      <c r="C26" t="s">
        <v>53</v>
      </c>
    </row>
    <row r="27" spans="2:3" x14ac:dyDescent="0.3">
      <c r="B27" s="14">
        <f t="shared" si="1"/>
        <v>44812</v>
      </c>
      <c r="C27" t="s">
        <v>54</v>
      </c>
    </row>
    <row r="28" spans="2:3" x14ac:dyDescent="0.3">
      <c r="B28" s="14">
        <f t="shared" si="1"/>
        <v>44747</v>
      </c>
      <c r="C28" t="s">
        <v>55</v>
      </c>
    </row>
    <row r="29" spans="2:3" x14ac:dyDescent="0.3">
      <c r="B29" s="14">
        <f t="shared" si="1"/>
        <v>44892</v>
      </c>
      <c r="C29" t="s">
        <v>56</v>
      </c>
    </row>
    <row r="30" spans="2:3" x14ac:dyDescent="0.3">
      <c r="B30" s="14">
        <f t="shared" si="1"/>
        <v>44893</v>
      </c>
      <c r="C30" t="s">
        <v>57</v>
      </c>
    </row>
    <row r="31" spans="2:3" x14ac:dyDescent="0.3">
      <c r="B31" s="14">
        <f t="shared" si="1"/>
        <v>44920</v>
      </c>
      <c r="C31" t="s">
        <v>58</v>
      </c>
    </row>
    <row r="32" spans="2:3" x14ac:dyDescent="0.3">
      <c r="B32" s="14">
        <f t="shared" si="1"/>
        <v>44921</v>
      </c>
      <c r="C32" t="s">
        <v>59</v>
      </c>
    </row>
    <row r="33" spans="2:3" x14ac:dyDescent="0.3">
      <c r="B33" s="14">
        <f t="shared" si="1"/>
        <v>44927</v>
      </c>
      <c r="C33" t="s">
        <v>50</v>
      </c>
    </row>
    <row r="34" spans="2:3" x14ac:dyDescent="0.3">
      <c r="B34" s="14">
        <f t="shared" si="1"/>
        <v>44946</v>
      </c>
      <c r="C34" t="s">
        <v>51</v>
      </c>
    </row>
    <row r="35" spans="2:3" x14ac:dyDescent="0.3">
      <c r="B35" s="14">
        <f t="shared" si="1"/>
        <v>44974</v>
      </c>
      <c r="C35" t="s">
        <v>52</v>
      </c>
    </row>
    <row r="36" spans="2:3" x14ac:dyDescent="0.3">
      <c r="B36" s="14">
        <f t="shared" si="1"/>
        <v>45072</v>
      </c>
      <c r="C36" t="s">
        <v>53</v>
      </c>
    </row>
    <row r="37" spans="2:3" x14ac:dyDescent="0.3">
      <c r="B37" s="14">
        <f t="shared" si="1"/>
        <v>45177</v>
      </c>
      <c r="C37" t="s">
        <v>54</v>
      </c>
    </row>
    <row r="38" spans="2:3" x14ac:dyDescent="0.3">
      <c r="B38" s="14">
        <f t="shared" si="1"/>
        <v>45112</v>
      </c>
      <c r="C38" t="s">
        <v>55</v>
      </c>
    </row>
    <row r="39" spans="2:3" x14ac:dyDescent="0.3">
      <c r="B39" s="14">
        <f t="shared" si="1"/>
        <v>45257</v>
      </c>
      <c r="C39" t="s">
        <v>56</v>
      </c>
    </row>
    <row r="40" spans="2:3" x14ac:dyDescent="0.3">
      <c r="B40" s="14">
        <f t="shared" si="1"/>
        <v>45258</v>
      </c>
      <c r="C40" t="s">
        <v>57</v>
      </c>
    </row>
    <row r="41" spans="2:3" x14ac:dyDescent="0.3">
      <c r="B41" s="14">
        <f t="shared" si="1"/>
        <v>45285</v>
      </c>
      <c r="C41" t="s">
        <v>58</v>
      </c>
    </row>
    <row r="42" spans="2:3" x14ac:dyDescent="0.3">
      <c r="B42" s="14">
        <f t="shared" si="1"/>
        <v>45286</v>
      </c>
      <c r="C42" t="s">
        <v>59</v>
      </c>
    </row>
    <row r="43" spans="2:3" x14ac:dyDescent="0.3">
      <c r="B43" s="14">
        <f t="shared" si="1"/>
        <v>45292</v>
      </c>
      <c r="C43" t="s">
        <v>50</v>
      </c>
    </row>
    <row r="44" spans="2:3" x14ac:dyDescent="0.3">
      <c r="B44" s="14">
        <f t="shared" si="1"/>
        <v>45311</v>
      </c>
      <c r="C44" t="s">
        <v>51</v>
      </c>
    </row>
    <row r="45" spans="2:3" x14ac:dyDescent="0.3">
      <c r="B45" s="14">
        <f t="shared" si="1"/>
        <v>45339</v>
      </c>
      <c r="C45" t="s">
        <v>52</v>
      </c>
    </row>
    <row r="46" spans="2:3" x14ac:dyDescent="0.3">
      <c r="B46" s="14">
        <f t="shared" si="1"/>
        <v>45437</v>
      </c>
      <c r="C46" t="s">
        <v>53</v>
      </c>
    </row>
    <row r="47" spans="2:3" x14ac:dyDescent="0.3">
      <c r="B47" s="14">
        <f t="shared" si="1"/>
        <v>45542</v>
      </c>
      <c r="C47" t="s">
        <v>54</v>
      </c>
    </row>
    <row r="48" spans="2:3" x14ac:dyDescent="0.3">
      <c r="B48" s="14">
        <f t="shared" si="1"/>
        <v>45477</v>
      </c>
      <c r="C48" t="s">
        <v>55</v>
      </c>
    </row>
    <row r="49" spans="2:3" x14ac:dyDescent="0.3">
      <c r="B49" s="14">
        <f t="shared" si="1"/>
        <v>45622</v>
      </c>
      <c r="C49" t="s">
        <v>56</v>
      </c>
    </row>
    <row r="50" spans="2:3" x14ac:dyDescent="0.3">
      <c r="B50" s="14">
        <f t="shared" si="1"/>
        <v>45623</v>
      </c>
      <c r="C50" t="s">
        <v>57</v>
      </c>
    </row>
    <row r="51" spans="2:3" x14ac:dyDescent="0.3">
      <c r="B51" s="14">
        <f t="shared" si="1"/>
        <v>45650</v>
      </c>
      <c r="C51" t="s">
        <v>58</v>
      </c>
    </row>
    <row r="52" spans="2:3" x14ac:dyDescent="0.3">
      <c r="B52" s="14">
        <f t="shared" si="1"/>
        <v>45651</v>
      </c>
      <c r="C52" t="s">
        <v>59</v>
      </c>
    </row>
    <row r="53" spans="2:3" x14ac:dyDescent="0.3">
      <c r="B53" s="14">
        <f t="shared" si="1"/>
        <v>45657</v>
      </c>
      <c r="C53" t="s">
        <v>50</v>
      </c>
    </row>
    <row r="54" spans="2:3" x14ac:dyDescent="0.3">
      <c r="B54" s="14">
        <f t="shared" si="1"/>
        <v>45676</v>
      </c>
      <c r="C54" t="s">
        <v>51</v>
      </c>
    </row>
    <row r="55" spans="2:3" x14ac:dyDescent="0.3">
      <c r="B55" s="14">
        <f t="shared" si="1"/>
        <v>45704</v>
      </c>
      <c r="C55" t="s">
        <v>52</v>
      </c>
    </row>
    <row r="56" spans="2:3" x14ac:dyDescent="0.3">
      <c r="B56" s="14">
        <f t="shared" si="1"/>
        <v>45802</v>
      </c>
      <c r="C56" t="s">
        <v>53</v>
      </c>
    </row>
    <row r="57" spans="2:3" x14ac:dyDescent="0.3">
      <c r="B57" s="14">
        <f t="shared" si="1"/>
        <v>45907</v>
      </c>
      <c r="C57" t="s">
        <v>54</v>
      </c>
    </row>
    <row r="58" spans="2:3" x14ac:dyDescent="0.3">
      <c r="B58" s="14">
        <f t="shared" si="1"/>
        <v>45842</v>
      </c>
      <c r="C58" t="s">
        <v>55</v>
      </c>
    </row>
    <row r="59" spans="2:3" x14ac:dyDescent="0.3">
      <c r="B59" s="14">
        <f t="shared" si="1"/>
        <v>45987</v>
      </c>
      <c r="C59" t="s">
        <v>56</v>
      </c>
    </row>
    <row r="60" spans="2:3" x14ac:dyDescent="0.3">
      <c r="B60" s="14">
        <f t="shared" si="1"/>
        <v>45988</v>
      </c>
      <c r="C60" t="s">
        <v>57</v>
      </c>
    </row>
    <row r="61" spans="2:3" x14ac:dyDescent="0.3">
      <c r="B61" s="14">
        <f t="shared" si="1"/>
        <v>46015</v>
      </c>
      <c r="C61" t="s">
        <v>58</v>
      </c>
    </row>
    <row r="62" spans="2:3" x14ac:dyDescent="0.3">
      <c r="B62" s="14">
        <f t="shared" si="1"/>
        <v>46016</v>
      </c>
      <c r="C62" t="s">
        <v>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4"/>
    <col min="2" max="2" width="12.33203125" style="134" bestFit="1" customWidth="1"/>
    <col min="3" max="9" width="8.88671875" style="134"/>
    <col min="10" max="10" width="15" style="134" bestFit="1" customWidth="1"/>
    <col min="11" max="16384" width="8.88671875" style="134"/>
  </cols>
  <sheetData>
    <row r="1" spans="1:11 16384:16384" x14ac:dyDescent="0.3">
      <c r="A1" s="134" t="s">
        <v>68</v>
      </c>
      <c r="B1" s="134" t="s">
        <v>69</v>
      </c>
      <c r="C1" s="134" t="s">
        <v>70</v>
      </c>
      <c r="D1" s="134" t="s">
        <v>71</v>
      </c>
      <c r="E1" s="134" t="s">
        <v>72</v>
      </c>
      <c r="F1" s="134" t="s">
        <v>73</v>
      </c>
      <c r="G1" s="134" t="s">
        <v>74</v>
      </c>
      <c r="H1" s="134" t="s">
        <v>75</v>
      </c>
      <c r="I1" s="134" t="s">
        <v>76</v>
      </c>
      <c r="J1" s="135" t="s">
        <v>77</v>
      </c>
      <c r="K1" s="134" t="s">
        <v>78</v>
      </c>
    </row>
    <row r="2" spans="1:11 16384:16384" x14ac:dyDescent="0.3">
      <c r="A2" s="136" t="s">
        <v>91</v>
      </c>
      <c r="B2" s="136" t="s">
        <v>210</v>
      </c>
      <c r="C2" s="136">
        <v>2</v>
      </c>
      <c r="D2" s="136">
        <v>50</v>
      </c>
      <c r="E2" s="136">
        <v>100</v>
      </c>
      <c r="F2" s="136" t="s">
        <v>80</v>
      </c>
      <c r="G2" s="136" t="s">
        <v>80</v>
      </c>
      <c r="H2" s="136" t="s">
        <v>211</v>
      </c>
      <c r="I2" s="136"/>
      <c r="J2" s="137" t="s">
        <v>212</v>
      </c>
      <c r="K2" s="136">
        <v>100</v>
      </c>
    </row>
    <row r="3" spans="1:11 16384:16384" x14ac:dyDescent="0.3">
      <c r="A3" s="136" t="s">
        <v>98</v>
      </c>
      <c r="B3" s="138">
        <v>44906</v>
      </c>
      <c r="C3" s="136">
        <v>1.25</v>
      </c>
      <c r="D3" s="137">
        <v>60</v>
      </c>
      <c r="E3" s="136">
        <v>75</v>
      </c>
      <c r="F3" s="136" t="s">
        <v>80</v>
      </c>
      <c r="G3" s="136" t="s">
        <v>80</v>
      </c>
      <c r="H3" s="136" t="s">
        <v>99</v>
      </c>
      <c r="I3" s="136" t="s">
        <v>82</v>
      </c>
      <c r="J3" s="136" t="s">
        <v>180</v>
      </c>
      <c r="K3" s="136">
        <v>75</v>
      </c>
    </row>
    <row r="4" spans="1:11 16384:16384" x14ac:dyDescent="0.3">
      <c r="A4" s="136" t="s">
        <v>213</v>
      </c>
      <c r="B4" s="138">
        <v>44907</v>
      </c>
      <c r="C4" s="136">
        <v>1</v>
      </c>
      <c r="D4" s="137">
        <v>60</v>
      </c>
      <c r="E4" s="136">
        <v>60</v>
      </c>
      <c r="F4" s="136" t="s">
        <v>80</v>
      </c>
      <c r="G4" s="136" t="s">
        <v>80</v>
      </c>
      <c r="H4" s="136" t="s">
        <v>214</v>
      </c>
      <c r="I4" s="136" t="s">
        <v>82</v>
      </c>
      <c r="J4" s="136" t="s">
        <v>180</v>
      </c>
      <c r="K4" s="136">
        <v>60</v>
      </c>
    </row>
    <row r="5" spans="1:11 16384:16384" x14ac:dyDescent="0.3">
      <c r="A5" s="136" t="s">
        <v>213</v>
      </c>
      <c r="B5" s="138">
        <v>44908</v>
      </c>
      <c r="C5" s="136">
        <v>1.5</v>
      </c>
      <c r="D5" s="137">
        <v>60</v>
      </c>
      <c r="E5" s="136">
        <v>90</v>
      </c>
      <c r="F5" s="136" t="s">
        <v>80</v>
      </c>
      <c r="G5" s="136" t="s">
        <v>80</v>
      </c>
      <c r="H5" s="136" t="s">
        <v>214</v>
      </c>
      <c r="I5" s="136" t="s">
        <v>82</v>
      </c>
      <c r="J5" s="136" t="s">
        <v>180</v>
      </c>
      <c r="K5" s="136">
        <v>90</v>
      </c>
    </row>
    <row r="6" spans="1:11 16384:16384" x14ac:dyDescent="0.3">
      <c r="A6" s="136" t="s">
        <v>213</v>
      </c>
      <c r="B6" s="138">
        <v>44910</v>
      </c>
      <c r="C6" s="136">
        <v>1.5</v>
      </c>
      <c r="D6" s="136">
        <v>60</v>
      </c>
      <c r="E6" s="136">
        <v>90</v>
      </c>
      <c r="F6" s="136" t="s">
        <v>80</v>
      </c>
      <c r="G6" s="136" t="s">
        <v>80</v>
      </c>
      <c r="H6" s="136" t="s">
        <v>214</v>
      </c>
      <c r="I6" s="136" t="s">
        <v>82</v>
      </c>
      <c r="J6" s="136" t="s">
        <v>180</v>
      </c>
      <c r="K6" s="136">
        <v>90</v>
      </c>
    </row>
    <row r="7" spans="1:11 16384:16384" x14ac:dyDescent="0.3">
      <c r="A7" s="136" t="s">
        <v>215</v>
      </c>
      <c r="B7" s="138">
        <v>44905</v>
      </c>
      <c r="C7" s="136">
        <v>1</v>
      </c>
      <c r="D7" s="137">
        <v>60</v>
      </c>
      <c r="E7" s="136">
        <v>60</v>
      </c>
      <c r="F7" s="136" t="s">
        <v>80</v>
      </c>
      <c r="G7" s="136" t="s">
        <v>80</v>
      </c>
      <c r="H7" s="136" t="s">
        <v>216</v>
      </c>
      <c r="I7" s="136" t="s">
        <v>82</v>
      </c>
      <c r="J7" s="136" t="s">
        <v>180</v>
      </c>
      <c r="K7" s="136">
        <v>60</v>
      </c>
    </row>
    <row r="8" spans="1:11 16384:16384" x14ac:dyDescent="0.3">
      <c r="A8" s="136" t="s">
        <v>120</v>
      </c>
      <c r="B8" s="138">
        <v>44898</v>
      </c>
      <c r="C8" s="136">
        <v>1.5</v>
      </c>
      <c r="D8" s="136">
        <v>50</v>
      </c>
      <c r="E8" s="136">
        <v>75</v>
      </c>
      <c r="F8" s="136" t="s">
        <v>80</v>
      </c>
      <c r="G8" s="136" t="s">
        <v>80</v>
      </c>
      <c r="H8" s="136" t="s">
        <v>121</v>
      </c>
      <c r="I8" s="136" t="s">
        <v>82</v>
      </c>
      <c r="J8" s="136" t="s">
        <v>180</v>
      </c>
      <c r="K8" s="136">
        <v>75</v>
      </c>
    </row>
    <row r="9" spans="1:11 16384:16384" x14ac:dyDescent="0.3">
      <c r="A9" s="136" t="s">
        <v>120</v>
      </c>
      <c r="B9" s="138">
        <v>44900</v>
      </c>
      <c r="C9" s="136">
        <v>1.5</v>
      </c>
      <c r="D9" s="136">
        <v>50</v>
      </c>
      <c r="E9" s="136">
        <v>75</v>
      </c>
      <c r="F9" s="136" t="s">
        <v>80</v>
      </c>
      <c r="G9" s="136" t="s">
        <v>80</v>
      </c>
      <c r="H9" s="136" t="s">
        <v>121</v>
      </c>
      <c r="I9" s="136" t="s">
        <v>82</v>
      </c>
      <c r="J9" s="136" t="s">
        <v>180</v>
      </c>
      <c r="K9" s="136">
        <v>75</v>
      </c>
    </row>
    <row r="10" spans="1:11 16384:16384" x14ac:dyDescent="0.3">
      <c r="A10" s="136" t="s">
        <v>120</v>
      </c>
      <c r="B10" s="138">
        <v>44903</v>
      </c>
      <c r="C10" s="136">
        <v>1</v>
      </c>
      <c r="D10" s="136">
        <v>50</v>
      </c>
      <c r="E10" s="136">
        <v>50</v>
      </c>
      <c r="F10" s="136" t="s">
        <v>80</v>
      </c>
      <c r="G10" s="136" t="s">
        <v>80</v>
      </c>
      <c r="H10" s="136" t="s">
        <v>121</v>
      </c>
      <c r="I10" s="136" t="s">
        <v>82</v>
      </c>
      <c r="J10" s="136" t="s">
        <v>180</v>
      </c>
      <c r="K10" s="136">
        <v>50</v>
      </c>
    </row>
    <row r="11" spans="1:11 16384:16384" x14ac:dyDescent="0.3">
      <c r="A11" s="136" t="s">
        <v>120</v>
      </c>
      <c r="B11" s="138">
        <v>44906</v>
      </c>
      <c r="C11" s="136">
        <v>2</v>
      </c>
      <c r="D11" s="136">
        <v>50</v>
      </c>
      <c r="E11" s="136">
        <v>100</v>
      </c>
      <c r="F11" s="136" t="s">
        <v>80</v>
      </c>
      <c r="G11" s="136" t="s">
        <v>80</v>
      </c>
      <c r="H11" s="136" t="s">
        <v>121</v>
      </c>
      <c r="I11" s="136" t="s">
        <v>82</v>
      </c>
      <c r="J11" s="136" t="s">
        <v>180</v>
      </c>
      <c r="K11" s="136">
        <v>100</v>
      </c>
    </row>
    <row r="12" spans="1:11 16384:16384" x14ac:dyDescent="0.3">
      <c r="A12" s="136" t="s">
        <v>120</v>
      </c>
      <c r="B12" s="138">
        <v>44907</v>
      </c>
      <c r="C12" s="136">
        <v>1.25</v>
      </c>
      <c r="D12" s="136">
        <v>50</v>
      </c>
      <c r="E12" s="136">
        <v>62.5</v>
      </c>
      <c r="F12" s="136" t="s">
        <v>80</v>
      </c>
      <c r="G12" s="136" t="s">
        <v>80</v>
      </c>
      <c r="H12" s="136" t="s">
        <v>121</v>
      </c>
      <c r="I12" s="136" t="s">
        <v>82</v>
      </c>
      <c r="J12" s="136" t="s">
        <v>180</v>
      </c>
      <c r="K12" s="136">
        <v>62.5</v>
      </c>
      <c r="XFD12" s="134" t="s">
        <v>80</v>
      </c>
    </row>
    <row r="13" spans="1:11 16384:16384" x14ac:dyDescent="0.3">
      <c r="A13" s="136" t="s">
        <v>120</v>
      </c>
      <c r="B13" s="138">
        <v>44908</v>
      </c>
      <c r="C13" s="136">
        <v>1.5</v>
      </c>
      <c r="D13" s="136">
        <v>50</v>
      </c>
      <c r="E13" s="136">
        <v>75</v>
      </c>
      <c r="F13" s="136" t="s">
        <v>80</v>
      </c>
      <c r="G13" s="136" t="s">
        <v>80</v>
      </c>
      <c r="H13" s="136" t="s">
        <v>121</v>
      </c>
      <c r="I13" s="136" t="s">
        <v>82</v>
      </c>
      <c r="J13" s="136" t="s">
        <v>180</v>
      </c>
      <c r="K13" s="136">
        <v>75</v>
      </c>
    </row>
    <row r="14" spans="1:11 16384:16384" x14ac:dyDescent="0.3">
      <c r="A14" s="136" t="s">
        <v>120</v>
      </c>
      <c r="B14" s="138">
        <v>44909</v>
      </c>
      <c r="C14" s="136">
        <v>0.5</v>
      </c>
      <c r="D14" s="136">
        <v>50</v>
      </c>
      <c r="E14" s="136">
        <v>25</v>
      </c>
      <c r="F14" s="136" t="s">
        <v>80</v>
      </c>
      <c r="G14" s="136" t="s">
        <v>80</v>
      </c>
      <c r="H14" s="136" t="s">
        <v>121</v>
      </c>
      <c r="I14" s="136" t="s">
        <v>82</v>
      </c>
      <c r="J14" s="136" t="s">
        <v>180</v>
      </c>
      <c r="K14" s="136">
        <v>25</v>
      </c>
    </row>
    <row r="15" spans="1:11 16384:16384" x14ac:dyDescent="0.3">
      <c r="A15" s="136" t="s">
        <v>125</v>
      </c>
      <c r="B15" s="138">
        <v>44904</v>
      </c>
      <c r="C15" s="136">
        <v>2</v>
      </c>
      <c r="D15" s="137">
        <v>60</v>
      </c>
      <c r="E15" s="136">
        <v>120</v>
      </c>
      <c r="F15" s="136" t="s">
        <v>217</v>
      </c>
      <c r="G15" s="136" t="s">
        <v>80</v>
      </c>
      <c r="H15" s="136" t="s">
        <v>218</v>
      </c>
      <c r="I15" s="136" t="s">
        <v>82</v>
      </c>
      <c r="J15" s="136" t="s">
        <v>180</v>
      </c>
      <c r="K15" s="136">
        <v>0</v>
      </c>
    </row>
    <row r="16" spans="1:11 16384:16384" x14ac:dyDescent="0.3">
      <c r="A16" s="136" t="s">
        <v>125</v>
      </c>
      <c r="B16" s="138">
        <v>44906</v>
      </c>
      <c r="C16" s="136">
        <v>1.25</v>
      </c>
      <c r="D16" s="137">
        <v>60</v>
      </c>
      <c r="E16" s="136">
        <v>75</v>
      </c>
      <c r="F16" s="136" t="s">
        <v>80</v>
      </c>
      <c r="G16" s="136" t="s">
        <v>80</v>
      </c>
      <c r="H16" s="136" t="s">
        <v>219</v>
      </c>
      <c r="I16" s="136" t="s">
        <v>82</v>
      </c>
      <c r="J16" s="136" t="s">
        <v>180</v>
      </c>
      <c r="K16" s="136">
        <v>195</v>
      </c>
    </row>
    <row r="17" spans="1:11" x14ac:dyDescent="0.3">
      <c r="A17" s="136"/>
      <c r="B17" s="138"/>
      <c r="C17" s="136"/>
      <c r="D17" s="136"/>
      <c r="E17" s="136"/>
      <c r="F17" s="136"/>
      <c r="G17" s="136"/>
      <c r="H17" s="136"/>
      <c r="I17" s="136"/>
      <c r="J17" s="136"/>
      <c r="K17" s="136"/>
    </row>
    <row r="18" spans="1:11" x14ac:dyDescent="0.3">
      <c r="A18" s="136"/>
      <c r="B18" s="136"/>
      <c r="C18" s="136"/>
      <c r="D18" s="136"/>
      <c r="E18" s="136"/>
      <c r="F18" s="136"/>
      <c r="G18" s="136"/>
      <c r="H18" s="136"/>
      <c r="I18" s="136"/>
      <c r="J18" s="136"/>
      <c r="K18" s="136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6" bestFit="1" customWidth="1"/>
    <col min="2" max="2" width="7.109375" style="116" bestFit="1" customWidth="1"/>
    <col min="3" max="3" width="8" style="116" bestFit="1" customWidth="1"/>
    <col min="4" max="4" width="12" style="116" bestFit="1" customWidth="1"/>
    <col min="5" max="5" width="6.88671875" style="116" bestFit="1" customWidth="1"/>
    <col min="6" max="6" width="8.5546875" style="116" bestFit="1" customWidth="1"/>
    <col min="7" max="7" width="19.109375" style="116" bestFit="1" customWidth="1"/>
    <col min="8" max="8" width="68.33203125" style="116" bestFit="1" customWidth="1"/>
    <col min="9" max="9" width="6.5546875" style="116" bestFit="1" customWidth="1"/>
    <col min="10" max="10" width="17.33203125" style="116" bestFit="1" customWidth="1"/>
    <col min="11" max="11" width="8.33203125" style="116" bestFit="1" customWidth="1"/>
    <col min="12" max="12" width="23.6640625" style="116" bestFit="1" customWidth="1"/>
    <col min="13" max="17" width="8.88671875" style="116"/>
    <col min="18" max="18" width="14.44140625" style="116" bestFit="1" customWidth="1"/>
    <col min="19" max="19" width="12.33203125" style="116" bestFit="1" customWidth="1"/>
    <col min="20" max="20" width="11.33203125" style="116" bestFit="1" customWidth="1"/>
    <col min="21" max="16384" width="8.88671875" style="116"/>
  </cols>
  <sheetData>
    <row r="1" spans="1:20" x14ac:dyDescent="0.3">
      <c r="A1" s="116" t="s">
        <v>68</v>
      </c>
      <c r="B1" s="116" t="s">
        <v>69</v>
      </c>
      <c r="C1" s="116" t="s">
        <v>70</v>
      </c>
      <c r="D1" s="116" t="s">
        <v>71</v>
      </c>
      <c r="E1" s="116" t="s">
        <v>72</v>
      </c>
      <c r="F1" s="116" t="s">
        <v>73</v>
      </c>
      <c r="G1" s="116" t="s">
        <v>74</v>
      </c>
      <c r="H1" s="116" t="s">
        <v>75</v>
      </c>
      <c r="I1" s="116" t="s">
        <v>76</v>
      </c>
      <c r="J1" s="117" t="s">
        <v>77</v>
      </c>
      <c r="K1" s="116" t="s">
        <v>78</v>
      </c>
    </row>
    <row r="2" spans="1:20" x14ac:dyDescent="0.3">
      <c r="A2" s="118" t="s">
        <v>79</v>
      </c>
      <c r="B2" s="118">
        <v>44868</v>
      </c>
      <c r="C2" s="119">
        <v>1</v>
      </c>
      <c r="D2" s="119">
        <v>50</v>
      </c>
      <c r="E2" s="119">
        <v>50</v>
      </c>
      <c r="F2" s="119" t="s">
        <v>80</v>
      </c>
      <c r="G2" s="119" t="s">
        <v>80</v>
      </c>
      <c r="H2" s="119" t="s">
        <v>177</v>
      </c>
      <c r="I2" s="119" t="s">
        <v>82</v>
      </c>
      <c r="J2" s="119" t="s">
        <v>80</v>
      </c>
      <c r="K2" s="119">
        <v>50</v>
      </c>
      <c r="R2" s="47" t="s">
        <v>149</v>
      </c>
      <c r="S2" t="s">
        <v>151</v>
      </c>
      <c r="T2" t="s">
        <v>152</v>
      </c>
    </row>
    <row r="3" spans="1:20" s="120" customFormat="1" x14ac:dyDescent="0.3">
      <c r="A3" s="120" t="s">
        <v>178</v>
      </c>
      <c r="B3" s="121">
        <v>44878</v>
      </c>
      <c r="C3" s="120">
        <v>1</v>
      </c>
      <c r="D3" s="120">
        <v>60</v>
      </c>
      <c r="E3" s="120">
        <v>60</v>
      </c>
      <c r="F3" s="120" t="s">
        <v>80</v>
      </c>
      <c r="G3" s="120" t="s">
        <v>80</v>
      </c>
      <c r="H3" s="120" t="s">
        <v>179</v>
      </c>
      <c r="I3" s="120" t="s">
        <v>82</v>
      </c>
      <c r="J3" s="120" t="s">
        <v>180</v>
      </c>
      <c r="K3" s="120">
        <v>60</v>
      </c>
      <c r="R3" s="48" t="s">
        <v>79</v>
      </c>
      <c r="S3">
        <v>1</v>
      </c>
      <c r="T3">
        <v>50</v>
      </c>
    </row>
    <row r="4" spans="1:20" s="120" customFormat="1" x14ac:dyDescent="0.3">
      <c r="A4" s="120" t="s">
        <v>178</v>
      </c>
      <c r="B4" s="121">
        <v>44880</v>
      </c>
      <c r="C4" s="120">
        <v>1.5</v>
      </c>
      <c r="D4" s="120">
        <v>60</v>
      </c>
      <c r="E4" s="120">
        <v>90</v>
      </c>
      <c r="F4" s="120" t="s">
        <v>80</v>
      </c>
      <c r="G4" s="120" t="s">
        <v>80</v>
      </c>
      <c r="H4" s="120" t="s">
        <v>179</v>
      </c>
      <c r="I4" s="120" t="s">
        <v>82</v>
      </c>
      <c r="J4" s="120" t="s">
        <v>180</v>
      </c>
      <c r="K4" s="120">
        <v>90</v>
      </c>
      <c r="R4" s="48" t="s">
        <v>178</v>
      </c>
      <c r="S4">
        <v>2.5</v>
      </c>
      <c r="T4">
        <v>150</v>
      </c>
    </row>
    <row r="5" spans="1:20" s="120" customFormat="1" x14ac:dyDescent="0.3">
      <c r="A5" s="120" t="s">
        <v>98</v>
      </c>
      <c r="B5" s="121">
        <v>44872</v>
      </c>
      <c r="C5" s="120">
        <v>1</v>
      </c>
      <c r="D5" s="120">
        <v>60</v>
      </c>
      <c r="E5" s="120">
        <v>60</v>
      </c>
      <c r="F5" s="120" t="s">
        <v>80</v>
      </c>
      <c r="G5" s="120" t="s">
        <v>80</v>
      </c>
      <c r="H5" s="120" t="s">
        <v>181</v>
      </c>
      <c r="I5" s="120" t="s">
        <v>82</v>
      </c>
      <c r="J5" s="120" t="s">
        <v>180</v>
      </c>
      <c r="K5" s="120">
        <v>60</v>
      </c>
      <c r="R5" s="48" t="s">
        <v>98</v>
      </c>
      <c r="S5">
        <v>2.5</v>
      </c>
      <c r="T5">
        <v>150</v>
      </c>
    </row>
    <row r="6" spans="1:20" s="122" customFormat="1" x14ac:dyDescent="0.3">
      <c r="A6" s="122" t="s">
        <v>98</v>
      </c>
      <c r="B6" s="123">
        <v>44892</v>
      </c>
      <c r="C6" s="122">
        <v>1.5</v>
      </c>
      <c r="D6" s="122">
        <v>60</v>
      </c>
      <c r="E6" s="122">
        <v>90</v>
      </c>
      <c r="F6" s="122" t="s">
        <v>80</v>
      </c>
      <c r="G6" s="122" t="s">
        <v>80</v>
      </c>
      <c r="H6" s="122" t="s">
        <v>182</v>
      </c>
      <c r="I6" s="122" t="s">
        <v>82</v>
      </c>
      <c r="J6" s="122" t="s">
        <v>180</v>
      </c>
      <c r="K6" s="122">
        <v>90</v>
      </c>
      <c r="R6" s="48" t="s">
        <v>183</v>
      </c>
      <c r="S6">
        <v>2.5</v>
      </c>
      <c r="T6">
        <v>150</v>
      </c>
    </row>
    <row r="7" spans="1:20" x14ac:dyDescent="0.3">
      <c r="A7" s="119" t="s">
        <v>183</v>
      </c>
      <c r="B7" s="118">
        <v>44878</v>
      </c>
      <c r="C7" s="119">
        <v>1</v>
      </c>
      <c r="D7" s="119">
        <v>60</v>
      </c>
      <c r="E7" s="119">
        <v>60</v>
      </c>
      <c r="F7" s="119" t="s">
        <v>80</v>
      </c>
      <c r="G7" s="119" t="s">
        <v>80</v>
      </c>
      <c r="H7" s="119" t="s">
        <v>184</v>
      </c>
      <c r="I7" s="119" t="s">
        <v>82</v>
      </c>
      <c r="J7" s="119" t="s">
        <v>180</v>
      </c>
      <c r="K7" s="119">
        <v>60</v>
      </c>
      <c r="R7" s="48" t="s">
        <v>103</v>
      </c>
      <c r="S7">
        <v>1.5</v>
      </c>
      <c r="T7">
        <v>75</v>
      </c>
    </row>
    <row r="8" spans="1:20" s="122" customFormat="1" x14ac:dyDescent="0.3">
      <c r="A8" s="122" t="s">
        <v>183</v>
      </c>
      <c r="B8" s="123">
        <v>44884</v>
      </c>
      <c r="C8" s="122">
        <v>1.5</v>
      </c>
      <c r="D8" s="122">
        <v>60</v>
      </c>
      <c r="E8" s="122">
        <v>90</v>
      </c>
      <c r="F8" s="122" t="s">
        <v>80</v>
      </c>
      <c r="G8" s="122" t="s">
        <v>80</v>
      </c>
      <c r="H8" s="122" t="s">
        <v>184</v>
      </c>
      <c r="I8" s="122" t="s">
        <v>82</v>
      </c>
      <c r="J8" s="122" t="s">
        <v>180</v>
      </c>
      <c r="K8" s="122">
        <v>90</v>
      </c>
      <c r="R8" s="48" t="s">
        <v>106</v>
      </c>
      <c r="S8">
        <v>1</v>
      </c>
      <c r="T8">
        <v>50</v>
      </c>
    </row>
    <row r="9" spans="1:20" x14ac:dyDescent="0.3">
      <c r="A9" s="119" t="s">
        <v>103</v>
      </c>
      <c r="B9" s="118">
        <v>44875</v>
      </c>
      <c r="C9" s="119">
        <v>1.5</v>
      </c>
      <c r="D9" s="119">
        <v>50</v>
      </c>
      <c r="E9" s="119">
        <v>75</v>
      </c>
      <c r="F9" s="119" t="s">
        <v>80</v>
      </c>
      <c r="G9" s="119" t="s">
        <v>80</v>
      </c>
      <c r="H9" s="119" t="s">
        <v>185</v>
      </c>
      <c r="I9" s="119" t="s">
        <v>82</v>
      </c>
      <c r="J9" s="119" t="s">
        <v>180</v>
      </c>
      <c r="K9" s="119">
        <v>75</v>
      </c>
      <c r="R9" s="48" t="s">
        <v>115</v>
      </c>
      <c r="S9">
        <v>0.5</v>
      </c>
      <c r="T9">
        <v>30</v>
      </c>
    </row>
    <row r="10" spans="1:20" s="122" customFormat="1" x14ac:dyDescent="0.3">
      <c r="A10" s="122" t="s">
        <v>106</v>
      </c>
      <c r="B10" s="123">
        <v>44886</v>
      </c>
      <c r="C10" s="122">
        <v>1</v>
      </c>
      <c r="D10" s="122">
        <v>50</v>
      </c>
      <c r="E10" s="122">
        <v>50</v>
      </c>
      <c r="F10" s="122" t="s">
        <v>80</v>
      </c>
      <c r="G10" s="122" t="s">
        <v>80</v>
      </c>
      <c r="H10" s="122" t="s">
        <v>186</v>
      </c>
      <c r="I10" s="122" t="s">
        <v>82</v>
      </c>
      <c r="J10" s="122" t="s">
        <v>180</v>
      </c>
      <c r="K10" s="122">
        <v>50</v>
      </c>
      <c r="R10" s="48" t="s">
        <v>117</v>
      </c>
      <c r="S10">
        <v>7.5</v>
      </c>
      <c r="T10">
        <v>375</v>
      </c>
    </row>
    <row r="11" spans="1:20" s="120" customFormat="1" x14ac:dyDescent="0.3">
      <c r="A11" s="121" t="s">
        <v>115</v>
      </c>
      <c r="B11" s="121">
        <v>44877</v>
      </c>
      <c r="C11" s="120">
        <v>0.5</v>
      </c>
      <c r="D11" s="120">
        <v>60</v>
      </c>
      <c r="E11" s="120">
        <v>30</v>
      </c>
      <c r="F11" s="120" t="s">
        <v>80</v>
      </c>
      <c r="G11" s="120" t="s">
        <v>80</v>
      </c>
      <c r="H11" s="120" t="s">
        <v>187</v>
      </c>
      <c r="I11" s="120" t="s">
        <v>82</v>
      </c>
      <c r="J11" s="120" t="s">
        <v>180</v>
      </c>
      <c r="K11" s="120">
        <v>30</v>
      </c>
      <c r="R11" s="48" t="s">
        <v>120</v>
      </c>
      <c r="S11">
        <v>9</v>
      </c>
      <c r="T11">
        <v>450</v>
      </c>
    </row>
    <row r="12" spans="1:20" x14ac:dyDescent="0.3">
      <c r="A12" s="119" t="s">
        <v>117</v>
      </c>
      <c r="B12" s="118">
        <v>44871</v>
      </c>
      <c r="C12" s="119">
        <v>2</v>
      </c>
      <c r="D12" s="119">
        <v>50</v>
      </c>
      <c r="E12" s="119">
        <v>100</v>
      </c>
      <c r="F12" s="119" t="s">
        <v>80</v>
      </c>
      <c r="G12" s="119" t="s">
        <v>80</v>
      </c>
      <c r="H12" s="119" t="s">
        <v>188</v>
      </c>
      <c r="I12" s="119" t="s">
        <v>82</v>
      </c>
      <c r="J12" s="119" t="s">
        <v>180</v>
      </c>
      <c r="K12" s="119">
        <v>100</v>
      </c>
      <c r="R12" s="48" t="s">
        <v>123</v>
      </c>
      <c r="S12">
        <v>2</v>
      </c>
      <c r="T12">
        <v>100</v>
      </c>
    </row>
    <row r="13" spans="1:20" x14ac:dyDescent="0.3">
      <c r="A13" s="119" t="s">
        <v>117</v>
      </c>
      <c r="B13" s="118">
        <v>44873</v>
      </c>
      <c r="C13" s="119">
        <v>1</v>
      </c>
      <c r="D13" s="119">
        <v>50</v>
      </c>
      <c r="E13" s="119">
        <v>50</v>
      </c>
      <c r="F13" s="119" t="s">
        <v>80</v>
      </c>
      <c r="G13" s="119" t="s">
        <v>80</v>
      </c>
      <c r="H13" s="119" t="s">
        <v>189</v>
      </c>
      <c r="I13" s="119" t="s">
        <v>82</v>
      </c>
      <c r="J13" s="119" t="s">
        <v>180</v>
      </c>
      <c r="K13" s="119">
        <v>50</v>
      </c>
      <c r="R13" s="48" t="s">
        <v>125</v>
      </c>
      <c r="S13">
        <v>1</v>
      </c>
      <c r="T13">
        <v>60</v>
      </c>
    </row>
    <row r="14" spans="1:20" s="122" customFormat="1" x14ac:dyDescent="0.3">
      <c r="A14" s="122" t="s">
        <v>117</v>
      </c>
      <c r="B14" s="123">
        <v>44884</v>
      </c>
      <c r="C14" s="122">
        <v>1.5</v>
      </c>
      <c r="D14" s="122">
        <v>50</v>
      </c>
      <c r="E14" s="122">
        <v>75</v>
      </c>
      <c r="F14" s="122" t="s">
        <v>80</v>
      </c>
      <c r="G14" s="122" t="s">
        <v>80</v>
      </c>
      <c r="H14" s="122" t="s">
        <v>190</v>
      </c>
      <c r="I14" s="122" t="s">
        <v>82</v>
      </c>
      <c r="J14" s="122" t="s">
        <v>180</v>
      </c>
      <c r="K14" s="122">
        <v>75</v>
      </c>
      <c r="R14" s="48" t="s">
        <v>150</v>
      </c>
      <c r="S14">
        <v>31</v>
      </c>
      <c r="T14">
        <v>1640</v>
      </c>
    </row>
    <row r="15" spans="1:20" s="122" customFormat="1" x14ac:dyDescent="0.3">
      <c r="A15" s="122" t="s">
        <v>117</v>
      </c>
      <c r="B15" s="123">
        <v>44891</v>
      </c>
      <c r="C15" s="122">
        <v>1.5</v>
      </c>
      <c r="D15" s="122">
        <v>50</v>
      </c>
      <c r="E15" s="122">
        <v>75</v>
      </c>
      <c r="F15" s="122" t="s">
        <v>80</v>
      </c>
      <c r="G15" s="122" t="s">
        <v>80</v>
      </c>
      <c r="H15" s="122" t="s">
        <v>191</v>
      </c>
      <c r="I15" s="122" t="s">
        <v>82</v>
      </c>
      <c r="J15" s="122" t="s">
        <v>180</v>
      </c>
      <c r="K15" s="122">
        <v>75</v>
      </c>
      <c r="L15" s="122" t="s">
        <v>192</v>
      </c>
      <c r="R15"/>
      <c r="S15"/>
      <c r="T15"/>
    </row>
    <row r="16" spans="1:20" s="122" customFormat="1" x14ac:dyDescent="0.3">
      <c r="A16" s="122" t="s">
        <v>117</v>
      </c>
      <c r="B16" s="123">
        <v>44892</v>
      </c>
      <c r="C16" s="122">
        <v>1.5</v>
      </c>
      <c r="D16" s="122">
        <v>50</v>
      </c>
      <c r="E16" s="122">
        <v>75</v>
      </c>
      <c r="F16" s="122" t="s">
        <v>80</v>
      </c>
      <c r="G16" s="122" t="s">
        <v>80</v>
      </c>
      <c r="H16" s="122" t="s">
        <v>193</v>
      </c>
      <c r="I16" s="122" t="s">
        <v>82</v>
      </c>
      <c r="J16" s="122" t="s">
        <v>180</v>
      </c>
      <c r="K16" s="122">
        <v>75</v>
      </c>
      <c r="R16"/>
      <c r="S16"/>
      <c r="T16"/>
    </row>
    <row r="17" spans="1:20" x14ac:dyDescent="0.3">
      <c r="A17" s="118" t="s">
        <v>120</v>
      </c>
      <c r="B17" s="118">
        <v>44868</v>
      </c>
      <c r="C17" s="119">
        <v>1.25</v>
      </c>
      <c r="D17" s="119">
        <v>50</v>
      </c>
      <c r="E17" s="119">
        <v>62.5</v>
      </c>
      <c r="F17" s="119" t="s">
        <v>80</v>
      </c>
      <c r="G17" s="119" t="s">
        <v>80</v>
      </c>
      <c r="H17" s="119" t="s">
        <v>194</v>
      </c>
      <c r="I17" s="119" t="s">
        <v>82</v>
      </c>
      <c r="J17" s="119" t="s">
        <v>80</v>
      </c>
      <c r="K17" s="119">
        <v>62.5</v>
      </c>
      <c r="R17"/>
      <c r="S17"/>
      <c r="T17"/>
    </row>
    <row r="18" spans="1:20" x14ac:dyDescent="0.3">
      <c r="A18" s="119" t="s">
        <v>120</v>
      </c>
      <c r="B18" s="118">
        <v>44873</v>
      </c>
      <c r="C18" s="119">
        <v>1</v>
      </c>
      <c r="D18" s="119">
        <v>50</v>
      </c>
      <c r="E18" s="119">
        <v>50</v>
      </c>
      <c r="F18" s="119" t="s">
        <v>80</v>
      </c>
      <c r="G18" s="119" t="s">
        <v>80</v>
      </c>
      <c r="H18" s="119" t="s">
        <v>195</v>
      </c>
      <c r="I18" s="119" t="s">
        <v>82</v>
      </c>
      <c r="J18" s="119" t="s">
        <v>180</v>
      </c>
      <c r="K18" s="119">
        <v>50</v>
      </c>
      <c r="R18"/>
      <c r="S18"/>
      <c r="T18"/>
    </row>
    <row r="19" spans="1:20" x14ac:dyDescent="0.3">
      <c r="A19" s="119" t="s">
        <v>120</v>
      </c>
      <c r="B19" s="118">
        <v>44875</v>
      </c>
      <c r="C19" s="119">
        <v>1.25</v>
      </c>
      <c r="D19" s="119">
        <v>50</v>
      </c>
      <c r="E19" s="119">
        <v>62.5</v>
      </c>
      <c r="F19" s="119" t="s">
        <v>80</v>
      </c>
      <c r="G19" s="119" t="s">
        <v>80</v>
      </c>
      <c r="H19" s="119" t="s">
        <v>196</v>
      </c>
      <c r="I19" s="119" t="s">
        <v>82</v>
      </c>
      <c r="J19" s="119" t="s">
        <v>180</v>
      </c>
      <c r="K19" s="119">
        <v>62.5</v>
      </c>
      <c r="R19"/>
      <c r="S19"/>
      <c r="T19"/>
    </row>
    <row r="20" spans="1:20" s="122" customFormat="1" x14ac:dyDescent="0.3">
      <c r="A20" s="122" t="s">
        <v>120</v>
      </c>
      <c r="B20" s="123">
        <v>44886</v>
      </c>
      <c r="C20" s="122">
        <v>1.5</v>
      </c>
      <c r="D20" s="122">
        <v>50</v>
      </c>
      <c r="E20" s="122">
        <v>75</v>
      </c>
      <c r="F20" s="122" t="s">
        <v>80</v>
      </c>
      <c r="G20" s="122" t="s">
        <v>80</v>
      </c>
      <c r="H20" s="122" t="s">
        <v>195</v>
      </c>
      <c r="I20" s="122" t="s">
        <v>82</v>
      </c>
      <c r="J20" s="122" t="s">
        <v>180</v>
      </c>
      <c r="K20" s="122">
        <v>75</v>
      </c>
    </row>
    <row r="21" spans="1:20" s="122" customFormat="1" x14ac:dyDescent="0.3">
      <c r="A21" s="122" t="s">
        <v>120</v>
      </c>
      <c r="B21" s="123">
        <v>44891</v>
      </c>
      <c r="C21" s="122">
        <v>1</v>
      </c>
      <c r="D21" s="122">
        <v>50</v>
      </c>
      <c r="E21" s="122">
        <v>50</v>
      </c>
      <c r="F21" s="122" t="s">
        <v>80</v>
      </c>
      <c r="G21" s="122" t="s">
        <v>80</v>
      </c>
      <c r="H21" s="122" t="s">
        <v>195</v>
      </c>
      <c r="I21" s="122" t="s">
        <v>82</v>
      </c>
      <c r="J21" s="122" t="s">
        <v>180</v>
      </c>
      <c r="K21" s="122">
        <v>50</v>
      </c>
      <c r="L21" s="122" t="s">
        <v>192</v>
      </c>
    </row>
    <row r="22" spans="1:20" s="122" customFormat="1" x14ac:dyDescent="0.3">
      <c r="A22" s="122" t="s">
        <v>120</v>
      </c>
      <c r="B22" s="123">
        <v>44892</v>
      </c>
      <c r="C22" s="122">
        <v>2</v>
      </c>
      <c r="D22" s="122">
        <v>50</v>
      </c>
      <c r="E22" s="122">
        <v>100</v>
      </c>
      <c r="F22" s="122" t="s">
        <v>80</v>
      </c>
      <c r="G22" s="122" t="s">
        <v>80</v>
      </c>
      <c r="H22" s="122" t="s">
        <v>195</v>
      </c>
      <c r="I22" s="122" t="s">
        <v>82</v>
      </c>
      <c r="J22" s="122" t="s">
        <v>180</v>
      </c>
      <c r="K22" s="122">
        <v>100</v>
      </c>
    </row>
    <row r="23" spans="1:20" s="122" customFormat="1" x14ac:dyDescent="0.3">
      <c r="A23" s="122" t="s">
        <v>120</v>
      </c>
      <c r="B23" s="123">
        <v>44893</v>
      </c>
      <c r="C23" s="122">
        <v>1</v>
      </c>
      <c r="D23" s="122">
        <v>50</v>
      </c>
      <c r="E23" s="122">
        <v>50</v>
      </c>
      <c r="F23" s="122" t="s">
        <v>80</v>
      </c>
      <c r="G23" s="122" t="s">
        <v>80</v>
      </c>
      <c r="H23" s="122" t="s">
        <v>195</v>
      </c>
      <c r="I23" s="122" t="s">
        <v>82</v>
      </c>
      <c r="J23" s="122" t="s">
        <v>180</v>
      </c>
      <c r="K23" s="122">
        <v>50</v>
      </c>
    </row>
    <row r="24" spans="1:20" x14ac:dyDescent="0.3">
      <c r="A24" s="119" t="s">
        <v>123</v>
      </c>
      <c r="B24" s="118">
        <v>44895</v>
      </c>
      <c r="C24" s="119">
        <v>2</v>
      </c>
      <c r="D24" s="119">
        <v>50</v>
      </c>
      <c r="E24" s="119">
        <v>100</v>
      </c>
      <c r="F24" s="119" t="s">
        <v>80</v>
      </c>
      <c r="G24" s="119" t="s">
        <v>80</v>
      </c>
      <c r="H24" s="119" t="s">
        <v>197</v>
      </c>
      <c r="I24" s="119" t="s">
        <v>82</v>
      </c>
      <c r="J24" s="119" t="s">
        <v>180</v>
      </c>
      <c r="K24" s="119">
        <v>100</v>
      </c>
    </row>
    <row r="25" spans="1:20" x14ac:dyDescent="0.3">
      <c r="A25" s="119" t="s">
        <v>125</v>
      </c>
      <c r="B25" s="118">
        <v>44886</v>
      </c>
      <c r="C25" s="119">
        <v>1</v>
      </c>
      <c r="D25" s="119">
        <v>60</v>
      </c>
      <c r="E25" s="119">
        <v>60</v>
      </c>
      <c r="F25" s="119" t="s">
        <v>80</v>
      </c>
      <c r="G25" s="119" t="s">
        <v>80</v>
      </c>
      <c r="H25" s="119" t="s">
        <v>198</v>
      </c>
      <c r="I25" s="119"/>
      <c r="J25" s="119" t="s">
        <v>180</v>
      </c>
      <c r="K25" s="119">
        <v>60</v>
      </c>
    </row>
    <row r="26" spans="1:20" x14ac:dyDescent="0.3">
      <c r="B26" s="124"/>
    </row>
    <row r="27" spans="1:20" x14ac:dyDescent="0.3">
      <c r="A27" s="116" t="s">
        <v>199</v>
      </c>
      <c r="K27" s="116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Y36"/>
  <sheetViews>
    <sheetView showGridLines="0" zoomScale="87" zoomScaleNormal="100" workbookViewId="0">
      <selection activeCell="A2" sqref="A2:Z39"/>
    </sheetView>
  </sheetViews>
  <sheetFormatPr defaultRowHeight="14.4" outlineLevelCol="1" x14ac:dyDescent="0.3"/>
  <cols>
    <col min="3" max="3" width="34" bestFit="1" customWidth="1"/>
    <col min="4" max="4" width="9.5546875" bestFit="1" customWidth="1"/>
    <col min="5" max="5" width="10" bestFit="1" customWidth="1"/>
    <col min="6" max="8" width="11.33203125" bestFit="1" customWidth="1"/>
    <col min="9" max="9" width="11.5546875" customWidth="1"/>
    <col min="10" max="10" width="11.33203125" hidden="1" customWidth="1" outlineLevel="1"/>
    <col min="11" max="11" width="11.5546875" hidden="1" customWidth="1" outlineLevel="1"/>
    <col min="12" max="12" width="11.88671875" hidden="1" customWidth="1" outlineLevel="1"/>
    <col min="13" max="13" width="8.88671875" collapsed="1"/>
  </cols>
  <sheetData>
    <row r="2" spans="2:25" ht="15" thickBot="1" x14ac:dyDescent="0.35"/>
    <row r="3" spans="2:25" x14ac:dyDescent="0.3"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5"/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5"/>
    </row>
    <row r="4" spans="2:25" x14ac:dyDescent="0.3">
      <c r="B4" s="96"/>
      <c r="C4" s="7"/>
      <c r="M4" s="97"/>
      <c r="N4" s="96"/>
      <c r="Y4" s="97"/>
    </row>
    <row r="5" spans="2:25" x14ac:dyDescent="0.3">
      <c r="B5" s="96"/>
      <c r="C5" s="7"/>
      <c r="M5" s="97"/>
      <c r="N5" s="96"/>
      <c r="Y5" s="97"/>
    </row>
    <row r="6" spans="2:25" x14ac:dyDescent="0.3">
      <c r="B6" s="96"/>
      <c r="C6" s="7"/>
      <c r="M6" s="97"/>
      <c r="N6" s="96"/>
      <c r="Y6" s="97"/>
    </row>
    <row r="7" spans="2:25" x14ac:dyDescent="0.3">
      <c r="B7" s="96"/>
      <c r="C7" s="7"/>
      <c r="M7" s="97"/>
      <c r="N7" s="96"/>
      <c r="Y7" s="97"/>
    </row>
    <row r="8" spans="2:25" x14ac:dyDescent="0.3">
      <c r="B8" s="96"/>
      <c r="C8" s="7"/>
      <c r="M8" s="97"/>
      <c r="N8" s="96"/>
      <c r="Y8" s="97"/>
    </row>
    <row r="9" spans="2:25" x14ac:dyDescent="0.3">
      <c r="B9" s="96"/>
      <c r="C9" s="7"/>
      <c r="M9" s="97"/>
      <c r="N9" s="96"/>
      <c r="Y9" s="97"/>
    </row>
    <row r="10" spans="2:25" ht="15" thickBot="1" x14ac:dyDescent="0.35">
      <c r="B10" s="96"/>
      <c r="C10" s="7"/>
      <c r="M10" s="97"/>
      <c r="N10" s="96"/>
      <c r="Y10" s="97"/>
    </row>
    <row r="11" spans="2:25" ht="15.6" x14ac:dyDescent="0.3">
      <c r="B11" s="98"/>
      <c r="C11" s="411"/>
      <c r="D11" s="412">
        <v>2022</v>
      </c>
      <c r="E11" s="412">
        <f>+D11+1</f>
        <v>2023</v>
      </c>
      <c r="F11" s="412">
        <f t="shared" ref="F11:L11" si="0">+E11+1</f>
        <v>2024</v>
      </c>
      <c r="G11" s="412">
        <f t="shared" si="0"/>
        <v>2025</v>
      </c>
      <c r="H11" s="412">
        <f t="shared" si="0"/>
        <v>2026</v>
      </c>
      <c r="I11" s="413">
        <f t="shared" si="0"/>
        <v>2027</v>
      </c>
      <c r="J11" s="412">
        <f t="shared" si="0"/>
        <v>2028</v>
      </c>
      <c r="K11" s="412">
        <f t="shared" si="0"/>
        <v>2029</v>
      </c>
      <c r="L11" s="413">
        <f t="shared" si="0"/>
        <v>2030</v>
      </c>
      <c r="M11" s="99"/>
      <c r="N11" s="98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99"/>
    </row>
    <row r="12" spans="2:25" ht="6.6" customHeight="1" x14ac:dyDescent="0.3">
      <c r="B12" s="96"/>
      <c r="C12" s="414"/>
      <c r="D12" s="415"/>
      <c r="E12" s="415"/>
      <c r="F12" s="415"/>
      <c r="G12" s="415"/>
      <c r="H12" s="415"/>
      <c r="I12" s="416"/>
      <c r="J12" s="415"/>
      <c r="K12" s="415"/>
      <c r="L12" s="416"/>
      <c r="M12" s="97"/>
      <c r="N12" s="96"/>
      <c r="Y12" s="97"/>
    </row>
    <row r="13" spans="2:25" x14ac:dyDescent="0.3">
      <c r="B13" s="96"/>
      <c r="C13" s="417" t="s">
        <v>60</v>
      </c>
      <c r="D13" s="101">
        <f>SUMIF('Monthly Detail'!$1:$1,'Annual Summary'!D$11, 'Monthly Detail'!12:12)</f>
        <v>9212.5</v>
      </c>
      <c r="E13" s="101">
        <f>SUMIF('Monthly Detail'!$1:$1,'Annual Summary'!E$11, 'Monthly Detail'!12:12)</f>
        <v>43837.41</v>
      </c>
      <c r="F13" s="101">
        <f>SUMIF('Monthly Detail'!$1:$1,'Annual Summary'!F$11, 'Monthly Detail'!12:12)</f>
        <v>80778.538203127609</v>
      </c>
      <c r="G13" s="101">
        <f>SUMIF('Monthly Detail'!$1:$1,'Annual Summary'!G$11, 'Monthly Detail'!12:12)</f>
        <v>96720.33276729667</v>
      </c>
      <c r="H13" s="101">
        <f>SUMIF('Monthly Detail'!$1:$1,'Annual Summary'!H$11, 'Monthly Detail'!12:12)</f>
        <v>137448.7635024167</v>
      </c>
      <c r="I13" s="418">
        <f>SUMIF('Monthly Detail'!$1:$1,'Annual Summary'!I$11, 'Monthly Detail'!12:12)</f>
        <v>193922.78118137334</v>
      </c>
      <c r="J13" s="101">
        <f>SUMIF('Monthly Detail'!$1:$1,'Annual Summary'!J$11, 'Monthly Detail'!12:12)</f>
        <v>272208.92345122364</v>
      </c>
      <c r="K13" s="101">
        <f>SUMIF('Monthly Detail'!$1:$1,'Annual Summary'!K$11, 'Monthly Detail'!12:12)</f>
        <v>384998.78930761368</v>
      </c>
      <c r="L13" s="418">
        <f>SUMIF('Monthly Detail'!$1:$1,'Annual Summary'!L$11, 'Monthly Detail'!12:12)</f>
        <v>540709.7161144187</v>
      </c>
      <c r="M13" s="97"/>
      <c r="N13" s="96"/>
      <c r="Y13" s="97"/>
    </row>
    <row r="14" spans="2:25" x14ac:dyDescent="0.3">
      <c r="B14" s="96"/>
      <c r="C14" s="417" t="s">
        <v>301</v>
      </c>
      <c r="D14" s="101">
        <f>SUMIF('Monthly Detail'!$1:$1,'Annual Summary'!D$11, 'Monthly Detail'!13:13)</f>
        <v>125</v>
      </c>
      <c r="E14" s="101">
        <f>SUMIF('Monthly Detail'!$1:$1,'Annual Summary'!E$11, 'Monthly Detail'!13:13)</f>
        <v>608.09</v>
      </c>
      <c r="F14" s="101">
        <f>SUMIF('Monthly Detail'!$1:$1,'Annual Summary'!F$11, 'Monthly Detail'!13:13)</f>
        <v>364.19576966091108</v>
      </c>
      <c r="G14" s="101">
        <f>SUMIF('Monthly Detail'!$1:$1,'Annual Summary'!G$11, 'Monthly Detail'!13:13)</f>
        <v>363.72101314236085</v>
      </c>
      <c r="H14" s="101">
        <f>SUMIF('Monthly Detail'!$1:$1,'Annual Summary'!H$11, 'Monthly Detail'!13:13)</f>
        <v>516.88204626574145</v>
      </c>
      <c r="I14" s="418">
        <f>SUMIF('Monthly Detail'!$1:$1,'Annual Summary'!I$11, 'Monthly Detail'!13:13)</f>
        <v>729.25504311873635</v>
      </c>
      <c r="J14" s="101">
        <f>SUMIF('Monthly Detail'!$1:$1,'Annual Summary'!J$11, 'Monthly Detail'!13:13)</f>
        <v>1023.6534820685322</v>
      </c>
      <c r="K14" s="101">
        <f>SUMIF('Monthly Detail'!$1:$1,'Annual Summary'!K$11, 'Monthly Detail'!13:13)</f>
        <v>1447.8046724927685</v>
      </c>
      <c r="L14" s="418">
        <f>SUMIF('Monthly Detail'!$1:$1,'Annual Summary'!L$11, 'Monthly Detail'!13:13)</f>
        <v>2033.3623772182921</v>
      </c>
      <c r="M14" s="97"/>
      <c r="N14" s="96"/>
      <c r="Y14" s="97"/>
    </row>
    <row r="15" spans="2:25" ht="18.75" customHeight="1" x14ac:dyDescent="0.3">
      <c r="B15" s="96"/>
      <c r="C15" s="419" t="s">
        <v>7</v>
      </c>
      <c r="D15" s="102">
        <f t="shared" ref="D15:L15" si="1">SUM(D13:D14)</f>
        <v>9337.5</v>
      </c>
      <c r="E15" s="102">
        <f t="shared" si="1"/>
        <v>44445.5</v>
      </c>
      <c r="F15" s="102">
        <f t="shared" si="1"/>
        <v>81142.733972788526</v>
      </c>
      <c r="G15" s="102">
        <f t="shared" si="1"/>
        <v>97084.053780439033</v>
      </c>
      <c r="H15" s="102">
        <f t="shared" si="1"/>
        <v>137965.64554868243</v>
      </c>
      <c r="I15" s="420">
        <f t="shared" si="1"/>
        <v>194652.03622449207</v>
      </c>
      <c r="J15" s="102">
        <f t="shared" si="1"/>
        <v>273232.57693329215</v>
      </c>
      <c r="K15" s="102">
        <f t="shared" si="1"/>
        <v>386446.59398010647</v>
      </c>
      <c r="L15" s="420">
        <f t="shared" si="1"/>
        <v>542743.07849163702</v>
      </c>
      <c r="M15" s="97"/>
      <c r="N15" s="96"/>
      <c r="Y15" s="97"/>
    </row>
    <row r="16" spans="2:25" ht="18.75" customHeight="1" x14ac:dyDescent="0.3">
      <c r="B16" s="96"/>
      <c r="C16" s="600" t="s">
        <v>298</v>
      </c>
      <c r="D16" s="601">
        <f>+SUMIFS('Monthly Detail'!17:17,'Monthly Detail'!4:4,DATE(D11,12,31))</f>
        <v>7</v>
      </c>
      <c r="E16" s="601">
        <f>+SUMIFS('Monthly Detail'!17:17,'Monthly Detail'!4:4,DATE(E11,12,31))</f>
        <v>19</v>
      </c>
      <c r="F16" s="601">
        <f>+SUMIFS('Monthly Detail'!17:17,'Monthly Detail'!4:4,DATE(F11,12,31))</f>
        <v>32</v>
      </c>
      <c r="G16" s="601">
        <f>+SUMIFS('Monthly Detail'!17:17,'Monthly Detail'!4:4,DATE(G11,12,31))</f>
        <v>39.599999999999987</v>
      </c>
      <c r="H16" s="601">
        <f>+SUMIFS('Monthly Detail'!17:17,'Monthly Detail'!4:4,DATE(H11,12,31))</f>
        <v>56.639999999999944</v>
      </c>
      <c r="I16" s="602">
        <f>+SUMIFS('Monthly Detail'!17:17,'Monthly Detail'!4:4,DATE(I11,12,31))</f>
        <v>79.295999999999921</v>
      </c>
      <c r="J16" s="601">
        <f>+SUMIFS('Monthly Detail'!17:17,'Monthly Detail'!4:4,DATE(J11,12,31))</f>
        <v>111.61439999999988</v>
      </c>
      <c r="K16" s="601">
        <f>+SUMIFS('Monthly Detail'!17:17,'Monthly Detail'!4:4,DATE(K11,12,31))</f>
        <v>157.06015999999971</v>
      </c>
      <c r="L16" s="602">
        <f>+SUMIFS('Monthly Detail'!17:17,'Monthly Detail'!4:4,DATE(L11,12,31))</f>
        <v>220.48422399999941</v>
      </c>
      <c r="M16" s="97"/>
      <c r="N16" s="96"/>
      <c r="Y16" s="97"/>
    </row>
    <row r="17" spans="2:25" ht="10.95" customHeight="1" x14ac:dyDescent="0.3">
      <c r="B17" s="96"/>
      <c r="C17" s="421" t="s">
        <v>220</v>
      </c>
      <c r="D17" s="101"/>
      <c r="E17" s="129">
        <f t="shared" ref="E17:L17" si="2">(E15/D15)-1</f>
        <v>3.759892904953146</v>
      </c>
      <c r="F17" s="129">
        <f t="shared" si="2"/>
        <v>0.82566815476906608</v>
      </c>
      <c r="G17" s="129">
        <f t="shared" si="2"/>
        <v>0.19646022542198893</v>
      </c>
      <c r="H17" s="129">
        <f t="shared" si="2"/>
        <v>0.42109481605186549</v>
      </c>
      <c r="I17" s="422">
        <f t="shared" si="2"/>
        <v>0.4108732318858852</v>
      </c>
      <c r="J17" s="129">
        <f t="shared" si="2"/>
        <v>0.40369750161859685</v>
      </c>
      <c r="K17" s="129">
        <f t="shared" si="2"/>
        <v>0.41435036157659466</v>
      </c>
      <c r="L17" s="422">
        <f t="shared" si="2"/>
        <v>0.40444523757292172</v>
      </c>
      <c r="M17" s="97"/>
      <c r="N17" s="96"/>
      <c r="Y17" s="97"/>
    </row>
    <row r="18" spans="2:25" ht="6" customHeight="1" x14ac:dyDescent="0.3">
      <c r="B18" s="96"/>
      <c r="C18" s="423"/>
      <c r="I18" s="97"/>
      <c r="L18" s="97"/>
      <c r="M18" s="97"/>
      <c r="N18" s="96"/>
      <c r="Y18" s="97"/>
    </row>
    <row r="19" spans="2:25" x14ac:dyDescent="0.3">
      <c r="B19" s="96"/>
      <c r="C19" s="423" t="s">
        <v>331</v>
      </c>
      <c r="D19" s="101">
        <f>SUMIF('Monthly Detail'!$1:$1,'Annual Summary'!D$11, 'Monthly Detail'!$62:$62)</f>
        <v>0</v>
      </c>
      <c r="E19" s="101">
        <f>SUMIF('Monthly Detail'!$1:$1,'Annual Summary'!E$11, 'Monthly Detail'!$62:$62)</f>
        <v>0</v>
      </c>
      <c r="F19" s="101">
        <f>SUMIF('Monthly Detail'!$1:$1,'Annual Summary'!F$11, 'Monthly Detail'!$62:$62)</f>
        <v>6926.7687500000011</v>
      </c>
      <c r="G19" s="101">
        <f>SUMIF('Monthly Detail'!$1:$1,'Annual Summary'!G$11, 'Monthly Detail'!$62:$62)</f>
        <v>11580.14239592649</v>
      </c>
      <c r="H19" s="101">
        <f>SUMIF('Monthly Detail'!$1:$1,'Annual Summary'!H$11, 'Monthly Detail'!$62:$62)</f>
        <v>38806.828085296685</v>
      </c>
      <c r="I19" s="418">
        <f>SUMIF('Monthly Detail'!$1:$1,'Annual Summary'!I$11, 'Monthly Detail'!$62:$62)</f>
        <v>82161.627558089851</v>
      </c>
      <c r="J19" s="101">
        <f>SUMIF('Monthly Detail'!$1:$1,'Annual Summary'!J$11, 'Monthly Detail'!$62:$62)</f>
        <v>145459.33353459157</v>
      </c>
      <c r="K19" s="101">
        <f>SUMIF('Monthly Detail'!$1:$1,'Annual Summary'!K$11, 'Monthly Detail'!$62:$62)</f>
        <v>236848.23689977144</v>
      </c>
      <c r="L19" s="418">
        <f>SUMIF('Monthly Detail'!$1:$1,'Annual Summary'!L$11, 'Monthly Detail'!$62:$62)</f>
        <v>362920.41004505404</v>
      </c>
      <c r="M19" s="97"/>
      <c r="N19" s="96"/>
      <c r="Y19" s="97"/>
    </row>
    <row r="20" spans="2:25" ht="15.6" x14ac:dyDescent="0.3">
      <c r="B20" s="103"/>
      <c r="C20" s="424" t="s">
        <v>165</v>
      </c>
      <c r="D20" s="88">
        <f>D15-D19</f>
        <v>9337.5</v>
      </c>
      <c r="E20" s="88">
        <f t="shared" ref="E20:L20" si="3">E15-E19</f>
        <v>44445.5</v>
      </c>
      <c r="F20" s="88">
        <f t="shared" si="3"/>
        <v>74215.965222788524</v>
      </c>
      <c r="G20" s="88">
        <f t="shared" si="3"/>
        <v>85503.911384512539</v>
      </c>
      <c r="H20" s="88">
        <f t="shared" si="3"/>
        <v>99158.817463385742</v>
      </c>
      <c r="I20" s="425">
        <f t="shared" si="3"/>
        <v>112490.40866640222</v>
      </c>
      <c r="J20" s="88">
        <f t="shared" si="3"/>
        <v>127773.24339870058</v>
      </c>
      <c r="K20" s="88">
        <f t="shared" si="3"/>
        <v>149598.35708033503</v>
      </c>
      <c r="L20" s="425">
        <f t="shared" si="3"/>
        <v>179822.66844658297</v>
      </c>
      <c r="M20" s="104"/>
      <c r="N20" s="103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4"/>
    </row>
    <row r="21" spans="2:25" x14ac:dyDescent="0.3">
      <c r="B21" s="96"/>
      <c r="C21" s="603" t="s">
        <v>166</v>
      </c>
      <c r="D21" s="548">
        <f>+D20/D15</f>
        <v>1</v>
      </c>
      <c r="E21" s="548">
        <f t="shared" ref="E21:L21" si="4">+E20/E15</f>
        <v>1</v>
      </c>
      <c r="F21" s="548">
        <f t="shared" si="4"/>
        <v>0.91463476258610021</v>
      </c>
      <c r="G21" s="548">
        <f t="shared" si="4"/>
        <v>0.88072044846710229</v>
      </c>
      <c r="H21" s="548">
        <f t="shared" si="4"/>
        <v>0.71872107776567218</v>
      </c>
      <c r="I21" s="604">
        <f t="shared" si="4"/>
        <v>0.57790512161232721</v>
      </c>
      <c r="J21" s="548">
        <f t="shared" si="4"/>
        <v>0.46763546584672272</v>
      </c>
      <c r="K21" s="548">
        <f t="shared" si="4"/>
        <v>0.38711262930172458</v>
      </c>
      <c r="L21" s="604">
        <f t="shared" si="4"/>
        <v>0.33132190086391644</v>
      </c>
      <c r="M21" s="97"/>
      <c r="N21" s="96"/>
      <c r="Y21" s="97"/>
    </row>
    <row r="22" spans="2:25" ht="6" customHeight="1" x14ac:dyDescent="0.3">
      <c r="B22" s="96"/>
      <c r="C22" s="423"/>
      <c r="I22" s="97"/>
      <c r="L22" s="97"/>
      <c r="M22" s="97"/>
      <c r="N22" s="96"/>
      <c r="Y22" s="97"/>
    </row>
    <row r="23" spans="2:25" x14ac:dyDescent="0.3">
      <c r="B23" s="96"/>
      <c r="C23" s="423" t="s">
        <v>279</v>
      </c>
      <c r="D23" s="101">
        <f>SUMIF('Monthly Detail'!$1:$1,'Annual Summary'!D$11, 'Monthly Detail'!$69:$69)</f>
        <v>0</v>
      </c>
      <c r="E23" s="101">
        <f>SUMIF('Monthly Detail'!$1:$1,'Annual Summary'!E$11, 'Monthly Detail'!$69:$69)</f>
        <v>0</v>
      </c>
      <c r="F23" s="101">
        <f>SUMIF('Monthly Detail'!$1:$1,'Annual Summary'!F$11, 'Monthly Detail'!$69:$69)</f>
        <v>5645</v>
      </c>
      <c r="G23" s="101">
        <f>SUMIF('Monthly Detail'!$1:$1,'Annual Summary'!G$11, 'Monthly Detail'!$69:$69)</f>
        <v>4641</v>
      </c>
      <c r="H23" s="101">
        <f>SUMIF('Monthly Detail'!$1:$1,'Annual Summary'!H$11, 'Monthly Detail'!$69:$69)</f>
        <v>6794.8881000000019</v>
      </c>
      <c r="I23" s="418">
        <f>SUMIF('Monthly Detail'!$1:$1,'Annual Summary'!I$11, 'Monthly Detail'!$69:$69)</f>
        <v>9948.395667210003</v>
      </c>
      <c r="J23" s="101">
        <f>SUMIF('Monthly Detail'!$1:$1,'Annual Summary'!J$11, 'Monthly Detail'!$69:$69)</f>
        <v>14565.44609636217</v>
      </c>
      <c r="K23" s="101">
        <f>SUMIF('Monthly Detail'!$1:$1,'Annual Summary'!K$11, 'Monthly Detail'!$69:$69)</f>
        <v>21325.269629683862</v>
      </c>
      <c r="L23" s="418">
        <f>SUMIF('Monthly Detail'!$1:$1,'Annual Summary'!L$11, 'Monthly Detail'!$69:$69)</f>
        <v>31222.327264820153</v>
      </c>
      <c r="M23" s="97"/>
      <c r="N23" s="96"/>
      <c r="Y23" s="97"/>
    </row>
    <row r="24" spans="2:25" x14ac:dyDescent="0.3">
      <c r="B24" s="96"/>
      <c r="C24" s="423" t="s">
        <v>203</v>
      </c>
      <c r="D24" s="101">
        <f>SUMIF('Monthly Detail'!$1:$1,'Annual Summary'!D$11, 'Monthly Detail'!$84:$84)</f>
        <v>2457.9899999999998</v>
      </c>
      <c r="E24" s="101">
        <f>SUMIF('Monthly Detail'!$1:$1,'Annual Summary'!E$11, 'Monthly Detail'!$84:$84)</f>
        <v>7947.7900000000009</v>
      </c>
      <c r="F24" s="101">
        <f>SUMIF('Monthly Detail'!$1:$1,'Annual Summary'!F$11, 'Monthly Detail'!$84:$84)</f>
        <v>14465.117945818994</v>
      </c>
      <c r="G24" s="101">
        <f>SUMIF('Monthly Detail'!$1:$1,'Annual Summary'!G$11, 'Monthly Detail'!$84:$84)</f>
        <v>26316.511694186982</v>
      </c>
      <c r="H24" s="101">
        <f>SUMIF('Monthly Detail'!$1:$1,'Annual Summary'!H$11, 'Monthly Detail'!$84:$84)</f>
        <v>28591.472619530461</v>
      </c>
      <c r="I24" s="418">
        <f>SUMIF('Monthly Detail'!$1:$1,'Annual Summary'!I$11, 'Monthly Detail'!$84:$84)</f>
        <v>31543.773270982871</v>
      </c>
      <c r="J24" s="101">
        <f>SUMIF('Monthly Detail'!$1:$1,'Annual Summary'!J$11, 'Monthly Detail'!$84:$84)</f>
        <v>35394.235500080627</v>
      </c>
      <c r="K24" s="101">
        <f>SUMIF('Monthly Detail'!$1:$1,'Annual Summary'!K$11, 'Monthly Detail'!$84:$84)</f>
        <v>40566.175247249295</v>
      </c>
      <c r="L24" s="418">
        <f>SUMIF('Monthly Detail'!$1:$1,'Annual Summary'!L$11, 'Monthly Detail'!$84:$84)</f>
        <v>47368.258417077923</v>
      </c>
      <c r="M24" s="97"/>
      <c r="N24" s="96"/>
      <c r="Y24" s="97"/>
    </row>
    <row r="25" spans="2:25" hidden="1" x14ac:dyDescent="0.3">
      <c r="B25" s="96"/>
      <c r="C25" s="423" t="s">
        <v>202</v>
      </c>
      <c r="D25" s="76">
        <f>SUMIF('Monthly Detail'!$1:$1,'Annual Summary'!D$11, 'Monthly Detail'!85:85)</f>
        <v>0</v>
      </c>
      <c r="E25" s="76">
        <f>SUMIF('Monthly Detail'!$1:$1,'Annual Summary'!E$11, 'Monthly Detail'!85:85)</f>
        <v>0</v>
      </c>
      <c r="F25" s="76">
        <f>SUMIF('Monthly Detail'!$1:$1,'Annual Summary'!F$11, 'Monthly Detail'!85:85)</f>
        <v>0</v>
      </c>
      <c r="G25" s="76">
        <f>SUMIF('Monthly Detail'!$1:$1,'Annual Summary'!G$11, 'Monthly Detail'!85:85)</f>
        <v>0</v>
      </c>
      <c r="H25" s="76">
        <f>SUMIF('Monthly Detail'!$1:$1,'Annual Summary'!H$11, 'Monthly Detail'!85:85)</f>
        <v>0</v>
      </c>
      <c r="I25" s="426">
        <f>SUMIF('Monthly Detail'!$1:$1,'Annual Summary'!I$11, 'Monthly Detail'!85:85)</f>
        <v>0</v>
      </c>
      <c r="J25" s="76">
        <f>SUMIF('Monthly Detail'!$1:$1,'Annual Summary'!J$11, 'Monthly Detail'!85:85)</f>
        <v>0</v>
      </c>
      <c r="K25" s="76">
        <f>SUMIF('Monthly Detail'!$1:$1,'Annual Summary'!K$11, 'Monthly Detail'!85:85)</f>
        <v>0</v>
      </c>
      <c r="L25" s="426">
        <f>SUMIF('Monthly Detail'!$1:$1,'Annual Summary'!L$11, 'Monthly Detail'!85:85)</f>
        <v>0</v>
      </c>
      <c r="M25" s="97"/>
      <c r="N25" s="96"/>
      <c r="Y25" s="97"/>
    </row>
    <row r="26" spans="2:25" x14ac:dyDescent="0.3">
      <c r="B26" s="96"/>
      <c r="C26" s="605" t="s">
        <v>175</v>
      </c>
      <c r="D26" s="606">
        <f>SUM(D23:D25)</f>
        <v>2457.9899999999998</v>
      </c>
      <c r="E26" s="606">
        <f t="shared" ref="E26:L26" si="5">SUM(E23:E25)</f>
        <v>7947.7900000000009</v>
      </c>
      <c r="F26" s="606">
        <f t="shared" si="5"/>
        <v>20110.117945818994</v>
      </c>
      <c r="G26" s="606">
        <f t="shared" si="5"/>
        <v>30957.511694186982</v>
      </c>
      <c r="H26" s="606">
        <f t="shared" si="5"/>
        <v>35386.360719530465</v>
      </c>
      <c r="I26" s="607">
        <f t="shared" si="5"/>
        <v>41492.168938192874</v>
      </c>
      <c r="J26" s="606">
        <f t="shared" si="5"/>
        <v>49959.681596442795</v>
      </c>
      <c r="K26" s="606">
        <f t="shared" si="5"/>
        <v>61891.444876933158</v>
      </c>
      <c r="L26" s="607">
        <f t="shared" si="5"/>
        <v>78590.585681898083</v>
      </c>
      <c r="M26" s="97"/>
      <c r="N26" s="96"/>
      <c r="Y26" s="97"/>
    </row>
    <row r="27" spans="2:25" x14ac:dyDescent="0.3">
      <c r="B27" s="96"/>
      <c r="C27" s="423"/>
      <c r="I27" s="97"/>
      <c r="L27" s="97"/>
      <c r="M27" s="97"/>
      <c r="N27" s="96"/>
      <c r="Y27" s="97"/>
    </row>
    <row r="28" spans="2:25" ht="15.6" x14ac:dyDescent="0.3">
      <c r="B28" s="103"/>
      <c r="C28" s="424" t="s">
        <v>168</v>
      </c>
      <c r="D28" s="88">
        <f t="shared" ref="D28:L28" si="6">D20-D26</f>
        <v>6879.51</v>
      </c>
      <c r="E28" s="88">
        <f t="shared" si="6"/>
        <v>36497.71</v>
      </c>
      <c r="F28" s="88">
        <f>F20-F26</f>
        <v>54105.847276969529</v>
      </c>
      <c r="G28" s="88">
        <f t="shared" si="6"/>
        <v>54546.399690325561</v>
      </c>
      <c r="H28" s="88">
        <f t="shared" si="6"/>
        <v>63772.456743855277</v>
      </c>
      <c r="I28" s="425">
        <f t="shared" si="6"/>
        <v>70998.239728209344</v>
      </c>
      <c r="J28" s="88">
        <f t="shared" si="6"/>
        <v>77813.561802257784</v>
      </c>
      <c r="K28" s="88">
        <f t="shared" si="6"/>
        <v>87706.91220340188</v>
      </c>
      <c r="L28" s="425">
        <f t="shared" si="6"/>
        <v>101232.08276468489</v>
      </c>
      <c r="M28" s="104"/>
      <c r="N28" s="103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4"/>
    </row>
    <row r="29" spans="2:25" x14ac:dyDescent="0.3">
      <c r="B29" s="96"/>
      <c r="C29" s="603" t="s">
        <v>169</v>
      </c>
      <c r="D29" s="548">
        <f t="shared" ref="D29:L29" si="7">D28/D15</f>
        <v>0.73676144578313252</v>
      </c>
      <c r="E29" s="548">
        <f t="shared" si="7"/>
        <v>0.82117897199941503</v>
      </c>
      <c r="F29" s="548">
        <f t="shared" si="7"/>
        <v>0.6667984257852847</v>
      </c>
      <c r="G29" s="548">
        <f t="shared" si="7"/>
        <v>0.5618471578626627</v>
      </c>
      <c r="H29" s="548">
        <f t="shared" si="7"/>
        <v>0.4622343228289581</v>
      </c>
      <c r="I29" s="604">
        <f t="shared" si="7"/>
        <v>0.3647443977741241</v>
      </c>
      <c r="J29" s="548">
        <f t="shared" si="7"/>
        <v>0.28478874179507307</v>
      </c>
      <c r="K29" s="548">
        <f t="shared" si="7"/>
        <v>0.22695739481123972</v>
      </c>
      <c r="L29" s="604">
        <f t="shared" si="7"/>
        <v>0.18651934363865821</v>
      </c>
      <c r="M29" s="97"/>
      <c r="N29" s="96"/>
      <c r="Y29" s="97"/>
    </row>
    <row r="30" spans="2:25" x14ac:dyDescent="0.3">
      <c r="B30" s="96"/>
      <c r="C30" s="427"/>
      <c r="D30" s="82"/>
      <c r="E30" s="82"/>
      <c r="F30" s="82"/>
      <c r="G30" s="82"/>
      <c r="H30" s="82"/>
      <c r="I30" s="428"/>
      <c r="J30" s="82"/>
      <c r="K30" s="82"/>
      <c r="L30" s="428"/>
      <c r="M30" s="97"/>
      <c r="N30" s="96"/>
      <c r="Y30" s="97"/>
    </row>
    <row r="31" spans="2:25" x14ac:dyDescent="0.3">
      <c r="B31" s="96"/>
      <c r="C31" s="423" t="s">
        <v>170</v>
      </c>
      <c r="D31" s="76">
        <v>0</v>
      </c>
      <c r="E31" s="76">
        <v>0</v>
      </c>
      <c r="F31" s="76">
        <f>SUMIF('Monthly Detail'!$1:$1,'Annual Summary'!F$11, 'Monthly Detail'!98:98)</f>
        <v>-4602.5</v>
      </c>
      <c r="G31" s="76">
        <f>SUMIF('Monthly Detail'!$1:$1,'Annual Summary'!G$11, 'Monthly Detail'!98:98)</f>
        <v>-7675.44</v>
      </c>
      <c r="H31" s="76">
        <f>SUMIF('Monthly Detail'!$1:$1,'Annual Summary'!H$11, 'Monthly Detail'!98:98)</f>
        <v>-7675.44</v>
      </c>
      <c r="I31" s="426">
        <f>SUMIF('Monthly Detail'!$1:$1,'Annual Summary'!I$11, 'Monthly Detail'!98:98)</f>
        <v>-7675.44</v>
      </c>
      <c r="J31" s="76">
        <f>SUMIF('Monthly Detail'!$1:$1,'Annual Summary'!J$11, 'Monthly Detail'!98:98)</f>
        <v>-7675.44</v>
      </c>
      <c r="K31" s="76">
        <f>SUMIF('Monthly Detail'!$1:$1,'Annual Summary'!K$11, 'Monthly Detail'!98:98)</f>
        <v>-7675.44</v>
      </c>
      <c r="L31" s="426">
        <f>SUMIF('Monthly Detail'!$1:$1,'Annual Summary'!L$11, 'Monthly Detail'!98:98)</f>
        <v>-7675.44</v>
      </c>
      <c r="M31" s="97"/>
      <c r="N31" s="96"/>
      <c r="Y31" s="97"/>
    </row>
    <row r="32" spans="2:25" ht="15.6" x14ac:dyDescent="0.3">
      <c r="B32" s="103"/>
      <c r="C32" s="424" t="s">
        <v>16</v>
      </c>
      <c r="D32" s="88">
        <f>D28+D31</f>
        <v>6879.51</v>
      </c>
      <c r="E32" s="88">
        <f t="shared" ref="E32:L32" si="8">E28+E31</f>
        <v>36497.71</v>
      </c>
      <c r="F32" s="88">
        <f t="shared" si="8"/>
        <v>49503.347276969529</v>
      </c>
      <c r="G32" s="88">
        <f t="shared" si="8"/>
        <v>46870.959690325559</v>
      </c>
      <c r="H32" s="88">
        <f t="shared" si="8"/>
        <v>56097.016743855274</v>
      </c>
      <c r="I32" s="425">
        <f t="shared" si="8"/>
        <v>63322.799728209342</v>
      </c>
      <c r="J32" s="88">
        <f t="shared" si="8"/>
        <v>70138.121802257781</v>
      </c>
      <c r="K32" s="88">
        <f t="shared" si="8"/>
        <v>80031.472203401878</v>
      </c>
      <c r="L32" s="425">
        <f t="shared" si="8"/>
        <v>93556.64276468489</v>
      </c>
      <c r="M32" s="104"/>
      <c r="N32" s="103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4"/>
    </row>
    <row r="33" spans="2:25" ht="15" thickBot="1" x14ac:dyDescent="0.35">
      <c r="B33" s="96"/>
      <c r="C33" s="429" t="s">
        <v>171</v>
      </c>
      <c r="D33" s="430">
        <f t="shared" ref="D33:L33" si="9">D32/D15</f>
        <v>0.73676144578313252</v>
      </c>
      <c r="E33" s="430">
        <f t="shared" si="9"/>
        <v>0.82117897199941503</v>
      </c>
      <c r="F33" s="430">
        <f t="shared" si="9"/>
        <v>0.6100773889818728</v>
      </c>
      <c r="G33" s="430">
        <f t="shared" si="9"/>
        <v>0.4827874183779638</v>
      </c>
      <c r="H33" s="430">
        <f t="shared" si="9"/>
        <v>0.4066013428253118</v>
      </c>
      <c r="I33" s="431">
        <f t="shared" si="9"/>
        <v>0.3253128041012589</v>
      </c>
      <c r="J33" s="430">
        <f t="shared" si="9"/>
        <v>0.2566975087285493</v>
      </c>
      <c r="K33" s="430">
        <f t="shared" si="9"/>
        <v>0.20709581466131835</v>
      </c>
      <c r="L33" s="431">
        <f t="shared" si="9"/>
        <v>0.17237740373344343</v>
      </c>
      <c r="M33" s="97"/>
      <c r="N33" s="96"/>
      <c r="Y33" s="97"/>
    </row>
    <row r="34" spans="2:25" x14ac:dyDescent="0.3">
      <c r="B34" s="96"/>
      <c r="C34" s="7"/>
      <c r="M34" s="97"/>
      <c r="N34" s="96"/>
      <c r="Y34" s="97"/>
    </row>
    <row r="35" spans="2:25" x14ac:dyDescent="0.3">
      <c r="B35" s="96"/>
      <c r="C35" s="7"/>
      <c r="M35" s="97"/>
      <c r="N35" s="96"/>
      <c r="Y35" s="97"/>
    </row>
    <row r="36" spans="2:25" ht="15" thickBot="1" x14ac:dyDescent="0.35"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9"/>
      <c r="N36" s="106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9"/>
    </row>
  </sheetData>
  <printOptions horizontalCentered="1" verticalCentered="1"/>
  <pageMargins left="0.7" right="0.7" top="0.75" bottom="0.75" header="0.3" footer="0.3"/>
  <pageSetup scale="55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6"/>
    <col min="9" max="9" width="75.109375" style="116" bestFit="1" customWidth="1"/>
    <col min="10" max="16384" width="8.88671875" style="116"/>
  </cols>
  <sheetData>
    <row r="1" spans="1:9" x14ac:dyDescent="0.3">
      <c r="A1" s="117" t="s">
        <v>153</v>
      </c>
      <c r="B1" s="117" t="s">
        <v>154</v>
      </c>
      <c r="C1" s="117" t="s">
        <v>155</v>
      </c>
    </row>
    <row r="2" spans="1:9" x14ac:dyDescent="0.3">
      <c r="A2" s="124">
        <v>44825</v>
      </c>
      <c r="B2" s="116">
        <v>0.75</v>
      </c>
      <c r="C2" s="116">
        <f>B2*50</f>
        <v>37.5</v>
      </c>
      <c r="E2" s="116" t="s">
        <v>156</v>
      </c>
      <c r="I2" s="116" t="s">
        <v>157</v>
      </c>
    </row>
    <row r="3" spans="1:9" x14ac:dyDescent="0.3">
      <c r="A3" s="124">
        <v>44826</v>
      </c>
      <c r="B3" s="116">
        <v>1</v>
      </c>
      <c r="C3" s="116">
        <v>50</v>
      </c>
      <c r="E3" s="116">
        <f>C14+C15</f>
        <v>700</v>
      </c>
      <c r="I3" s="116" t="s">
        <v>158</v>
      </c>
    </row>
    <row r="4" spans="1:9" x14ac:dyDescent="0.3">
      <c r="A4" s="124">
        <v>44833</v>
      </c>
      <c r="B4" s="116">
        <v>2</v>
      </c>
      <c r="C4" s="116">
        <v>100</v>
      </c>
    </row>
    <row r="5" spans="1:9" x14ac:dyDescent="0.3">
      <c r="A5" s="124">
        <v>44836</v>
      </c>
      <c r="B5" s="116">
        <v>1.75</v>
      </c>
      <c r="C5" s="116">
        <v>87.5</v>
      </c>
    </row>
    <row r="6" spans="1:9" x14ac:dyDescent="0.3">
      <c r="A6" s="124">
        <v>44837</v>
      </c>
      <c r="B6" s="116">
        <v>0.75</v>
      </c>
      <c r="C6" s="116">
        <v>37.5</v>
      </c>
    </row>
    <row r="7" spans="1:9" x14ac:dyDescent="0.3">
      <c r="A7" s="124">
        <v>44838</v>
      </c>
      <c r="B7" s="116">
        <v>1.25</v>
      </c>
      <c r="C7" s="116">
        <v>62.5</v>
      </c>
    </row>
    <row r="8" spans="1:9" x14ac:dyDescent="0.3">
      <c r="A8" s="124">
        <v>44839</v>
      </c>
      <c r="B8" s="116">
        <v>1.5</v>
      </c>
      <c r="C8" s="116">
        <v>75</v>
      </c>
    </row>
    <row r="9" spans="1:9" x14ac:dyDescent="0.3">
      <c r="A9" s="124">
        <v>44846</v>
      </c>
      <c r="B9" s="116">
        <v>1.5</v>
      </c>
      <c r="C9" s="116">
        <v>75</v>
      </c>
    </row>
    <row r="10" spans="1:9" x14ac:dyDescent="0.3">
      <c r="A10" s="124">
        <v>44850</v>
      </c>
      <c r="B10" s="116">
        <v>1.5</v>
      </c>
      <c r="C10" s="116">
        <v>75</v>
      </c>
    </row>
    <row r="11" spans="1:9" x14ac:dyDescent="0.3">
      <c r="A11" s="124"/>
    </row>
    <row r="12" spans="1:9" x14ac:dyDescent="0.3">
      <c r="A12" s="125" t="s">
        <v>0</v>
      </c>
      <c r="B12" s="116">
        <f>SUM(B2:B10)</f>
        <v>12</v>
      </c>
      <c r="C12" s="116">
        <f>B12*50</f>
        <v>600</v>
      </c>
    </row>
    <row r="14" spans="1:9" x14ac:dyDescent="0.3">
      <c r="A14" s="116" t="s">
        <v>159</v>
      </c>
      <c r="B14" s="116">
        <v>12</v>
      </c>
      <c r="C14" s="116">
        <v>600</v>
      </c>
    </row>
    <row r="15" spans="1:9" x14ac:dyDescent="0.3">
      <c r="A15" s="116" t="s">
        <v>160</v>
      </c>
      <c r="C15" s="126">
        <v>100</v>
      </c>
    </row>
    <row r="16" spans="1:9" x14ac:dyDescent="0.3">
      <c r="A16" s="116" t="s">
        <v>161</v>
      </c>
      <c r="B16" s="116">
        <v>0</v>
      </c>
      <c r="C16" s="116">
        <v>0</v>
      </c>
    </row>
    <row r="17" spans="1:3" s="127" customFormat="1" x14ac:dyDescent="0.3"/>
    <row r="18" spans="1:3" x14ac:dyDescent="0.3">
      <c r="A18" s="117" t="s">
        <v>153</v>
      </c>
      <c r="B18" s="117" t="s">
        <v>154</v>
      </c>
      <c r="C18" s="117" t="s">
        <v>155</v>
      </c>
    </row>
    <row r="19" spans="1:3" x14ac:dyDescent="0.3">
      <c r="A19" s="124">
        <v>44852</v>
      </c>
      <c r="B19" s="116">
        <v>1</v>
      </c>
      <c r="C19" s="116">
        <v>50</v>
      </c>
    </row>
    <row r="20" spans="1:3" x14ac:dyDescent="0.3">
      <c r="A20" s="124">
        <v>44858</v>
      </c>
      <c r="B20" s="116">
        <v>1</v>
      </c>
      <c r="C20" s="116">
        <v>50</v>
      </c>
    </row>
    <row r="21" spans="1:3" x14ac:dyDescent="0.3">
      <c r="A21" s="124">
        <v>44859</v>
      </c>
      <c r="B21" s="116">
        <v>1</v>
      </c>
      <c r="C21" s="116">
        <v>50</v>
      </c>
    </row>
    <row r="22" spans="1:3" x14ac:dyDescent="0.3">
      <c r="A22" s="124">
        <v>44861</v>
      </c>
      <c r="B22" s="116">
        <v>2.5</v>
      </c>
      <c r="C22" s="116">
        <v>125</v>
      </c>
    </row>
    <row r="23" spans="1:3" ht="17.25" customHeight="1" x14ac:dyDescent="0.3">
      <c r="A23" s="124">
        <v>44862</v>
      </c>
      <c r="B23" s="116">
        <v>1</v>
      </c>
      <c r="C23" s="116">
        <v>50</v>
      </c>
    </row>
    <row r="24" spans="1:3" ht="17.25" customHeight="1" x14ac:dyDescent="0.3">
      <c r="A24" s="124">
        <v>44871</v>
      </c>
      <c r="B24" s="116">
        <v>1.5</v>
      </c>
      <c r="C24" s="116">
        <v>75</v>
      </c>
    </row>
    <row r="25" spans="1:3" ht="17.25" customHeight="1" x14ac:dyDescent="0.3">
      <c r="A25" s="124">
        <v>44872</v>
      </c>
      <c r="B25" s="116">
        <v>2</v>
      </c>
      <c r="C25" s="116">
        <v>100</v>
      </c>
    </row>
    <row r="26" spans="1:3" x14ac:dyDescent="0.3">
      <c r="A26" s="124">
        <v>44872</v>
      </c>
      <c r="B26" s="116">
        <v>1</v>
      </c>
      <c r="C26" s="116">
        <v>50</v>
      </c>
    </row>
    <row r="27" spans="1:3" x14ac:dyDescent="0.3">
      <c r="A27" s="124">
        <v>44872</v>
      </c>
      <c r="B27" s="116">
        <v>2</v>
      </c>
      <c r="C27" s="116">
        <v>100</v>
      </c>
    </row>
    <row r="28" spans="1:3" x14ac:dyDescent="0.3">
      <c r="A28" s="124">
        <v>44872</v>
      </c>
      <c r="B28" s="116">
        <v>1</v>
      </c>
      <c r="C28" s="116">
        <v>50</v>
      </c>
    </row>
    <row r="29" spans="1:3" x14ac:dyDescent="0.3">
      <c r="A29" s="124">
        <v>44873</v>
      </c>
      <c r="B29" s="116">
        <v>1.5</v>
      </c>
      <c r="C29" s="116">
        <v>75</v>
      </c>
    </row>
    <row r="30" spans="1:3" x14ac:dyDescent="0.3">
      <c r="A30" s="124">
        <v>44886</v>
      </c>
      <c r="B30" s="116">
        <v>1.5</v>
      </c>
      <c r="C30" s="116">
        <v>75</v>
      </c>
    </row>
    <row r="31" spans="1:3" x14ac:dyDescent="0.3">
      <c r="A31" s="124">
        <v>44891</v>
      </c>
      <c r="B31" s="116">
        <v>0.5</v>
      </c>
      <c r="C31" s="116">
        <v>25</v>
      </c>
    </row>
    <row r="32" spans="1:3" x14ac:dyDescent="0.3">
      <c r="A32" s="124">
        <v>44892</v>
      </c>
      <c r="B32" s="116">
        <v>1.5</v>
      </c>
      <c r="C32" s="116">
        <v>75</v>
      </c>
    </row>
    <row r="33" spans="1:5" x14ac:dyDescent="0.3">
      <c r="A33" s="124">
        <v>44893</v>
      </c>
      <c r="B33" s="116">
        <v>1</v>
      </c>
      <c r="C33" s="116">
        <v>50</v>
      </c>
    </row>
    <row r="34" spans="1:5" x14ac:dyDescent="0.3">
      <c r="A34" s="125" t="s">
        <v>0</v>
      </c>
      <c r="B34" s="116">
        <f>SUM(B19:B33)</f>
        <v>20</v>
      </c>
      <c r="C34" s="116">
        <f>B34*50</f>
        <v>1000</v>
      </c>
    </row>
    <row r="36" spans="1:5" x14ac:dyDescent="0.3">
      <c r="A36" s="116" t="s">
        <v>159</v>
      </c>
      <c r="B36" s="116">
        <v>14</v>
      </c>
      <c r="C36" s="116">
        <v>700</v>
      </c>
      <c r="E36" s="117"/>
    </row>
    <row r="37" spans="1:5" x14ac:dyDescent="0.3">
      <c r="A37" s="116" t="s">
        <v>160</v>
      </c>
      <c r="C37" s="126">
        <v>100</v>
      </c>
    </row>
    <row r="38" spans="1:5" x14ac:dyDescent="0.3">
      <c r="A38" s="116" t="s">
        <v>161</v>
      </c>
      <c r="C38" s="116">
        <v>300</v>
      </c>
    </row>
    <row r="39" spans="1:5" s="127" customFormat="1" x14ac:dyDescent="0.3"/>
    <row r="40" spans="1:5" x14ac:dyDescent="0.3">
      <c r="A40" s="117" t="s">
        <v>153</v>
      </c>
      <c r="B40" s="117" t="s">
        <v>154</v>
      </c>
      <c r="C40" s="117" t="s">
        <v>155</v>
      </c>
    </row>
    <row r="41" spans="1:5" x14ac:dyDescent="0.3">
      <c r="A41" s="116" t="s">
        <v>200</v>
      </c>
      <c r="C41" s="116">
        <v>300</v>
      </c>
    </row>
    <row r="42" spans="1:5" x14ac:dyDescent="0.3">
      <c r="A42" s="124">
        <v>44899</v>
      </c>
      <c r="B42" s="116">
        <v>1.5</v>
      </c>
      <c r="C42" s="116">
        <v>75</v>
      </c>
    </row>
    <row r="43" spans="1:5" x14ac:dyDescent="0.3">
      <c r="A43" s="124"/>
    </row>
    <row r="45" spans="1:5" x14ac:dyDescent="0.3">
      <c r="A45" s="125" t="s">
        <v>0</v>
      </c>
      <c r="C45" s="116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31"/>
  <sheetViews>
    <sheetView showGridLines="0" topLeftCell="A4" zoomScale="77" workbookViewId="0">
      <selection activeCell="B1" sqref="B1:P48"/>
    </sheetView>
  </sheetViews>
  <sheetFormatPr defaultRowHeight="14.4" x14ac:dyDescent="0.3"/>
  <cols>
    <col min="2" max="2" width="34" bestFit="1" customWidth="1"/>
    <col min="3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10" spans="2:16" ht="15.6" x14ac:dyDescent="0.3">
      <c r="B10" s="68"/>
      <c r="C10" s="69" t="str">
        <f>TEXT('Monthly Detail'!D4,"mmmm")</f>
        <v>January</v>
      </c>
      <c r="D10" s="69" t="str">
        <f>TEXT('Monthly Detail'!E4,"mmmm")</f>
        <v>February</v>
      </c>
      <c r="E10" s="69" t="str">
        <f>TEXT('Monthly Detail'!F4,"mmmm")</f>
        <v>March</v>
      </c>
      <c r="F10" s="69" t="str">
        <f>TEXT('Monthly Detail'!G4,"mmmm")</f>
        <v>April</v>
      </c>
      <c r="G10" s="69" t="str">
        <f>TEXT('Monthly Detail'!H4,"mmmm")</f>
        <v>May</v>
      </c>
      <c r="H10" s="69" t="str">
        <f>TEXT('Monthly Detail'!I4,"mmmm")</f>
        <v>June</v>
      </c>
      <c r="I10" s="69" t="str">
        <f>TEXT('Monthly Detail'!J4,"mmmm")</f>
        <v>July</v>
      </c>
      <c r="J10" s="69" t="str">
        <f>TEXT('Monthly Detail'!K4,"mmmm")</f>
        <v>August</v>
      </c>
      <c r="K10" s="69" t="str">
        <f>TEXT('Monthly Detail'!L4,"mmmm")</f>
        <v>September</v>
      </c>
      <c r="L10" s="69" t="str">
        <f>TEXT('Monthly Detail'!M4,"mmmm")</f>
        <v>October</v>
      </c>
      <c r="M10" s="69" t="str">
        <f>TEXT('Monthly Detail'!N4,"mmmm")</f>
        <v>November</v>
      </c>
      <c r="N10" s="198" t="str">
        <f>TEXT('Monthly Detail'!O4,"mmmm")</f>
        <v>December</v>
      </c>
      <c r="O10" s="70"/>
      <c r="P10" s="71" t="s">
        <v>0</v>
      </c>
    </row>
    <row r="11" spans="2:16" ht="6.6" customHeight="1" x14ac:dyDescent="0.3">
      <c r="B11" s="7"/>
      <c r="C11" s="91">
        <v>44957</v>
      </c>
      <c r="D11" s="91">
        <v>44985</v>
      </c>
      <c r="E11" s="91">
        <v>45016</v>
      </c>
      <c r="F11" s="91">
        <v>45046</v>
      </c>
      <c r="G11" s="91">
        <v>45077</v>
      </c>
      <c r="H11" s="91">
        <v>45107</v>
      </c>
      <c r="I11" s="91">
        <v>45138</v>
      </c>
      <c r="J11" s="91">
        <v>45169</v>
      </c>
      <c r="K11" s="91">
        <v>45199</v>
      </c>
      <c r="L11" s="91">
        <v>45230</v>
      </c>
      <c r="M11" s="91">
        <v>45260</v>
      </c>
      <c r="N11" s="199">
        <v>45291</v>
      </c>
      <c r="O11" s="91">
        <v>45322</v>
      </c>
    </row>
    <row r="12" spans="2:16" x14ac:dyDescent="0.3">
      <c r="B12" s="72" t="s">
        <v>60</v>
      </c>
      <c r="C12" s="73">
        <f>SUMIF('Monthly Detail'!$4:$4, '2023 Overview'!C$11, 'Monthly Detail'!12:12)</f>
        <v>1510</v>
      </c>
      <c r="D12" s="73">
        <f>SUMIF('Monthly Detail'!$4:$4, '2023 Overview'!D$11, 'Monthly Detail'!12:12)</f>
        <v>1225</v>
      </c>
      <c r="E12" s="73">
        <f>SUMIF('Monthly Detail'!$4:$4, '2023 Overview'!E$11, 'Monthly Detail'!12:12)</f>
        <v>1177.5</v>
      </c>
      <c r="F12" s="73">
        <f>SUMIF('Monthly Detail'!$4:$4, '2023 Overview'!F$11, 'Monthly Detail'!12:12)</f>
        <v>1919.91</v>
      </c>
      <c r="G12" s="73">
        <f>SUMIF('Monthly Detail'!$4:$4, '2023 Overview'!G$11, 'Monthly Detail'!12:12)</f>
        <v>2446.25</v>
      </c>
      <c r="H12" s="73">
        <f>SUMIF('Monthly Detail'!$4:$4, '2023 Overview'!H$11, 'Monthly Detail'!12:12)</f>
        <v>2038.75</v>
      </c>
      <c r="I12" s="73">
        <f>SUMIF('Monthly Detail'!$4:$4, '2023 Overview'!I$11, 'Monthly Detail'!12:12)</f>
        <v>2785</v>
      </c>
      <c r="J12" s="73">
        <f>SUMIF('Monthly Detail'!$4:$4, '2023 Overview'!J$11, 'Monthly Detail'!12:12)</f>
        <v>7051.66</v>
      </c>
      <c r="K12" s="73">
        <f>SUMIF('Monthly Detail'!$4:$4, '2023 Overview'!K$11, 'Monthly Detail'!12:12)</f>
        <v>8720.84</v>
      </c>
      <c r="L12" s="73">
        <f>SUMIF('Monthly Detail'!$4:$4, '2023 Overview'!L$11, 'Monthly Detail'!12:12)</f>
        <v>8040</v>
      </c>
      <c r="M12" s="73">
        <f>SUMIF('Monthly Detail'!$4:$4, '2023 Overview'!M$11, 'Monthly Detail'!12:12)</f>
        <v>4827.5</v>
      </c>
      <c r="N12" s="200">
        <f>SUMIF('Monthly Detail'!$4:$4, '2023 Overview'!N$11, 'Monthly Detail'!12:12)</f>
        <v>2095</v>
      </c>
      <c r="O12" s="73"/>
      <c r="P12" s="73">
        <f>SUM(C12:O12)</f>
        <v>43837.41</v>
      </c>
    </row>
    <row r="13" spans="2:16" x14ac:dyDescent="0.3">
      <c r="B13" s="72" t="s">
        <v>174</v>
      </c>
      <c r="C13" s="73">
        <f>SUMIF('Monthly Detail'!$4:$4, '2023 Overview'!C$11, 'Monthly Detail'!13:13)</f>
        <v>35.99</v>
      </c>
      <c r="D13" s="73">
        <f>SUMIF('Monthly Detail'!$4:$4, '2023 Overview'!D$11, 'Monthly Detail'!13:13)</f>
        <v>30.75</v>
      </c>
      <c r="E13" s="73">
        <f>SUMIF('Monthly Detail'!$4:$4, '2023 Overview'!E$11, 'Monthly Detail'!13:13)</f>
        <v>29.25</v>
      </c>
      <c r="F13" s="73">
        <f>SUMIF('Monthly Detail'!$4:$4, '2023 Overview'!F$11, 'Monthly Detail'!13:13)</f>
        <v>37.5</v>
      </c>
      <c r="G13" s="73">
        <f>SUMIF('Monthly Detail'!$4:$4, '2023 Overview'!G$11, 'Monthly Detail'!13:13)</f>
        <v>40.68</v>
      </c>
      <c r="H13" s="73">
        <f>SUMIF('Monthly Detail'!$4:$4, '2023 Overview'!H$11, 'Monthly Detail'!13:13)</f>
        <v>4.68</v>
      </c>
      <c r="I13" s="73">
        <f>SUMIF('Monthly Detail'!$4:$4, '2023 Overview'!I$11, 'Monthly Detail'!13:13)</f>
        <v>50.5</v>
      </c>
      <c r="J13" s="73">
        <f>SUMIF('Monthly Detail'!$4:$4, '2023 Overview'!J$11, 'Monthly Detail'!13:13)</f>
        <v>27</v>
      </c>
      <c r="K13" s="73">
        <f>SUMIF('Monthly Detail'!$4:$4, '2023 Overview'!K$11, 'Monthly Detail'!13:13)</f>
        <v>35.25</v>
      </c>
      <c r="L13" s="73">
        <f>SUMIF('Monthly Detail'!$4:$4, '2023 Overview'!L$11, 'Monthly Detail'!13:13)</f>
        <v>156.37</v>
      </c>
      <c r="M13" s="73">
        <f>SUMIF('Monthly Detail'!$4:$4, '2023 Overview'!M$11, 'Monthly Detail'!13:13)</f>
        <v>110.62</v>
      </c>
      <c r="N13" s="200">
        <f>SUMIF('Monthly Detail'!$4:$4, '2023 Overview'!N$11, 'Monthly Detail'!13:13)</f>
        <v>49.5</v>
      </c>
      <c r="O13" s="73"/>
      <c r="P13" s="73"/>
    </row>
    <row r="14" spans="2:16" x14ac:dyDescent="0.3">
      <c r="B14" s="74" t="s">
        <v>7</v>
      </c>
      <c r="C14" s="74">
        <f>SUM(C12:C13)</f>
        <v>1545.99</v>
      </c>
      <c r="D14" s="74">
        <f t="shared" ref="D14:N14" si="0">SUM(D12:D13)</f>
        <v>1255.75</v>
      </c>
      <c r="E14" s="74">
        <f t="shared" si="0"/>
        <v>1206.75</v>
      </c>
      <c r="F14" s="74">
        <f t="shared" si="0"/>
        <v>1957.41</v>
      </c>
      <c r="G14" s="74">
        <f t="shared" si="0"/>
        <v>2486.9299999999998</v>
      </c>
      <c r="H14" s="74">
        <f t="shared" si="0"/>
        <v>2043.43</v>
      </c>
      <c r="I14" s="74">
        <f t="shared" si="0"/>
        <v>2835.5</v>
      </c>
      <c r="J14" s="74">
        <f t="shared" si="0"/>
        <v>7078.66</v>
      </c>
      <c r="K14" s="74">
        <f t="shared" si="0"/>
        <v>8756.09</v>
      </c>
      <c r="L14" s="74">
        <f t="shared" si="0"/>
        <v>8196.3700000000008</v>
      </c>
      <c r="M14" s="74">
        <f t="shared" si="0"/>
        <v>4938.12</v>
      </c>
      <c r="N14" s="201">
        <f t="shared" si="0"/>
        <v>2144.5</v>
      </c>
      <c r="O14" s="75"/>
      <c r="P14" s="74">
        <f>SUM(P12:P12)</f>
        <v>43837.41</v>
      </c>
    </row>
    <row r="15" spans="2:16" ht="3" customHeight="1" x14ac:dyDescent="0.3">
      <c r="B15" s="7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202"/>
      <c r="P15" s="76"/>
    </row>
    <row r="16" spans="2:16" ht="15.6" x14ac:dyDescent="0.3">
      <c r="B16" s="87" t="s">
        <v>165</v>
      </c>
      <c r="C16" s="88">
        <f>C14</f>
        <v>1545.99</v>
      </c>
      <c r="D16" s="88">
        <f t="shared" ref="D16:N16" si="1">D14</f>
        <v>1255.75</v>
      </c>
      <c r="E16" s="88">
        <f t="shared" si="1"/>
        <v>1206.75</v>
      </c>
      <c r="F16" s="88">
        <f t="shared" si="1"/>
        <v>1957.41</v>
      </c>
      <c r="G16" s="88">
        <f t="shared" si="1"/>
        <v>2486.9299999999998</v>
      </c>
      <c r="H16" s="88">
        <f t="shared" si="1"/>
        <v>2043.43</v>
      </c>
      <c r="I16" s="88">
        <f t="shared" si="1"/>
        <v>2835.5</v>
      </c>
      <c r="J16" s="88">
        <f t="shared" si="1"/>
        <v>7078.66</v>
      </c>
      <c r="K16" s="88">
        <f t="shared" si="1"/>
        <v>8756.09</v>
      </c>
      <c r="L16" s="88">
        <f t="shared" si="1"/>
        <v>8196.3700000000008</v>
      </c>
      <c r="M16" s="88">
        <f t="shared" si="1"/>
        <v>4938.12</v>
      </c>
      <c r="N16" s="203">
        <f t="shared" si="1"/>
        <v>2144.5</v>
      </c>
      <c r="O16" s="77"/>
      <c r="P16" s="88">
        <f>P14</f>
        <v>43837.41</v>
      </c>
    </row>
    <row r="17" spans="2:20" x14ac:dyDescent="0.3">
      <c r="B17" s="89" t="s">
        <v>166</v>
      </c>
      <c r="C17" s="90">
        <f t="shared" ref="C17:N17" si="2">C16/C14</f>
        <v>1</v>
      </c>
      <c r="D17" s="90">
        <f t="shared" si="2"/>
        <v>1</v>
      </c>
      <c r="E17" s="90">
        <f t="shared" si="2"/>
        <v>1</v>
      </c>
      <c r="F17" s="90">
        <f t="shared" si="2"/>
        <v>1</v>
      </c>
      <c r="G17" s="90">
        <f t="shared" si="2"/>
        <v>1</v>
      </c>
      <c r="H17" s="90">
        <f t="shared" si="2"/>
        <v>1</v>
      </c>
      <c r="I17" s="90">
        <f t="shared" si="2"/>
        <v>1</v>
      </c>
      <c r="J17" s="90">
        <f t="shared" si="2"/>
        <v>1</v>
      </c>
      <c r="K17" s="90">
        <f t="shared" si="2"/>
        <v>1</v>
      </c>
      <c r="L17" s="90">
        <f t="shared" si="2"/>
        <v>1</v>
      </c>
      <c r="M17" s="90">
        <f t="shared" si="2"/>
        <v>1</v>
      </c>
      <c r="N17" s="204">
        <f t="shared" si="2"/>
        <v>1</v>
      </c>
      <c r="O17" s="7"/>
      <c r="P17" s="90">
        <f>P16/P14</f>
        <v>1</v>
      </c>
    </row>
    <row r="18" spans="2:20" ht="3" customHeight="1" x14ac:dyDescent="0.3">
      <c r="B18" s="7"/>
      <c r="N18" s="205"/>
    </row>
    <row r="19" spans="2:20" x14ac:dyDescent="0.3">
      <c r="B19" s="7" t="s">
        <v>203</v>
      </c>
      <c r="C19" s="73">
        <f>SUMIF('Monthly Detail'!$4:$4, '2023 Overview'!C$11, 'Monthly Detail'!$84:$84)</f>
        <v>235.13</v>
      </c>
      <c r="D19" s="73">
        <f>SUMIF('Monthly Detail'!$4:$4, '2023 Overview'!D$11, 'Monthly Detail'!$84:$84)</f>
        <v>153.76</v>
      </c>
      <c r="E19" s="73">
        <f>SUMIF('Monthly Detail'!$4:$4, '2023 Overview'!E$11, 'Monthly Detail'!$84:$84)</f>
        <v>105.36</v>
      </c>
      <c r="F19" s="73">
        <f>SUMIF('Monthly Detail'!$4:$4, '2023 Overview'!F$11, 'Monthly Detail'!$84:$84)</f>
        <v>272.83999999999997</v>
      </c>
      <c r="G19" s="73">
        <f>SUMIF('Monthly Detail'!$4:$4, '2023 Overview'!G$11, 'Monthly Detail'!$84:$84)</f>
        <v>551</v>
      </c>
      <c r="H19" s="73">
        <f>SUMIF('Monthly Detail'!$4:$4, '2023 Overview'!H$11, 'Monthly Detail'!$84:$84)</f>
        <v>647.26</v>
      </c>
      <c r="I19" s="73">
        <f>SUMIF('Monthly Detail'!$4:$4, '2023 Overview'!I$11, 'Monthly Detail'!$84:$84)</f>
        <v>432.76</v>
      </c>
      <c r="J19" s="73">
        <f>SUMIF('Monthly Detail'!$4:$4, '2023 Overview'!J$11, 'Monthly Detail'!$84:$84)</f>
        <v>851.95</v>
      </c>
      <c r="K19" s="73">
        <f>SUMIF('Monthly Detail'!$4:$4, '2023 Overview'!K$11, 'Monthly Detail'!$84:$84)</f>
        <v>1646.3600000000001</v>
      </c>
      <c r="L19" s="73">
        <f>SUMIF('Monthly Detail'!$4:$4, '2023 Overview'!L$11, 'Monthly Detail'!$84:$84)</f>
        <v>1347.4700000000003</v>
      </c>
      <c r="M19" s="73">
        <f>SUMIF('Monthly Detail'!$4:$4, '2023 Overview'!M$11, 'Monthly Detail'!$84:$84)</f>
        <v>906.43000000000006</v>
      </c>
      <c r="N19" s="200">
        <f>SUMIF('Monthly Detail'!$4:$4, '2023 Overview'!N$11, 'Monthly Detail'!$84:$84)</f>
        <v>797.47</v>
      </c>
      <c r="P19" s="73">
        <f>SUM(C19:O19)</f>
        <v>7947.7900000000009</v>
      </c>
      <c r="T19" s="1"/>
    </row>
    <row r="20" spans="2:20" x14ac:dyDescent="0.3">
      <c r="B20" s="78" t="s">
        <v>167</v>
      </c>
      <c r="C20" s="79">
        <f t="shared" ref="C20:N20" si="3">SUM(C19:C19)</f>
        <v>235.13</v>
      </c>
      <c r="D20" s="79">
        <f t="shared" si="3"/>
        <v>153.76</v>
      </c>
      <c r="E20" s="79">
        <f t="shared" si="3"/>
        <v>105.36</v>
      </c>
      <c r="F20" s="79">
        <f t="shared" si="3"/>
        <v>272.83999999999997</v>
      </c>
      <c r="G20" s="79">
        <f t="shared" si="3"/>
        <v>551</v>
      </c>
      <c r="H20" s="79">
        <f t="shared" si="3"/>
        <v>647.26</v>
      </c>
      <c r="I20" s="79">
        <f t="shared" si="3"/>
        <v>432.76</v>
      </c>
      <c r="J20" s="79">
        <f t="shared" si="3"/>
        <v>851.95</v>
      </c>
      <c r="K20" s="79">
        <f t="shared" si="3"/>
        <v>1646.3600000000001</v>
      </c>
      <c r="L20" s="79">
        <f t="shared" si="3"/>
        <v>1347.4700000000003</v>
      </c>
      <c r="M20" s="79">
        <f t="shared" si="3"/>
        <v>906.43000000000006</v>
      </c>
      <c r="N20" s="206">
        <f t="shared" si="3"/>
        <v>797.47</v>
      </c>
      <c r="O20" s="80"/>
      <c r="P20" s="79">
        <f>SUM(P19:P19)</f>
        <v>7947.7900000000009</v>
      </c>
    </row>
    <row r="21" spans="2:20" ht="4.2" customHeight="1" x14ac:dyDescent="0.3">
      <c r="B21" s="7"/>
      <c r="N21" s="205"/>
    </row>
    <row r="22" spans="2:20" ht="15.6" x14ac:dyDescent="0.3">
      <c r="B22" s="87" t="s">
        <v>168</v>
      </c>
      <c r="C22" s="88">
        <f t="shared" ref="C22:N22" si="4">C16-C20</f>
        <v>1310.8600000000001</v>
      </c>
      <c r="D22" s="88">
        <f t="shared" si="4"/>
        <v>1101.99</v>
      </c>
      <c r="E22" s="88">
        <f t="shared" si="4"/>
        <v>1101.3900000000001</v>
      </c>
      <c r="F22" s="88">
        <f t="shared" si="4"/>
        <v>1684.5700000000002</v>
      </c>
      <c r="G22" s="88">
        <f t="shared" si="4"/>
        <v>1935.9299999999998</v>
      </c>
      <c r="H22" s="88">
        <f t="shared" si="4"/>
        <v>1396.17</v>
      </c>
      <c r="I22" s="88">
        <f t="shared" si="4"/>
        <v>2402.7399999999998</v>
      </c>
      <c r="J22" s="88">
        <f t="shared" si="4"/>
        <v>6226.71</v>
      </c>
      <c r="K22" s="88">
        <f t="shared" si="4"/>
        <v>7109.73</v>
      </c>
      <c r="L22" s="88">
        <f t="shared" si="4"/>
        <v>6848.9000000000005</v>
      </c>
      <c r="M22" s="88">
        <f t="shared" si="4"/>
        <v>4031.6899999999996</v>
      </c>
      <c r="N22" s="203">
        <f t="shared" si="4"/>
        <v>1347.03</v>
      </c>
      <c r="O22" s="77"/>
      <c r="P22" s="88">
        <f>P16-P20</f>
        <v>35889.620000000003</v>
      </c>
    </row>
    <row r="23" spans="2:20" x14ac:dyDescent="0.3">
      <c r="B23" s="89" t="s">
        <v>169</v>
      </c>
      <c r="C23" s="90">
        <f t="shared" ref="C23:N23" si="5">C22/C14</f>
        <v>0.84790975362065735</v>
      </c>
      <c r="D23" s="90">
        <f t="shared" si="5"/>
        <v>0.87755524586900258</v>
      </c>
      <c r="E23" s="90">
        <f t="shared" si="5"/>
        <v>0.91269111249223134</v>
      </c>
      <c r="F23" s="90">
        <f t="shared" si="5"/>
        <v>0.86061172672051334</v>
      </c>
      <c r="G23" s="90">
        <f t="shared" si="5"/>
        <v>0.7784416931719027</v>
      </c>
      <c r="H23" s="90">
        <f t="shared" si="5"/>
        <v>0.68324826394836136</v>
      </c>
      <c r="I23" s="90">
        <f t="shared" si="5"/>
        <v>0.84737788749779575</v>
      </c>
      <c r="J23" s="90">
        <f t="shared" si="5"/>
        <v>0.8796453000991713</v>
      </c>
      <c r="K23" s="90">
        <f t="shared" si="5"/>
        <v>0.81197543652475013</v>
      </c>
      <c r="L23" s="90">
        <f t="shared" si="5"/>
        <v>0.83560161388517107</v>
      </c>
      <c r="M23" s="90">
        <f t="shared" si="5"/>
        <v>0.81644228977829614</v>
      </c>
      <c r="N23" s="204">
        <f t="shared" si="5"/>
        <v>0.62813243180228495</v>
      </c>
      <c r="O23" s="7"/>
      <c r="P23" s="90">
        <f>P22/P14</f>
        <v>0.8186984586908761</v>
      </c>
    </row>
    <row r="24" spans="2:20" ht="4.95" customHeight="1" x14ac:dyDescent="0.3">
      <c r="B24" s="81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207"/>
      <c r="P24" s="82"/>
    </row>
    <row r="25" spans="2:20" x14ac:dyDescent="0.3">
      <c r="B25" s="7" t="s">
        <v>170</v>
      </c>
      <c r="C25" s="131">
        <f>SUMIF('Monthly Detail'!$4:$4, '2023 Overview'!C$11, 'Monthly Detail'!93:93)</f>
        <v>0</v>
      </c>
      <c r="D25" s="128">
        <f>SUMIF('Monthly Detail'!$4:$4, '2023 Overview'!D$11, 'Monthly Detail'!93:93)</f>
        <v>0</v>
      </c>
      <c r="E25" s="131">
        <f>SUMIF('Monthly Detail'!$4:$4, '2023 Overview'!E$11, 'Monthly Detail'!93:93)</f>
        <v>0</v>
      </c>
      <c r="F25" s="128">
        <f>SUMIF('Monthly Detail'!$4:$4, '2023 Overview'!F$11, 'Monthly Detail'!93:93)</f>
        <v>0.01</v>
      </c>
      <c r="G25" s="128">
        <f>SUMIF('Monthly Detail'!$4:$4, '2023 Overview'!G$11, 'Monthly Detail'!93:93)</f>
        <v>0.01</v>
      </c>
      <c r="H25" s="131">
        <f>SUMIF('Monthly Detail'!$4:$4, '2023 Overview'!H$11, 'Monthly Detail'!93:93)</f>
        <v>0.01</v>
      </c>
      <c r="I25" s="131">
        <f>SUMIF('Monthly Detail'!$4:$4, '2023 Overview'!I$11, 'Monthly Detail'!93:93)</f>
        <v>0.03</v>
      </c>
      <c r="J25" s="131">
        <f>SUMIF('Monthly Detail'!$4:$4, '2023 Overview'!J$11, 'Monthly Detail'!93:93)</f>
        <v>0.01</v>
      </c>
      <c r="K25" s="131">
        <f>SUMIF('Monthly Detail'!$4:$4, '2023 Overview'!K$11, 'Monthly Detail'!93:93)</f>
        <v>0</v>
      </c>
      <c r="L25" s="131">
        <f>SUMIF('Monthly Detail'!$4:$4, '2023 Overview'!L$11, 'Monthly Detail'!93:93)</f>
        <v>0</v>
      </c>
      <c r="M25" s="131">
        <f>SUMIF('Monthly Detail'!$4:$4, '2023 Overview'!M$11, 'Monthly Detail'!93:93)</f>
        <v>0</v>
      </c>
      <c r="N25" s="208">
        <f>SUMIF('Monthly Detail'!$4:$4, '2023 Overview'!N$11, 'Monthly Detail'!93:93)</f>
        <v>0</v>
      </c>
      <c r="O25" s="128"/>
      <c r="P25" s="112">
        <f>SUM(C25:O25)</f>
        <v>6.9999999999999993E-2</v>
      </c>
    </row>
    <row r="26" spans="2:20" ht="15.6" x14ac:dyDescent="0.3">
      <c r="B26" s="87" t="s">
        <v>16</v>
      </c>
      <c r="C26" s="88">
        <f t="shared" ref="C26:N26" si="6">C22+SUM(C25:C25)</f>
        <v>1310.8600000000001</v>
      </c>
      <c r="D26" s="88">
        <f t="shared" si="6"/>
        <v>1101.99</v>
      </c>
      <c r="E26" s="88">
        <f t="shared" si="6"/>
        <v>1101.3900000000001</v>
      </c>
      <c r="F26" s="88">
        <f t="shared" si="6"/>
        <v>1684.5800000000002</v>
      </c>
      <c r="G26" s="88">
        <f t="shared" si="6"/>
        <v>1935.9399999999998</v>
      </c>
      <c r="H26" s="88">
        <f t="shared" si="6"/>
        <v>1396.18</v>
      </c>
      <c r="I26" s="88">
        <f t="shared" si="6"/>
        <v>2402.77</v>
      </c>
      <c r="J26" s="88">
        <f t="shared" si="6"/>
        <v>6226.72</v>
      </c>
      <c r="K26" s="88">
        <f t="shared" si="6"/>
        <v>7109.73</v>
      </c>
      <c r="L26" s="88">
        <f t="shared" si="6"/>
        <v>6848.9000000000005</v>
      </c>
      <c r="M26" s="88">
        <f t="shared" si="6"/>
        <v>4031.6899999999996</v>
      </c>
      <c r="N26" s="203">
        <f t="shared" si="6"/>
        <v>1347.03</v>
      </c>
      <c r="O26" s="77"/>
      <c r="P26" s="88">
        <f>P22+SUM(P25:P25)</f>
        <v>35889.69</v>
      </c>
    </row>
    <row r="27" spans="2:20" x14ac:dyDescent="0.3">
      <c r="B27" s="89" t="s">
        <v>171</v>
      </c>
      <c r="C27" s="90">
        <f t="shared" ref="C27:N27" si="7">C26/C14</f>
        <v>0.84790975362065735</v>
      </c>
      <c r="D27" s="90">
        <f t="shared" si="7"/>
        <v>0.87755524586900258</v>
      </c>
      <c r="E27" s="90">
        <f t="shared" si="7"/>
        <v>0.91269111249223134</v>
      </c>
      <c r="F27" s="90">
        <f t="shared" si="7"/>
        <v>0.860616835512233</v>
      </c>
      <c r="G27" s="90">
        <f t="shared" si="7"/>
        <v>0.77844571419380515</v>
      </c>
      <c r="H27" s="90">
        <f t="shared" si="7"/>
        <v>0.68325315768095796</v>
      </c>
      <c r="I27" s="90">
        <f t="shared" si="7"/>
        <v>0.84738846764239106</v>
      </c>
      <c r="J27" s="90">
        <f t="shared" si="7"/>
        <v>0.87964671279592466</v>
      </c>
      <c r="K27" s="90">
        <f t="shared" si="7"/>
        <v>0.81197543652475013</v>
      </c>
      <c r="L27" s="90">
        <f t="shared" si="7"/>
        <v>0.83560161388517107</v>
      </c>
      <c r="M27" s="90">
        <f t="shared" si="7"/>
        <v>0.81644228977829614</v>
      </c>
      <c r="N27" s="204">
        <f t="shared" si="7"/>
        <v>0.62813243180228495</v>
      </c>
      <c r="O27" s="7"/>
      <c r="P27" s="90">
        <f>P26/P14</f>
        <v>0.8187000555005417</v>
      </c>
    </row>
    <row r="28" spans="2:20" ht="4.95" customHeight="1" thickBot="1" x14ac:dyDescent="0.35">
      <c r="B28" s="7"/>
      <c r="N28" s="205"/>
    </row>
    <row r="29" spans="2:20" x14ac:dyDescent="0.3">
      <c r="B29" s="83" t="s">
        <v>172</v>
      </c>
      <c r="C29" s="84">
        <f>SUMIF('Monthly Detail'!$4:$4, '2023 Overview'!C$11, 'Monthly Detail'!149:149)</f>
        <v>169.96000000000117</v>
      </c>
      <c r="D29" s="162">
        <f>SUMIF('Monthly Detail'!$4:$4, '2023 Overview'!D$11, 'Monthly Detail'!149:149)</f>
        <v>212.95000000000118</v>
      </c>
      <c r="E29" s="84">
        <f>SUMIF('Monthly Detail'!$4:$4, '2023 Overview'!E$11, 'Monthly Detail'!149:149)</f>
        <v>127.39000000000124</v>
      </c>
      <c r="F29" s="162">
        <f>SUMIF('Monthly Detail'!$4:$4, '2023 Overview'!F$11, 'Monthly Detail'!149:149)</f>
        <v>395.42000000000144</v>
      </c>
      <c r="G29" s="84">
        <f>SUMIF('Monthly Detail'!$4:$4, '2023 Overview'!G$11, 'Monthly Detail'!149:149)</f>
        <v>300.21000000000186</v>
      </c>
      <c r="H29" s="84">
        <f>SUMIF('Monthly Detail'!$4:$4, '2023 Overview'!H$11, 'Monthly Detail'!149:149)</f>
        <v>433.57000000000198</v>
      </c>
      <c r="I29" s="162">
        <f>SUMIF('Monthly Detail'!$4:$4, '2023 Overview'!I$11, 'Monthly Detail'!149:149)</f>
        <v>566.72999999999774</v>
      </c>
      <c r="J29" s="162">
        <f>SUMIF('Monthly Detail'!$4:$4, '2023 Overview'!J$11, 'Monthly Detail'!149:149)</f>
        <v>503.449999999998</v>
      </c>
      <c r="K29" s="162">
        <f>SUMIF('Monthly Detail'!$4:$4, '2023 Overview'!K$11, 'Monthly Detail'!149:149)</f>
        <v>741.17999999999756</v>
      </c>
      <c r="L29" s="162">
        <f>SUMIF('Monthly Detail'!$4:$4, '2023 Overview'!L$11, 'Monthly Detail'!149:149)</f>
        <v>653.29999999999927</v>
      </c>
      <c r="M29" s="162">
        <f>SUMIF('Monthly Detail'!$4:$4, '2023 Overview'!M$11, 'Monthly Detail'!149:149)</f>
        <v>727.48999999999887</v>
      </c>
      <c r="N29" s="209">
        <f>SUMIF('Monthly Detail'!$4:$4, '2023 Overview'!N$11, 'Monthly Detail'!149:149)</f>
        <v>997.01999999999884</v>
      </c>
    </row>
    <row r="30" spans="2:20" ht="15" thickBot="1" x14ac:dyDescent="0.35">
      <c r="B30" s="85" t="s">
        <v>173</v>
      </c>
      <c r="C30" s="86">
        <f>SUMIF('Monthly Detail'!$4:$4, '2023 Overview'!C$11, 'Monthly Detail'!146:146)</f>
        <v>225.86000000000104</v>
      </c>
      <c r="D30" s="163">
        <f>SUMIF('Monthly Detail'!$4:$4, '2023 Overview'!D$11, 'Monthly Detail'!146:146)</f>
        <v>42.990000000000009</v>
      </c>
      <c r="E30" s="86">
        <f>SUMIF('Monthly Detail'!$4:$4, '2023 Overview'!E$11, 'Monthly Detail'!146:146)</f>
        <v>-85.559999999999945</v>
      </c>
      <c r="F30" s="163">
        <f>SUMIF('Monthly Detail'!$4:$4, '2023 Overview'!F$11, 'Monthly Detail'!146:146)</f>
        <v>268.0300000000002</v>
      </c>
      <c r="G30" s="86">
        <f>SUMIF('Monthly Detail'!$4:$4, '2023 Overview'!G$11, 'Monthly Detail'!146:146)</f>
        <v>-95.209999999999582</v>
      </c>
      <c r="H30" s="86">
        <f>SUMIF('Monthly Detail'!$4:$4, '2023 Overview'!H$11, 'Monthly Detail'!146:146)</f>
        <v>133.36000000000013</v>
      </c>
      <c r="I30" s="163">
        <f>SUMIF('Monthly Detail'!$4:$4, '2023 Overview'!I$11, 'Monthly Detail'!146:146)</f>
        <v>133.15999999999576</v>
      </c>
      <c r="J30" s="163">
        <f>SUMIF('Monthly Detail'!$4:$4, '2023 Overview'!J$11, 'Monthly Detail'!146:146)</f>
        <v>-63.279999999999745</v>
      </c>
      <c r="K30" s="163">
        <f>SUMIF('Monthly Detail'!$4:$4, '2023 Overview'!K$11, 'Monthly Detail'!146:146)</f>
        <v>237.72999999999956</v>
      </c>
      <c r="L30" s="163">
        <f>SUMIF('Monthly Detail'!$4:$4, '2023 Overview'!L$11, 'Monthly Detail'!146:146)</f>
        <v>-87.87999999999829</v>
      </c>
      <c r="M30" s="163">
        <f>SUMIF('Monthly Detail'!$4:$4, '2023 Overview'!M$11, 'Monthly Detail'!146:146)</f>
        <v>74.1899999999996</v>
      </c>
      <c r="N30" s="210">
        <f>SUMIF('Monthly Detail'!$4:$4, '2023 Overview'!N$11, 'Monthly Detail'!146:146)</f>
        <v>269.52999999999997</v>
      </c>
    </row>
    <row r="31" spans="2:20" x14ac:dyDescent="0.3">
      <c r="E31" s="9"/>
    </row>
  </sheetData>
  <pageMargins left="0.25" right="0.25" top="0.75" bottom="0.75" header="0.3" footer="0.3"/>
  <pageSetup scale="6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2D64-666F-4408-A2A3-D3F056CE9A9A}">
  <sheetPr>
    <tabColor theme="1"/>
    <pageSetUpPr fitToPage="1"/>
  </sheetPr>
  <dimension ref="B8:T34"/>
  <sheetViews>
    <sheetView showGridLines="0" topLeftCell="E32" workbookViewId="0">
      <selection activeCell="B1" sqref="B1:P52"/>
    </sheetView>
  </sheetViews>
  <sheetFormatPr defaultRowHeight="14.4" x14ac:dyDescent="0.3"/>
  <cols>
    <col min="2" max="2" width="34" bestFit="1" customWidth="1"/>
    <col min="3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8" spans="2:16" ht="15.6" x14ac:dyDescent="0.3">
      <c r="B8" s="612" t="s">
        <v>263</v>
      </c>
      <c r="C8" s="612"/>
      <c r="D8" s="612"/>
      <c r="E8" s="612"/>
      <c r="F8" s="612"/>
      <c r="G8" s="612"/>
      <c r="H8" s="612"/>
      <c r="I8" s="612"/>
      <c r="J8" s="612"/>
      <c r="K8" s="612"/>
      <c r="L8" s="612"/>
      <c r="M8" s="612"/>
      <c r="N8" s="612"/>
      <c r="O8" s="612"/>
      <c r="P8" s="612"/>
    </row>
    <row r="10" spans="2:16" ht="15.6" x14ac:dyDescent="0.3">
      <c r="B10" s="250"/>
      <c r="C10" s="251" t="str">
        <f>TEXT('Monthly Detail'!D4,"mmmm")</f>
        <v>January</v>
      </c>
      <c r="D10" s="251" t="str">
        <f>TEXT('Monthly Detail'!E4,"mmmm")</f>
        <v>February</v>
      </c>
      <c r="E10" s="251" t="str">
        <f>TEXT('Monthly Detail'!F4,"mmmm")</f>
        <v>March</v>
      </c>
      <c r="F10" s="251" t="str">
        <f>TEXT('Monthly Detail'!G4,"mmmm")</f>
        <v>April</v>
      </c>
      <c r="G10" s="251" t="str">
        <f>TEXT('Monthly Detail'!H4,"mmmm")</f>
        <v>May</v>
      </c>
      <c r="H10" s="383" t="str">
        <f>TEXT('Monthly Detail'!I4,"mmmm")</f>
        <v>June</v>
      </c>
      <c r="I10" s="251" t="str">
        <f>TEXT('Monthly Detail'!J4,"mmmm")</f>
        <v>July</v>
      </c>
      <c r="J10" s="251" t="str">
        <f>TEXT('Monthly Detail'!K4,"mmmm")</f>
        <v>August</v>
      </c>
      <c r="K10" s="383" t="str">
        <f>TEXT('Monthly Detail'!L4,"mmmm")</f>
        <v>September</v>
      </c>
      <c r="L10" s="251" t="str">
        <f>TEXT('Monthly Detail'!M4,"mmmm")</f>
        <v>October</v>
      </c>
      <c r="M10" s="251" t="str">
        <f>TEXT('Monthly Detail'!N4,"mmmm")</f>
        <v>November</v>
      </c>
      <c r="N10" s="251" t="str">
        <f>TEXT('Monthly Detail'!O4,"mmmm")</f>
        <v>December</v>
      </c>
      <c r="O10" s="252"/>
      <c r="P10" s="253" t="s">
        <v>0</v>
      </c>
    </row>
    <row r="11" spans="2:16" x14ac:dyDescent="0.3">
      <c r="B11" s="254"/>
      <c r="C11" s="91">
        <v>45322</v>
      </c>
      <c r="D11" s="91">
        <v>45351</v>
      </c>
      <c r="E11" s="91">
        <v>45382</v>
      </c>
      <c r="F11" s="91">
        <v>45412</v>
      </c>
      <c r="G11" s="91">
        <v>45443</v>
      </c>
      <c r="H11" s="91">
        <v>45473</v>
      </c>
      <c r="I11" s="91">
        <v>45504</v>
      </c>
      <c r="J11" s="91">
        <v>45535</v>
      </c>
      <c r="K11" s="384">
        <v>45565</v>
      </c>
      <c r="L11" s="91">
        <v>45596</v>
      </c>
      <c r="M11" s="91">
        <v>45626</v>
      </c>
      <c r="N11" s="91">
        <v>45657</v>
      </c>
      <c r="O11" s="91">
        <v>45322</v>
      </c>
      <c r="P11" s="196"/>
    </row>
    <row r="12" spans="2:16" x14ac:dyDescent="0.3">
      <c r="B12" s="255" t="s">
        <v>60</v>
      </c>
      <c r="C12" s="73">
        <f>SUMIF('Monthly Detail'!$4:$4, '2024 Overview (Budget)'!C$11, 'Monthly Detail'!12:12)</f>
        <v>2885</v>
      </c>
      <c r="D12" s="73">
        <f>SUMIF('Monthly Detail'!$4:$4, '2024 Overview (Budget)'!D$11, 'Monthly Detail'!12:12)</f>
        <v>4357.5</v>
      </c>
      <c r="E12" s="73">
        <f>SUMIF('Monthly Detail'!$4:$4, '2024 Overview (Budget)'!E$11, 'Monthly Detail'!12:12)</f>
        <v>3467.5</v>
      </c>
      <c r="F12" s="73">
        <f>SUMIF('Monthly Detail'!$4:$4, '2024 Overview (Budget)'!F$11, 'Monthly Detail'!12:12)</f>
        <v>4000</v>
      </c>
      <c r="G12" s="73">
        <f>SUMIF('Monthly Detail'!$4:$4, '2024 Overview (Budget)'!G$11, 'Monthly Detail'!12:12)</f>
        <v>5370</v>
      </c>
      <c r="H12" s="73">
        <f>SUMIF('Monthly Detail'!$4:$4, '2024 Overview (Budget)'!H$11, 'Monthly Detail'!12:12)</f>
        <v>4296.26</v>
      </c>
      <c r="I12" s="73">
        <f>SUMIF('Monthly Detail'!$4:$4, '2024 Overview (Budget)'!I$11, 'Monthly Detail'!12:12)</f>
        <v>9031.27</v>
      </c>
      <c r="J12" s="73">
        <f>SUMIF('Monthly Detail'!$4:$4, '2024 Overview (Budget)'!J$11, 'Monthly Detail'!12:12)</f>
        <v>14073.76</v>
      </c>
      <c r="K12" s="256">
        <f>SUMIF('Monthly Detail'!$4:$4, '2024 Overview (Budget)'!K$11, 'Monthly Detail'!12:12)</f>
        <v>9897.5</v>
      </c>
      <c r="L12" s="73">
        <f>+'2024 AOP'!L12</f>
        <v>10145.197088068182</v>
      </c>
      <c r="M12" s="73">
        <f>+'2024 AOP'!M12</f>
        <v>5993.1640625</v>
      </c>
      <c r="N12" s="73">
        <f>+'2024 AOP'!N12</f>
        <v>4062.5</v>
      </c>
      <c r="O12" s="73"/>
      <c r="P12" s="256">
        <f>SUM(C12:O12)</f>
        <v>77579.651150568185</v>
      </c>
    </row>
    <row r="13" spans="2:16" x14ac:dyDescent="0.3">
      <c r="B13" s="255" t="s">
        <v>301</v>
      </c>
      <c r="C13" s="73">
        <f>SUMIF('Monthly Detail'!$4:$4, '2024 Overview (Budget)'!C$11, 'Monthly Detail'!13:13)</f>
        <v>117</v>
      </c>
      <c r="D13" s="73">
        <f>SUMIF('Monthly Detail'!$4:$4, '2024 Overview (Budget)'!D$11, 'Monthly Detail'!13:13)</f>
        <v>0</v>
      </c>
      <c r="E13" s="73">
        <f>SUMIF('Monthly Detail'!$4:$4, '2024 Overview (Budget)'!E$11, 'Monthly Detail'!13:13)</f>
        <v>12</v>
      </c>
      <c r="F13" s="73">
        <f>SUMIF('Monthly Detail'!$4:$4, '2024 Overview (Budget)'!F$11, 'Monthly Detail'!13:13)</f>
        <v>18</v>
      </c>
      <c r="G13" s="73">
        <f>SUMIF('Monthly Detail'!$4:$4, '2024 Overview (Budget)'!G$11, 'Monthly Detail'!13:13)</f>
        <v>50.08</v>
      </c>
      <c r="H13" s="73">
        <f>SUMIF('Monthly Detail'!$4:$4, '2024 Overview (Budget)'!H$11, 'Monthly Detail'!13:13)</f>
        <v>12</v>
      </c>
      <c r="I13" s="73">
        <f>SUMIF('Monthly Detail'!$4:$4, '2024 Overview (Budget)'!I$11, 'Monthly Detail'!13:13)</f>
        <v>29.62</v>
      </c>
      <c r="J13" s="73">
        <f>SUMIF('Monthly Detail'!$4:$4, '2024 Overview (Budget)'!J$11, 'Monthly Detail'!13:13)</f>
        <v>37.5</v>
      </c>
      <c r="K13" s="256">
        <f>SUMIF('Monthly Detail'!$4:$4, '2024 Overview (Budget)'!K$11, 'Monthly Detail'!13:13)</f>
        <v>0</v>
      </c>
      <c r="L13" s="73">
        <f>+'2024 AOP'!L13</f>
        <v>49.5</v>
      </c>
      <c r="M13" s="73">
        <f>+'2024 AOP'!M13</f>
        <v>49.5</v>
      </c>
      <c r="N13" s="73">
        <f>+'2024 AOP'!N13</f>
        <v>49.5</v>
      </c>
      <c r="O13" s="73"/>
      <c r="P13" s="256">
        <f>+SUM(C13:N13)</f>
        <v>424.7</v>
      </c>
    </row>
    <row r="14" spans="2:16" x14ac:dyDescent="0.3">
      <c r="B14" s="257" t="s">
        <v>7</v>
      </c>
      <c r="C14" s="74">
        <f t="shared" ref="C14:G14" si="0">SUM(C12:C13)</f>
        <v>3002</v>
      </c>
      <c r="D14" s="74">
        <f t="shared" si="0"/>
        <v>4357.5</v>
      </c>
      <c r="E14" s="74">
        <f t="shared" si="0"/>
        <v>3479.5</v>
      </c>
      <c r="F14" s="74">
        <f t="shared" si="0"/>
        <v>4018</v>
      </c>
      <c r="G14" s="74">
        <f t="shared" si="0"/>
        <v>5420.08</v>
      </c>
      <c r="H14" s="74">
        <f>SUM(H12:H13)</f>
        <v>4308.26</v>
      </c>
      <c r="I14" s="74">
        <f t="shared" ref="I14:J14" si="1">SUM(I12:I13)</f>
        <v>9060.8900000000012</v>
      </c>
      <c r="J14" s="74">
        <f t="shared" si="1"/>
        <v>14111.26</v>
      </c>
      <c r="K14" s="258">
        <f t="shared" ref="K14" si="2">SUM(K12:K13)</f>
        <v>9897.5</v>
      </c>
      <c r="L14" s="74">
        <f t="shared" ref="L14:N14" si="3">SUM(L12:L13)</f>
        <v>10194.697088068182</v>
      </c>
      <c r="M14" s="74">
        <f t="shared" si="3"/>
        <v>6042.6640625</v>
      </c>
      <c r="N14" s="258">
        <f t="shared" si="3"/>
        <v>4112</v>
      </c>
      <c r="O14" s="75"/>
      <c r="P14" s="258">
        <f>SUM(P12:P13)</f>
        <v>78004.351150568182</v>
      </c>
    </row>
    <row r="15" spans="2:16" x14ac:dyDescent="0.3">
      <c r="B15" s="543" t="s">
        <v>66</v>
      </c>
      <c r="C15" s="544">
        <f>+'Monthly Detail'!AB17</f>
        <v>16</v>
      </c>
      <c r="D15" s="544">
        <f>+'Monthly Detail'!AC17</f>
        <v>15</v>
      </c>
      <c r="E15" s="544">
        <f>+'Monthly Detail'!AD17</f>
        <v>20</v>
      </c>
      <c r="F15" s="544">
        <f>+'Monthly Detail'!AE17</f>
        <v>17</v>
      </c>
      <c r="G15" s="544">
        <f>+'Monthly Detail'!AF17</f>
        <v>20</v>
      </c>
      <c r="H15" s="544">
        <f>+'Monthly Detail'!AG17</f>
        <v>24</v>
      </c>
      <c r="I15" s="544">
        <f>+'Monthly Detail'!AH17</f>
        <v>30</v>
      </c>
      <c r="J15" s="544">
        <f>+'Monthly Detail'!AI17</f>
        <v>38</v>
      </c>
      <c r="K15" s="545">
        <f>+'Monthly Detail'!AJ17</f>
        <v>42</v>
      </c>
      <c r="L15" s="544">
        <f>+'2024 AOP'!L15</f>
        <v>38</v>
      </c>
      <c r="M15" s="544">
        <f>+'2024 AOP'!M15</f>
        <v>38</v>
      </c>
      <c r="N15" s="545">
        <f>+'2024 AOP'!N15</f>
        <v>38</v>
      </c>
      <c r="O15" s="75"/>
      <c r="P15" s="410"/>
    </row>
    <row r="16" spans="2:16" x14ac:dyDescent="0.3">
      <c r="B16" s="254"/>
      <c r="C16" s="76"/>
      <c r="D16" s="76"/>
      <c r="E16" s="76"/>
      <c r="F16" s="76"/>
      <c r="G16" s="76"/>
      <c r="H16" s="76"/>
      <c r="I16" s="76"/>
      <c r="J16" s="76"/>
      <c r="K16" s="260"/>
      <c r="L16" s="76"/>
      <c r="M16" s="76"/>
      <c r="N16" s="76"/>
      <c r="P16" s="260"/>
    </row>
    <row r="17" spans="2:20" x14ac:dyDescent="0.3">
      <c r="B17" s="254" t="s">
        <v>331</v>
      </c>
      <c r="C17" s="76">
        <f>SUMIF('Monthly Detail'!$4:$4, '2024 Overview (Budget)'!C$11, 'Monthly Detail'!62:62)</f>
        <v>0</v>
      </c>
      <c r="D17" s="76">
        <f>SUMIF('Monthly Detail'!$4:$4, '2024 Overview (Budget)'!D$11, 'Monthly Detail'!62:62)</f>
        <v>0</v>
      </c>
      <c r="E17" s="76">
        <f>SUMIF('Monthly Detail'!$4:$4, '2024 Overview (Budget)'!E$11, 'Monthly Detail'!62:62)</f>
        <v>0</v>
      </c>
      <c r="F17" s="76">
        <f>SUMIF('Monthly Detail'!$4:$4, '2024 Overview (Budget)'!F$11, 'Monthly Detail'!62:62)</f>
        <v>0</v>
      </c>
      <c r="G17" s="76">
        <f>SUMIF('Monthly Detail'!$4:$4, '2024 Overview (Budget)'!G$11, 'Monthly Detail'!62:62)</f>
        <v>0</v>
      </c>
      <c r="H17" s="76">
        <f>SUMIF('Monthly Detail'!$4:$4, '2024 Overview (Budget)'!H$11, 'Monthly Detail'!62:62)</f>
        <v>0</v>
      </c>
      <c r="I17" s="76">
        <f>SUMIF('Monthly Detail'!$4:$4, '2024 Overview (Budget)'!I$11, 'Monthly Detail'!62:62)</f>
        <v>600</v>
      </c>
      <c r="J17" s="76">
        <f>SUMIF('Monthly Detail'!$4:$4, '2024 Overview (Budget)'!J$11, 'Monthly Detail'!62:62)</f>
        <v>890</v>
      </c>
      <c r="K17" s="260">
        <f>SUMIF('Monthly Detail'!$4:$4, '2024 Overview (Budget)'!K$11, 'Monthly Detail'!62:62)</f>
        <v>335</v>
      </c>
      <c r="L17" s="76">
        <v>0</v>
      </c>
      <c r="M17" s="76">
        <v>0</v>
      </c>
      <c r="N17" s="76">
        <v>0</v>
      </c>
      <c r="P17" s="256">
        <f>SUM(C17:O17)</f>
        <v>1825</v>
      </c>
    </row>
    <row r="18" spans="2:20" ht="15.6" x14ac:dyDescent="0.3">
      <c r="B18" s="261" t="s">
        <v>165</v>
      </c>
      <c r="C18" s="88">
        <f>C14-C17</f>
        <v>3002</v>
      </c>
      <c r="D18" s="88">
        <f t="shared" ref="D18:N18" si="4">D14-D17</f>
        <v>4357.5</v>
      </c>
      <c r="E18" s="88">
        <f t="shared" si="4"/>
        <v>3479.5</v>
      </c>
      <c r="F18" s="88">
        <f t="shared" si="4"/>
        <v>4018</v>
      </c>
      <c r="G18" s="88">
        <f t="shared" si="4"/>
        <v>5420.08</v>
      </c>
      <c r="H18" s="88">
        <f t="shared" si="4"/>
        <v>4308.26</v>
      </c>
      <c r="I18" s="88">
        <f t="shared" ref="I18:J18" si="5">I14-I17</f>
        <v>8460.8900000000012</v>
      </c>
      <c r="J18" s="88">
        <f t="shared" si="5"/>
        <v>13221.26</v>
      </c>
      <c r="K18" s="263">
        <f t="shared" ref="K18" si="6">K14-K17</f>
        <v>9562.5</v>
      </c>
      <c r="L18" s="88">
        <f t="shared" si="4"/>
        <v>10194.697088068182</v>
      </c>
      <c r="M18" s="88">
        <f t="shared" si="4"/>
        <v>6042.6640625</v>
      </c>
      <c r="N18" s="88">
        <f t="shared" si="4"/>
        <v>4112</v>
      </c>
      <c r="O18" s="262"/>
      <c r="P18" s="263">
        <f>P14-P17</f>
        <v>76179.351150568182</v>
      </c>
    </row>
    <row r="19" spans="2:20" x14ac:dyDescent="0.3">
      <c r="B19" s="264" t="s">
        <v>166</v>
      </c>
      <c r="C19" s="90">
        <f>C18/C14</f>
        <v>1</v>
      </c>
      <c r="D19" s="90">
        <f t="shared" ref="D19:E19" si="7">D18/D14</f>
        <v>1</v>
      </c>
      <c r="E19" s="90">
        <f t="shared" si="7"/>
        <v>1</v>
      </c>
      <c r="F19" s="90">
        <f t="shared" ref="F19:G19" si="8">F18/F14</f>
        <v>1</v>
      </c>
      <c r="G19" s="90">
        <f t="shared" si="8"/>
        <v>1</v>
      </c>
      <c r="H19" s="90">
        <f t="shared" ref="H19:I19" si="9">H18/H14</f>
        <v>1</v>
      </c>
      <c r="I19" s="90">
        <f t="shared" si="9"/>
        <v>0.93378133936070296</v>
      </c>
      <c r="J19" s="90">
        <f t="shared" ref="J19:K19" si="10">J18/J14</f>
        <v>0.93692979932337717</v>
      </c>
      <c r="K19" s="265">
        <f t="shared" si="10"/>
        <v>0.9661530689568073</v>
      </c>
      <c r="L19" s="90">
        <f t="shared" ref="L19:N19" si="11">L18/L14</f>
        <v>1</v>
      </c>
      <c r="M19" s="90">
        <f t="shared" si="11"/>
        <v>1</v>
      </c>
      <c r="N19" s="90">
        <f t="shared" si="11"/>
        <v>1</v>
      </c>
      <c r="O19" s="7"/>
      <c r="P19" s="265">
        <f>P18/P14</f>
        <v>0.97660386923189335</v>
      </c>
    </row>
    <row r="20" spans="2:20" x14ac:dyDescent="0.3">
      <c r="B20" s="254"/>
      <c r="K20" s="196"/>
      <c r="P20" s="196"/>
    </row>
    <row r="21" spans="2:20" x14ac:dyDescent="0.3">
      <c r="B21" s="254" t="s">
        <v>279</v>
      </c>
      <c r="C21" s="73">
        <f>SUMIF('Monthly Detail'!$4:$4, '2024 Overview'!C$11, 'Monthly Detail'!$69:$69)</f>
        <v>0</v>
      </c>
      <c r="D21" s="73">
        <f>SUMIF('Monthly Detail'!$4:$4, '2024 Overview'!D$11, 'Monthly Detail'!$69:$69)</f>
        <v>1179.44</v>
      </c>
      <c r="E21" s="73">
        <f>SUMIF('Monthly Detail'!$4:$4, '2024 Overview'!E$11, 'Monthly Detail'!$69:$69)</f>
        <v>0</v>
      </c>
      <c r="F21" s="73">
        <f>SUMIF('Monthly Detail'!$4:$4, '2024 Overview'!F$11, 'Monthly Detail'!$69:$69)</f>
        <v>2400</v>
      </c>
      <c r="G21" s="73">
        <f>SUMIF('Monthly Detail'!$4:$4, '2024 Overview'!G$11, 'Monthly Detail'!$69:$69)</f>
        <v>0</v>
      </c>
      <c r="H21" s="73">
        <f>SUMIF('Monthly Detail'!$4:$4, '2024 Overview'!H$11, 'Monthly Detail'!$69:$69)</f>
        <v>665.56</v>
      </c>
      <c r="I21" s="73">
        <f>SUMIF('Monthly Detail'!$4:$4, '2024 Overview'!I$11, 'Monthly Detail'!$69:$69)</f>
        <v>0</v>
      </c>
      <c r="J21" s="73">
        <f>SUMIF('Monthly Detail'!$4:$4, '2024 Overview'!J$11, 'Monthly Detail'!$69:$69)</f>
        <v>0</v>
      </c>
      <c r="K21" s="256">
        <f>SUMIF('Monthly Detail'!$4:$4, '2024 Overview'!K$11, 'Monthly Detail'!$69:$69)</f>
        <v>0</v>
      </c>
      <c r="L21" s="73">
        <v>0</v>
      </c>
      <c r="M21" s="73">
        <v>0</v>
      </c>
      <c r="N21" s="73">
        <v>0</v>
      </c>
      <c r="P21" s="256">
        <f>SUM(C21:O21)</f>
        <v>4245</v>
      </c>
      <c r="T21" s="1"/>
    </row>
    <row r="22" spans="2:20" x14ac:dyDescent="0.3">
      <c r="B22" s="254" t="s">
        <v>203</v>
      </c>
      <c r="C22" s="73">
        <f>SUMIF('Monthly Detail'!$4:$4, '2024 Overview (Budget)'!C$11, 'Monthly Detail'!$84:$84)</f>
        <v>417.24</v>
      </c>
      <c r="D22" s="73">
        <f>SUMIF('Monthly Detail'!$4:$4, '2024 Overview (Budget)'!D$11, 'Monthly Detail'!$84:$84)</f>
        <v>436.02</v>
      </c>
      <c r="E22" s="73">
        <f>SUMIF('Monthly Detail'!$4:$4, '2024 Overview (Budget)'!E$11, 'Monthly Detail'!$84:$84)</f>
        <v>943.03</v>
      </c>
      <c r="F22" s="73">
        <f>SUMIF('Monthly Detail'!$4:$4, '2024 Overview (Budget)'!F$11, 'Monthly Detail'!$84:$84)</f>
        <v>382.79999999999995</v>
      </c>
      <c r="G22" s="73">
        <f>SUMIF('Monthly Detail'!$4:$4, '2024 Overview (Budget)'!G$11, 'Monthly Detail'!$84:$84)</f>
        <v>689.94999999999993</v>
      </c>
      <c r="H22" s="73">
        <f>SUMIF('Monthly Detail'!$4:$4, '2024 Overview (Budget)'!H$11, 'Monthly Detail'!$84:$84)</f>
        <v>913.86</v>
      </c>
      <c r="I22" s="73">
        <f>SUMIF('Monthly Detail'!$4:$4, '2024 Overview (Budget)'!I$11, 'Monthly Detail'!$84:$84)</f>
        <v>2146.7599999999998</v>
      </c>
      <c r="J22" s="73">
        <f>SUMIF('Monthly Detail'!$4:$4, '2024 Overview (Budget)'!J$11, 'Monthly Detail'!$84:$84)</f>
        <v>1446.3200000000002</v>
      </c>
      <c r="K22" s="256">
        <f>SUMIF('Monthly Detail'!$4:$4, '2024 Overview (Budget)'!K$11, 'Monthly Detail'!$84:$84)</f>
        <v>1122.71</v>
      </c>
      <c r="L22" s="73">
        <f>+'2024 AOP'!L21</f>
        <v>960.76066666666679</v>
      </c>
      <c r="M22" s="73">
        <f>+'2024 AOP'!M21</f>
        <v>810.76066666666679</v>
      </c>
      <c r="N22" s="73">
        <f>+'2024 AOP'!N21</f>
        <v>810.76066666666679</v>
      </c>
      <c r="P22" s="256">
        <f>SUM(C22:O22)</f>
        <v>11080.972</v>
      </c>
      <c r="T22" s="1"/>
    </row>
    <row r="23" spans="2:20" x14ac:dyDescent="0.3">
      <c r="B23" s="266" t="s">
        <v>167</v>
      </c>
      <c r="C23" s="79">
        <f t="shared" ref="C23" si="12">SUM(C22:C22)</f>
        <v>417.24</v>
      </c>
      <c r="D23" s="79">
        <f t="shared" ref="D23:I23" si="13">SUM(D21:D22)</f>
        <v>1615.46</v>
      </c>
      <c r="E23" s="79">
        <f t="shared" si="13"/>
        <v>943.03</v>
      </c>
      <c r="F23" s="79">
        <f t="shared" si="13"/>
        <v>2782.8</v>
      </c>
      <c r="G23" s="79">
        <f t="shared" si="13"/>
        <v>689.94999999999993</v>
      </c>
      <c r="H23" s="79">
        <f t="shared" si="13"/>
        <v>1579.42</v>
      </c>
      <c r="I23" s="79">
        <f t="shared" si="13"/>
        <v>2146.7599999999998</v>
      </c>
      <c r="J23" s="79">
        <f t="shared" ref="J23:K23" si="14">SUM(J21:J22)</f>
        <v>1446.3200000000002</v>
      </c>
      <c r="K23" s="268">
        <f t="shared" si="14"/>
        <v>1122.71</v>
      </c>
      <c r="L23" s="79">
        <f t="shared" ref="L23:N23" si="15">SUM(L21:L22)</f>
        <v>960.76066666666679</v>
      </c>
      <c r="M23" s="79">
        <f t="shared" si="15"/>
        <v>810.76066666666679</v>
      </c>
      <c r="N23" s="79">
        <f t="shared" si="15"/>
        <v>810.76066666666679</v>
      </c>
      <c r="O23" s="267"/>
      <c r="P23" s="268">
        <f>SUM(P21:P22)</f>
        <v>15325.972</v>
      </c>
    </row>
    <row r="24" spans="2:20" x14ac:dyDescent="0.3">
      <c r="B24" s="254"/>
      <c r="K24" s="196"/>
      <c r="P24" s="196"/>
    </row>
    <row r="25" spans="2:20" ht="15.6" x14ac:dyDescent="0.3">
      <c r="B25" s="261" t="s">
        <v>168</v>
      </c>
      <c r="C25" s="88">
        <f t="shared" ref="C25:N25" si="16">C18-C23</f>
        <v>2584.7600000000002</v>
      </c>
      <c r="D25" s="88">
        <f t="shared" ref="D25:I25" si="17">D18-D23</f>
        <v>2742.04</v>
      </c>
      <c r="E25" s="88">
        <f t="shared" si="17"/>
        <v>2536.4700000000003</v>
      </c>
      <c r="F25" s="88">
        <f t="shared" si="17"/>
        <v>1235.1999999999998</v>
      </c>
      <c r="G25" s="88">
        <f t="shared" si="17"/>
        <v>4730.13</v>
      </c>
      <c r="H25" s="88">
        <f t="shared" si="17"/>
        <v>2728.84</v>
      </c>
      <c r="I25" s="88">
        <f t="shared" si="17"/>
        <v>6314.130000000001</v>
      </c>
      <c r="J25" s="88">
        <f t="shared" ref="J25:K25" si="18">J18-J23</f>
        <v>11774.94</v>
      </c>
      <c r="K25" s="263">
        <f t="shared" si="18"/>
        <v>8439.7900000000009</v>
      </c>
      <c r="L25" s="88">
        <f t="shared" si="16"/>
        <v>9233.936421401515</v>
      </c>
      <c r="M25" s="88">
        <f t="shared" si="16"/>
        <v>5231.903395833333</v>
      </c>
      <c r="N25" s="88">
        <f t="shared" si="16"/>
        <v>3301.239333333333</v>
      </c>
      <c r="O25" s="262"/>
      <c r="P25" s="263">
        <f>P18-P23</f>
        <v>60853.37915056818</v>
      </c>
    </row>
    <row r="26" spans="2:20" x14ac:dyDescent="0.3">
      <c r="B26" s="264" t="s">
        <v>169</v>
      </c>
      <c r="C26" s="90">
        <f t="shared" ref="C26:N26" si="19">C25/C14</f>
        <v>0.86101265822784823</v>
      </c>
      <c r="D26" s="90">
        <f t="shared" ref="D26:E26" si="20">D25/D14</f>
        <v>0.62926907630522089</v>
      </c>
      <c r="E26" s="90">
        <f t="shared" si="20"/>
        <v>0.72897542750395183</v>
      </c>
      <c r="F26" s="90">
        <f t="shared" ref="F26:G26" si="21">F25/F14</f>
        <v>0.30741662518665996</v>
      </c>
      <c r="G26" s="90">
        <f t="shared" si="21"/>
        <v>0.87270483092500484</v>
      </c>
      <c r="H26" s="90">
        <f t="shared" ref="H26:I26" si="22">H25/H14</f>
        <v>0.6333972415778063</v>
      </c>
      <c r="I26" s="90">
        <f t="shared" si="22"/>
        <v>0.69685538617067422</v>
      </c>
      <c r="J26" s="90">
        <f t="shared" ref="J26:K26" si="23">J25/J14</f>
        <v>0.83443576264628394</v>
      </c>
      <c r="K26" s="265">
        <f t="shared" si="23"/>
        <v>0.8527193735791867</v>
      </c>
      <c r="L26" s="90">
        <f t="shared" si="19"/>
        <v>0.90575878239765106</v>
      </c>
      <c r="M26" s="90">
        <f t="shared" si="19"/>
        <v>0.86582728109971496</v>
      </c>
      <c r="N26" s="90">
        <f t="shared" si="19"/>
        <v>0.80283057717250317</v>
      </c>
      <c r="O26" s="7"/>
      <c r="P26" s="265">
        <f>P25/P14</f>
        <v>0.78012800892485756</v>
      </c>
    </row>
    <row r="27" spans="2:20" x14ac:dyDescent="0.3">
      <c r="B27" s="269"/>
      <c r="C27" s="82"/>
      <c r="D27" s="82"/>
      <c r="E27" s="82"/>
      <c r="F27" s="82"/>
      <c r="G27" s="82"/>
      <c r="H27" s="82"/>
      <c r="I27" s="82"/>
      <c r="J27" s="82"/>
      <c r="K27" s="270"/>
      <c r="L27" s="82"/>
      <c r="M27" s="82"/>
      <c r="N27" s="82"/>
      <c r="P27" s="270"/>
    </row>
    <row r="28" spans="2:20" x14ac:dyDescent="0.3">
      <c r="B28" s="254" t="s">
        <v>170</v>
      </c>
      <c r="C28" s="131">
        <f>SUMIF('Monthly Detail'!$4:$4, '2024 Overview (Budget)'!C$11, 'Monthly Detail'!98:98)</f>
        <v>0</v>
      </c>
      <c r="D28" s="131">
        <f>SUMIF('Monthly Detail'!$4:$4, '2024 Overview (Budget)'!D$11, 'Monthly Detail'!98:98)</f>
        <v>0</v>
      </c>
      <c r="E28" s="131">
        <f>SUMIF('Monthly Detail'!$4:$4, '2024 Overview (Budget)'!E$11, 'Monthly Detail'!98:98)</f>
        <v>0</v>
      </c>
      <c r="F28" s="131">
        <f>SUMIF('Monthly Detail'!$4:$4, '2024 Overview (Budget)'!F$11, 'Monthly Detail'!98:98)</f>
        <v>0</v>
      </c>
      <c r="G28" s="131">
        <f>SUMIF('Monthly Detail'!$4:$4, '2024 Overview (Budget)'!G$11, 'Monthly Detail'!98:98)</f>
        <v>0</v>
      </c>
      <c r="H28" s="131">
        <f>SUMIF('Monthly Detail'!$4:$4, '2024 Overview (Budget)'!H$11, 'Monthly Detail'!98:98)</f>
        <v>-690.26</v>
      </c>
      <c r="I28" s="131">
        <f>SUMIF('Monthly Detail'!$4:$4, '2024 Overview (Budget)'!I$11, 'Monthly Detail'!98:98)</f>
        <v>-715.26</v>
      </c>
      <c r="J28" s="131">
        <f>SUMIF('Monthly Detail'!$4:$4, '2024 Overview (Budget)'!J$11, 'Monthly Detail'!98:98)</f>
        <v>-639.19000000000005</v>
      </c>
      <c r="K28" s="385">
        <f>SUMIF('Monthly Detail'!$4:$4, '2024 Overview (Budget)'!K$11, 'Monthly Detail'!98:98)</f>
        <v>-638.92999999999995</v>
      </c>
      <c r="L28" s="131">
        <f>SUMIF('Monthly Detail'!$4:$4, '2024 Overview (Budget)'!L$11, 'Monthly Detail'!93:93)</f>
        <v>0</v>
      </c>
      <c r="M28" s="131">
        <f>SUMIF('Monthly Detail'!$4:$4, '2024 Overview (Budget)'!M$11, 'Monthly Detail'!93:93)</f>
        <v>0</v>
      </c>
      <c r="N28" s="131">
        <f>SUMIF('Monthly Detail'!$4:$4, '2024 Overview (Budget)'!N$11, 'Monthly Detail'!93:93)</f>
        <v>0</v>
      </c>
      <c r="O28" s="131"/>
      <c r="P28" s="197">
        <f>SUM(C28:O28)</f>
        <v>-2683.64</v>
      </c>
    </row>
    <row r="29" spans="2:20" ht="15.6" x14ac:dyDescent="0.3">
      <c r="B29" s="261" t="s">
        <v>16</v>
      </c>
      <c r="C29" s="88">
        <f t="shared" ref="C29:N29" si="24">C25+SUM(C28:C28)</f>
        <v>2584.7600000000002</v>
      </c>
      <c r="D29" s="88">
        <f t="shared" ref="D29:E29" si="25">D25+SUM(D28:D28)</f>
        <v>2742.04</v>
      </c>
      <c r="E29" s="88">
        <f t="shared" si="25"/>
        <v>2536.4700000000003</v>
      </c>
      <c r="F29" s="88">
        <f t="shared" ref="F29:G29" si="26">F25+SUM(F28:F28)</f>
        <v>1235.1999999999998</v>
      </c>
      <c r="G29" s="88">
        <f t="shared" si="26"/>
        <v>4730.13</v>
      </c>
      <c r="H29" s="88">
        <f t="shared" ref="H29:I29" si="27">H25+SUM(H28:H28)</f>
        <v>2038.5800000000002</v>
      </c>
      <c r="I29" s="88">
        <f t="shared" si="27"/>
        <v>5598.8700000000008</v>
      </c>
      <c r="J29" s="88">
        <f t="shared" ref="J29:K29" si="28">J25+SUM(J28:J28)</f>
        <v>11135.75</v>
      </c>
      <c r="K29" s="263">
        <f t="shared" si="28"/>
        <v>7800.8600000000006</v>
      </c>
      <c r="L29" s="88">
        <f t="shared" si="24"/>
        <v>9233.936421401515</v>
      </c>
      <c r="M29" s="88">
        <f t="shared" si="24"/>
        <v>5231.903395833333</v>
      </c>
      <c r="N29" s="88">
        <f t="shared" si="24"/>
        <v>3301.239333333333</v>
      </c>
      <c r="O29" s="262"/>
      <c r="P29" s="263">
        <f>P25+SUM(P28:P28)</f>
        <v>58169.739150568181</v>
      </c>
    </row>
    <row r="30" spans="2:20" x14ac:dyDescent="0.3">
      <c r="B30" s="264" t="s">
        <v>171</v>
      </c>
      <c r="C30" s="90">
        <f t="shared" ref="C30:N30" si="29">C29/C14</f>
        <v>0.86101265822784823</v>
      </c>
      <c r="D30" s="90">
        <f t="shared" ref="D30:E30" si="30">D29/D14</f>
        <v>0.62926907630522089</v>
      </c>
      <c r="E30" s="90">
        <f t="shared" si="30"/>
        <v>0.72897542750395183</v>
      </c>
      <c r="F30" s="90">
        <f t="shared" ref="F30:G30" si="31">F29/F14</f>
        <v>0.30741662518665996</v>
      </c>
      <c r="G30" s="90">
        <f t="shared" si="31"/>
        <v>0.87270483092500484</v>
      </c>
      <c r="H30" s="90">
        <f t="shared" ref="H30:I30" si="32">H29/H14</f>
        <v>0.47317942742545716</v>
      </c>
      <c r="I30" s="90">
        <f t="shared" si="32"/>
        <v>0.61791612082256819</v>
      </c>
      <c r="J30" s="90">
        <f t="shared" ref="J30:K30" si="33">J29/J14</f>
        <v>0.78913931144348559</v>
      </c>
      <c r="K30" s="265">
        <f t="shared" si="33"/>
        <v>0.78816468805253859</v>
      </c>
      <c r="L30" s="90">
        <f t="shared" si="29"/>
        <v>0.90575878239765106</v>
      </c>
      <c r="M30" s="90">
        <f t="shared" si="29"/>
        <v>0.86582728109971496</v>
      </c>
      <c r="N30" s="90">
        <f t="shared" si="29"/>
        <v>0.80283057717250317</v>
      </c>
      <c r="O30" s="7"/>
      <c r="P30" s="265">
        <f>P29/P14</f>
        <v>0.74572428707580463</v>
      </c>
    </row>
    <row r="31" spans="2:20" ht="15" thickBot="1" x14ac:dyDescent="0.35">
      <c r="B31" s="254"/>
      <c r="K31" s="196"/>
      <c r="P31" s="196"/>
    </row>
    <row r="32" spans="2:20" x14ac:dyDescent="0.3">
      <c r="B32" s="271" t="s">
        <v>172</v>
      </c>
      <c r="C32" s="84">
        <f>SUMIF('Monthly Detail'!$4:$4, '2024 Overview (Budget)'!C$11, 'Monthly Detail'!149:149)</f>
        <v>1291.7799999999991</v>
      </c>
      <c r="D32" s="84">
        <f>SUMIF('Monthly Detail'!$4:$4, '2024 Overview (Budget)'!D$11, 'Monthly Detail'!149:149)</f>
        <v>551.31999999999903</v>
      </c>
      <c r="E32" s="162">
        <f>SUMIF('Monthly Detail'!$4:$4, '2024 Overview (Budget)'!E$11, 'Monthly Detail'!149:149)</f>
        <v>177.78999999999928</v>
      </c>
      <c r="F32" s="162">
        <f>SUMIF('Monthly Detail'!$4:$4, '2024 Overview (Budget)'!F$11, 'Monthly Detail'!149:149)</f>
        <v>1342.9899999999991</v>
      </c>
      <c r="G32" s="162">
        <f>SUMIF('Monthly Detail'!$4:$4, '2024 Overview (Budget)'!G$11, 'Monthly Detail'!149:149)</f>
        <v>1278.089999999999</v>
      </c>
      <c r="H32" s="162">
        <f>SUMIF('Monthly Detail'!$4:$4, '2024 Overview (Budget)'!H$11, 'Monthly Detail'!149:149)</f>
        <v>1615.6999999999991</v>
      </c>
      <c r="I32" s="162">
        <f>SUMIF('Monthly Detail'!$4:$4, '2024 Overview (Budget)'!I$11, 'Monthly Detail'!149:149)</f>
        <v>3158.9800000000023</v>
      </c>
      <c r="J32" s="162">
        <f>SUMIF('Monthly Detail'!$4:$4, '2024 Overview (Budget)'!J$11, 'Monthly Detail'!149:149)</f>
        <v>3192.6000000000031</v>
      </c>
      <c r="K32" s="386">
        <f>SUMIF('Monthly Detail'!$4:$4, '2024 Overview (Budget)'!K$11, 'Monthly Detail'!149:149)</f>
        <v>4422.5200000000032</v>
      </c>
      <c r="L32" s="162">
        <f>+'2024 AOP'!L31</f>
        <v>34722.533705780268</v>
      </c>
      <c r="M32" s="84">
        <f>+'2024 AOP'!M31</f>
        <v>36536.590043550263</v>
      </c>
      <c r="N32" s="84">
        <f>+'2024 AOP'!N31</f>
        <v>38730.025353412595</v>
      </c>
      <c r="P32" s="196"/>
    </row>
    <row r="33" spans="2:16" x14ac:dyDescent="0.3">
      <c r="B33" s="272" t="s">
        <v>173</v>
      </c>
      <c r="C33" s="274">
        <f>SUMIF('Monthly Detail'!$4:$4, '2024 Overview (Budget)'!C$11, 'Monthly Detail'!146:146)</f>
        <v>294.76000000000022</v>
      </c>
      <c r="D33" s="274">
        <f>SUMIF('Monthly Detail'!$4:$4, '2024 Overview (Budget)'!D$11, 'Monthly Detail'!146:146)</f>
        <v>-740.46</v>
      </c>
      <c r="E33" s="273">
        <f>SUMIF('Monthly Detail'!$4:$4, '2024 Overview (Budget)'!E$11, 'Monthly Detail'!146:146)</f>
        <v>-373.52999999999975</v>
      </c>
      <c r="F33" s="273">
        <f>SUMIF('Monthly Detail'!$4:$4, '2024 Overview (Budget)'!F$11, 'Monthly Detail'!146:146)</f>
        <v>1165.1999999999998</v>
      </c>
      <c r="G33" s="273">
        <f>SUMIF('Monthly Detail'!$4:$4, '2024 Overview (Budget)'!G$11, 'Monthly Detail'!146:146)</f>
        <v>-64.900000000000091</v>
      </c>
      <c r="H33" s="273">
        <f>SUMIF('Monthly Detail'!$4:$4, '2024 Overview (Budget)'!H$11, 'Monthly Detail'!146:146)</f>
        <v>337.61000000000013</v>
      </c>
      <c r="I33" s="273">
        <f>SUMIF('Monthly Detail'!$4:$4, '2024 Overview (Budget)'!I$11, 'Monthly Detail'!146:146)</f>
        <v>1543.2800000000034</v>
      </c>
      <c r="J33" s="273">
        <f>SUMIF('Monthly Detail'!$4:$4, '2024 Overview (Budget)'!J$11, 'Monthly Detail'!146:146)</f>
        <v>33.6200000000008</v>
      </c>
      <c r="K33" s="387">
        <f>SUMIF('Monthly Detail'!$4:$4, '2024 Overview (Budget)'!K$11, 'Monthly Detail'!146:146)</f>
        <v>1229.92</v>
      </c>
      <c r="L33" s="273">
        <f>+'2024 AOP'!L32</f>
        <v>1709.4541630043368</v>
      </c>
      <c r="M33" s="274">
        <f>+'2024 AOP'!M32</f>
        <v>1814.0563377699918</v>
      </c>
      <c r="N33" s="274">
        <f>+'2024 AOP'!N32</f>
        <v>2193.4353098623324</v>
      </c>
      <c r="O33" s="275"/>
      <c r="P33" s="276"/>
    </row>
    <row r="34" spans="2:16" x14ac:dyDescent="0.3">
      <c r="E34" s="9"/>
    </row>
  </sheetData>
  <mergeCells count="1">
    <mergeCell ref="B8:P8"/>
  </mergeCells>
  <pageMargins left="0.25" right="0.25" top="0.75" bottom="0.75" header="0.3" footer="0.3"/>
  <pageSetup scale="66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1:T38"/>
  <sheetViews>
    <sheetView showGridLines="0" zoomScale="73" zoomScaleNormal="85" workbookViewId="0">
      <selection activeCell="N12" sqref="N12"/>
    </sheetView>
  </sheetViews>
  <sheetFormatPr defaultRowHeight="14.4" x14ac:dyDescent="0.3"/>
  <cols>
    <col min="2" max="2" width="34.6640625" bestFit="1" customWidth="1"/>
    <col min="3" max="3" width="13.6640625" bestFit="1" customWidth="1"/>
    <col min="4" max="5" width="13.5546875" bestFit="1" customWidth="1"/>
    <col min="6" max="7" width="14.109375" bestFit="1" customWidth="1"/>
    <col min="8" max="8" width="13.6640625" bestFit="1" customWidth="1"/>
    <col min="9" max="10" width="14.6640625" bestFit="1" customWidth="1"/>
    <col min="11" max="11" width="15.5546875" bestFit="1" customWidth="1"/>
    <col min="12" max="13" width="14.109375" bestFit="1" customWidth="1"/>
    <col min="14" max="14" width="14.6640625" bestFit="1" customWidth="1"/>
    <col min="15" max="15" width="0.88671875" customWidth="1"/>
    <col min="16" max="16" width="13.5546875" bestFit="1" customWidth="1"/>
  </cols>
  <sheetData>
    <row r="1" spans="2:16" x14ac:dyDescent="0.3">
      <c r="B1" t="s">
        <v>163</v>
      </c>
    </row>
    <row r="8" spans="2:16" ht="15.6" x14ac:dyDescent="0.3">
      <c r="B8" s="612" t="s">
        <v>262</v>
      </c>
      <c r="C8" s="612"/>
      <c r="D8" s="612"/>
      <c r="E8" s="612"/>
      <c r="F8" s="612"/>
      <c r="G8" s="612"/>
      <c r="H8" s="612"/>
      <c r="I8" s="612"/>
      <c r="J8" s="612"/>
      <c r="K8" s="612"/>
      <c r="L8" s="612"/>
      <c r="M8" s="612"/>
      <c r="N8" s="612"/>
      <c r="O8" s="612"/>
      <c r="P8" s="612"/>
    </row>
    <row r="9" spans="2:16" ht="1.95" customHeight="1" x14ac:dyDescent="0.3"/>
    <row r="10" spans="2:16" ht="15.6" x14ac:dyDescent="0.3">
      <c r="B10" s="250"/>
      <c r="C10" s="251" t="str">
        <f>TEXT('Monthly Detail'!D4,"mmmm")</f>
        <v>January</v>
      </c>
      <c r="D10" s="251" t="str">
        <f>TEXT('Monthly Detail'!E4,"mmmm")</f>
        <v>February</v>
      </c>
      <c r="E10" s="251" t="str">
        <f>TEXT('Monthly Detail'!F4,"mmmm")</f>
        <v>March</v>
      </c>
      <c r="F10" s="251" t="str">
        <f>TEXT('Monthly Detail'!G4,"mmmm")</f>
        <v>April</v>
      </c>
      <c r="G10" s="251" t="str">
        <f>TEXT('Monthly Detail'!H4,"mmmm")</f>
        <v>May</v>
      </c>
      <c r="H10" s="393" t="str">
        <f>TEXT('Monthly Detail'!I4,"mmmm")</f>
        <v>June</v>
      </c>
      <c r="I10" s="251" t="str">
        <f>TEXT('Monthly Detail'!J4,"mmmm")</f>
        <v>July</v>
      </c>
      <c r="J10" s="251" t="str">
        <f>TEXT('Monthly Detail'!K4,"mmmm")</f>
        <v>August</v>
      </c>
      <c r="K10" s="383" t="str">
        <f>TEXT('Monthly Detail'!L4,"mmmm")</f>
        <v>September</v>
      </c>
      <c r="L10" s="251" t="str">
        <f>TEXT('Monthly Detail'!M4,"mmmm")</f>
        <v>October</v>
      </c>
      <c r="M10" s="251" t="str">
        <f>TEXT('Monthly Detail'!N4,"mmmm")</f>
        <v>November</v>
      </c>
      <c r="N10" s="251" t="str">
        <f>TEXT('Monthly Detail'!O4,"mmmm")</f>
        <v>December</v>
      </c>
      <c r="O10" s="252"/>
      <c r="P10" s="253" t="s">
        <v>0</v>
      </c>
    </row>
    <row r="11" spans="2:16" x14ac:dyDescent="0.3">
      <c r="B11" s="254"/>
      <c r="C11" s="91">
        <v>45322</v>
      </c>
      <c r="D11" s="91">
        <v>45351</v>
      </c>
      <c r="E11" s="91">
        <v>45382</v>
      </c>
      <c r="F11" s="91">
        <v>45412</v>
      </c>
      <c r="G11" s="91">
        <v>45443</v>
      </c>
      <c r="H11" s="91">
        <v>45473</v>
      </c>
      <c r="I11" s="91">
        <v>45504</v>
      </c>
      <c r="J11" s="91">
        <v>45535</v>
      </c>
      <c r="K11" s="384">
        <v>45565</v>
      </c>
      <c r="L11" s="91">
        <v>45596</v>
      </c>
      <c r="M11" s="91">
        <v>45626</v>
      </c>
      <c r="N11" s="91">
        <v>45657</v>
      </c>
      <c r="O11" s="91">
        <v>45322</v>
      </c>
      <c r="P11" s="196"/>
    </row>
    <row r="12" spans="2:16" x14ac:dyDescent="0.3">
      <c r="B12" s="255" t="s">
        <v>60</v>
      </c>
      <c r="C12" s="73">
        <f>SUMIF('Monthly Detail'!$4:$4, '2024 Overview'!C$11, 'Monthly Detail'!12:12)</f>
        <v>2885</v>
      </c>
      <c r="D12" s="73">
        <f>SUMIF('Monthly Detail'!$4:$4, '2024 Overview'!D$11, 'Monthly Detail'!12:12)</f>
        <v>4357.5</v>
      </c>
      <c r="E12" s="73">
        <f>SUMIF('Monthly Detail'!$4:$4, '2024 Overview'!E$11, 'Monthly Detail'!12:12)</f>
        <v>3467.5</v>
      </c>
      <c r="F12" s="73">
        <f>SUMIF('Monthly Detail'!$4:$4, '2024 Overview'!F$11, 'Monthly Detail'!12:12)</f>
        <v>4000</v>
      </c>
      <c r="G12" s="73">
        <f>SUMIF('Monthly Detail'!$4:$4, '2024 Overview'!G$11, 'Monthly Detail'!12:12)</f>
        <v>5370</v>
      </c>
      <c r="H12" s="73">
        <f>SUMIF('Monthly Detail'!$4:$4, '2024 Overview'!H$11, 'Monthly Detail'!12:12)</f>
        <v>4296.26</v>
      </c>
      <c r="I12" s="73">
        <f>SUMIF('Monthly Detail'!$4:$4, '2024 Overview'!I$11, 'Monthly Detail'!12:12)</f>
        <v>9031.27</v>
      </c>
      <c r="J12" s="73">
        <f>SUMIF('Monthly Detail'!$4:$4, '2024 Overview'!J$11, 'Monthly Detail'!12:12)</f>
        <v>14073.76</v>
      </c>
      <c r="K12" s="256">
        <f>SUMIF('Monthly Detail'!$4:$4, '2024 Overview'!K$11, 'Monthly Detail'!12:12)</f>
        <v>9897.5</v>
      </c>
      <c r="L12" s="73">
        <f>SUMIF('Monthly Detail'!$4:$4, '2024 Overview'!L$11, 'Monthly Detail'!12:12)</f>
        <v>12317.914179655192</v>
      </c>
      <c r="M12" s="73">
        <f>SUMIF('Monthly Detail'!$4:$4, '2024 Overview'!M$11, 'Monthly Detail'!12:12)</f>
        <v>5646.1755380296772</v>
      </c>
      <c r="N12" s="73">
        <f>SUMIF('Monthly Detail'!$4:$4, '2024 Overview'!N$11, 'Monthly Detail'!12:12)</f>
        <v>5435.6584854427347</v>
      </c>
      <c r="O12" s="73"/>
      <c r="P12" s="256">
        <f>SUM(C12:O12)</f>
        <v>80778.538203127609</v>
      </c>
    </row>
    <row r="13" spans="2:16" x14ac:dyDescent="0.3">
      <c r="B13" s="255" t="s">
        <v>301</v>
      </c>
      <c r="C13" s="73">
        <f>SUMIF('Monthly Detail'!$4:$4, '2024 Overview'!C$11, 'Monthly Detail'!13:13)</f>
        <v>117</v>
      </c>
      <c r="D13" s="73">
        <f>SUMIF('Monthly Detail'!$4:$4, '2024 Overview'!D$11, 'Monthly Detail'!13:13)</f>
        <v>0</v>
      </c>
      <c r="E13" s="73">
        <f>SUMIF('Monthly Detail'!$4:$4, '2024 Overview'!E$11, 'Monthly Detail'!13:13)</f>
        <v>12</v>
      </c>
      <c r="F13" s="73">
        <f>SUMIF('Monthly Detail'!$4:$4, '2024 Overview'!F$11, 'Monthly Detail'!13:13)</f>
        <v>18</v>
      </c>
      <c r="G13" s="73">
        <f>SUMIF('Monthly Detail'!$4:$4, '2024 Overview'!G$11, 'Monthly Detail'!13:13)</f>
        <v>50.08</v>
      </c>
      <c r="H13" s="73">
        <f>SUMIF('Monthly Detail'!$4:$4, '2024 Overview'!H$11, 'Monthly Detail'!13:13)</f>
        <v>12</v>
      </c>
      <c r="I13" s="73">
        <f>SUMIF('Monthly Detail'!$4:$4, '2024 Overview'!I$11, 'Monthly Detail'!13:13)</f>
        <v>29.62</v>
      </c>
      <c r="J13" s="73">
        <f>SUMIF('Monthly Detail'!$4:$4, '2024 Overview'!J$11, 'Monthly Detail'!13:13)</f>
        <v>37.5</v>
      </c>
      <c r="K13" s="256">
        <f>SUMIF('Monthly Detail'!$4:$4, '2024 Overview'!K$11, 'Monthly Detail'!13:13)</f>
        <v>0</v>
      </c>
      <c r="L13" s="73">
        <f>SUMIF('Monthly Detail'!$4:$4, '2024 Overview'!L$11, 'Monthly Detail'!13:13)</f>
        <v>46.322051393310794</v>
      </c>
      <c r="M13" s="73">
        <f>SUMIF('Monthly Detail'!$4:$4, '2024 Overview'!M$11, 'Monthly Detail'!13:13)</f>
        <v>21.23268839461797</v>
      </c>
      <c r="N13" s="73">
        <f>SUMIF('Monthly Detail'!$4:$4, '2024 Overview'!N$11, 'Monthly Detail'!13:13)</f>
        <v>20.44102987298232</v>
      </c>
      <c r="O13" s="73"/>
      <c r="P13" s="256">
        <f>+SUM(C13:N13)</f>
        <v>364.19576966091108</v>
      </c>
    </row>
    <row r="14" spans="2:16" x14ac:dyDescent="0.3">
      <c r="B14" s="257" t="s">
        <v>7</v>
      </c>
      <c r="C14" s="74">
        <f>SUM(C12:C13)</f>
        <v>3002</v>
      </c>
      <c r="D14" s="74">
        <f t="shared" ref="D14:N14" si="0">SUM(D12:D13)</f>
        <v>4357.5</v>
      </c>
      <c r="E14" s="74">
        <f t="shared" si="0"/>
        <v>3479.5</v>
      </c>
      <c r="F14" s="74">
        <f t="shared" si="0"/>
        <v>4018</v>
      </c>
      <c r="G14" s="74">
        <f t="shared" si="0"/>
        <v>5420.08</v>
      </c>
      <c r="H14" s="74">
        <f t="shared" si="0"/>
        <v>4308.26</v>
      </c>
      <c r="I14" s="74">
        <f t="shared" si="0"/>
        <v>9060.8900000000012</v>
      </c>
      <c r="J14" s="74">
        <f t="shared" si="0"/>
        <v>14111.26</v>
      </c>
      <c r="K14" s="258">
        <f t="shared" si="0"/>
        <v>9897.5</v>
      </c>
      <c r="L14" s="74">
        <f t="shared" si="0"/>
        <v>12364.236231048502</v>
      </c>
      <c r="M14" s="74">
        <f t="shared" si="0"/>
        <v>5667.4082264242952</v>
      </c>
      <c r="N14" s="258">
        <f t="shared" si="0"/>
        <v>5456.0995153157173</v>
      </c>
      <c r="O14" s="75"/>
      <c r="P14" s="546">
        <f>SUM(P12:P13)</f>
        <v>81142.733972788526</v>
      </c>
    </row>
    <row r="15" spans="2:16" x14ac:dyDescent="0.3">
      <c r="B15" s="259" t="s">
        <v>66</v>
      </c>
      <c r="C15" s="233">
        <f>+'Monthly Detail'!AB17</f>
        <v>16</v>
      </c>
      <c r="D15" s="233">
        <f>+'Monthly Detail'!AC17</f>
        <v>15</v>
      </c>
      <c r="E15" s="233">
        <f>+'Monthly Detail'!AD17</f>
        <v>20</v>
      </c>
      <c r="F15" s="233">
        <f>+'Monthly Detail'!AE17</f>
        <v>17</v>
      </c>
      <c r="G15" s="233">
        <f>+'Monthly Detail'!AF17</f>
        <v>20</v>
      </c>
      <c r="H15" s="233">
        <f>+'Monthly Detail'!AG17</f>
        <v>24</v>
      </c>
      <c r="I15" s="233">
        <f>+'Monthly Detail'!AH17</f>
        <v>30</v>
      </c>
      <c r="J15" s="233">
        <f>+'Monthly Detail'!AI17</f>
        <v>38</v>
      </c>
      <c r="K15" s="398">
        <f>+'Monthly Detail'!AJ17</f>
        <v>42</v>
      </c>
      <c r="L15" s="233">
        <f>+'Monthly Detail'!AK17</f>
        <v>44</v>
      </c>
      <c r="M15" s="233">
        <f>+'Monthly Detail'!AL17</f>
        <v>37</v>
      </c>
      <c r="N15" s="398">
        <f>+'Monthly Detail'!AM17</f>
        <v>32</v>
      </c>
      <c r="O15" s="75"/>
      <c r="P15" s="260"/>
    </row>
    <row r="16" spans="2:16" x14ac:dyDescent="0.3">
      <c r="B16" s="543" t="s">
        <v>333</v>
      </c>
      <c r="C16" s="544">
        <f>+'Monthly Detail'!AB21</f>
        <v>34</v>
      </c>
      <c r="D16" s="544">
        <f>+'Monthly Detail'!AC21</f>
        <v>56</v>
      </c>
      <c r="E16" s="544">
        <f>+'Monthly Detail'!AD21</f>
        <v>36</v>
      </c>
      <c r="F16" s="544">
        <f>+'Monthly Detail'!AE21</f>
        <v>49</v>
      </c>
      <c r="G16" s="544">
        <f>+'Monthly Detail'!AF21</f>
        <v>76</v>
      </c>
      <c r="H16" s="544">
        <f>+'Monthly Detail'!AG21</f>
        <v>45</v>
      </c>
      <c r="I16" s="544">
        <f>+'Monthly Detail'!AH21</f>
        <v>118</v>
      </c>
      <c r="J16" s="544">
        <f>+'Monthly Detail'!AI21</f>
        <v>169</v>
      </c>
      <c r="K16" s="545">
        <f>+'Monthly Detail'!AJ21</f>
        <v>125</v>
      </c>
      <c r="L16" s="544">
        <f>+'Monthly Detail'!AK21</f>
        <v>164.8</v>
      </c>
      <c r="M16" s="544">
        <f>+'Monthly Detail'!AL21</f>
        <v>77.636773833266858</v>
      </c>
      <c r="N16" s="545">
        <f>+'Monthly Detail'!AM21</f>
        <v>76.737506182688492</v>
      </c>
      <c r="O16" s="75"/>
      <c r="P16" s="260"/>
    </row>
    <row r="17" spans="2:20" ht="7.2" customHeight="1" x14ac:dyDescent="0.3">
      <c r="B17" s="254"/>
      <c r="C17" s="76"/>
      <c r="D17" s="76"/>
      <c r="E17" s="76"/>
      <c r="F17" s="76"/>
      <c r="G17" s="76"/>
      <c r="H17" s="76"/>
      <c r="I17" s="76"/>
      <c r="J17" s="76"/>
      <c r="K17" s="260"/>
      <c r="L17" s="76"/>
      <c r="M17" s="76"/>
      <c r="N17" s="76"/>
      <c r="P17" s="260"/>
    </row>
    <row r="18" spans="2:20" x14ac:dyDescent="0.3">
      <c r="B18" s="254" t="s">
        <v>331</v>
      </c>
      <c r="C18" s="76">
        <f>SUMIF('Monthly Detail'!$4:$4, '2024 Overview (Budget)'!C$11, 'Monthly Detail'!62:62)</f>
        <v>0</v>
      </c>
      <c r="D18" s="76">
        <f>SUMIF('Monthly Detail'!$4:$4, '2024 Overview (Budget)'!D$11, 'Monthly Detail'!62:62)</f>
        <v>0</v>
      </c>
      <c r="E18" s="76">
        <f>SUMIF('Monthly Detail'!$4:$4, '2024 Overview (Budget)'!E$11, 'Monthly Detail'!62:62)</f>
        <v>0</v>
      </c>
      <c r="F18" s="76">
        <f>SUMIF('Monthly Detail'!$4:$4, '2024 Overview (Budget)'!F$11, 'Monthly Detail'!62:62)</f>
        <v>0</v>
      </c>
      <c r="G18" s="76">
        <f>SUMIF('Monthly Detail'!$4:$4, '2024 Overview (Budget)'!G$11, 'Monthly Detail'!62:62)</f>
        <v>0</v>
      </c>
      <c r="H18" s="76">
        <f>SUMIF('Monthly Detail'!$4:$4, '2024 Overview (Budget)'!H$11, 'Monthly Detail'!62:62)</f>
        <v>0</v>
      </c>
      <c r="I18" s="76">
        <f>SUMIF('Monthly Detail'!$4:$4, '2024 Overview (Budget)'!I$11, 'Monthly Detail'!62:62)</f>
        <v>600</v>
      </c>
      <c r="J18" s="76">
        <f>SUMIF('Monthly Detail'!$4:$4, '2024 Overview (Budget)'!J$11, 'Monthly Detail'!62:62)</f>
        <v>890</v>
      </c>
      <c r="K18" s="260">
        <f>SUMIF('Monthly Detail'!$4:$4, '2024 Overview (Budget)'!K$11, 'Monthly Detail'!62:62)</f>
        <v>335</v>
      </c>
      <c r="L18" s="76">
        <f>SUMIF('Monthly Detail'!$4:$4, '2024 Overview (Budget)'!L$11, 'Monthly Detail'!62:62)</f>
        <v>4062.5687499999999</v>
      </c>
      <c r="M18" s="76">
        <f>SUMIF('Monthly Detail'!$4:$4, '2024 Overview (Budget)'!M$11, 'Monthly Detail'!62:62)</f>
        <v>519.59999999999991</v>
      </c>
      <c r="N18" s="76">
        <f>SUMIF('Monthly Detail'!$4:$4, '2024 Overview (Budget)'!N$11, 'Monthly Detail'!62:62)</f>
        <v>519.59999999999991</v>
      </c>
      <c r="P18" s="256">
        <f>SUM(C18:O18)</f>
        <v>6926.7687500000011</v>
      </c>
    </row>
    <row r="19" spans="2:20" ht="15.6" x14ac:dyDescent="0.3">
      <c r="B19" s="261" t="s">
        <v>165</v>
      </c>
      <c r="C19" s="88">
        <f t="shared" ref="C19:N19" si="1">C14-C18</f>
        <v>3002</v>
      </c>
      <c r="D19" s="88">
        <f t="shared" si="1"/>
        <v>4357.5</v>
      </c>
      <c r="E19" s="88">
        <f t="shared" si="1"/>
        <v>3479.5</v>
      </c>
      <c r="F19" s="88">
        <f t="shared" si="1"/>
        <v>4018</v>
      </c>
      <c r="G19" s="88">
        <f t="shared" si="1"/>
        <v>5420.08</v>
      </c>
      <c r="H19" s="88">
        <f t="shared" si="1"/>
        <v>4308.26</v>
      </c>
      <c r="I19" s="88">
        <f t="shared" si="1"/>
        <v>8460.8900000000012</v>
      </c>
      <c r="J19" s="88">
        <f t="shared" si="1"/>
        <v>13221.26</v>
      </c>
      <c r="K19" s="263">
        <f t="shared" si="1"/>
        <v>9562.5</v>
      </c>
      <c r="L19" s="88">
        <f t="shared" si="1"/>
        <v>8301.6674810485019</v>
      </c>
      <c r="M19" s="88">
        <f t="shared" si="1"/>
        <v>5147.8082264242948</v>
      </c>
      <c r="N19" s="263">
        <f t="shared" si="1"/>
        <v>4936.4995153157179</v>
      </c>
      <c r="O19" s="262"/>
      <c r="P19" s="550">
        <f>P14-P18</f>
        <v>74215.965222788524</v>
      </c>
    </row>
    <row r="20" spans="2:20" x14ac:dyDescent="0.3">
      <c r="B20" s="547" t="s">
        <v>166</v>
      </c>
      <c r="C20" s="548">
        <f t="shared" ref="C20:N20" si="2">C19/C14</f>
        <v>1</v>
      </c>
      <c r="D20" s="548">
        <f t="shared" si="2"/>
        <v>1</v>
      </c>
      <c r="E20" s="548">
        <f t="shared" si="2"/>
        <v>1</v>
      </c>
      <c r="F20" s="548">
        <f t="shared" si="2"/>
        <v>1</v>
      </c>
      <c r="G20" s="548">
        <f t="shared" si="2"/>
        <v>1</v>
      </c>
      <c r="H20" s="548">
        <f t="shared" si="2"/>
        <v>1</v>
      </c>
      <c r="I20" s="548">
        <f t="shared" si="2"/>
        <v>0.93378133936070296</v>
      </c>
      <c r="J20" s="548">
        <f t="shared" si="2"/>
        <v>0.93692979932337717</v>
      </c>
      <c r="K20" s="549">
        <f t="shared" si="2"/>
        <v>0.9661530689568073</v>
      </c>
      <c r="L20" s="548">
        <f t="shared" si="2"/>
        <v>0.67142582250262539</v>
      </c>
      <c r="M20" s="548">
        <f t="shared" si="2"/>
        <v>0.90831788019480142</v>
      </c>
      <c r="N20" s="549">
        <f t="shared" si="2"/>
        <v>0.90476713290484534</v>
      </c>
      <c r="O20" s="7"/>
      <c r="P20" s="551">
        <f>P19/P14</f>
        <v>0.91463476258610021</v>
      </c>
    </row>
    <row r="21" spans="2:20" ht="6.6" customHeight="1" x14ac:dyDescent="0.3">
      <c r="B21" s="254"/>
      <c r="K21" s="196"/>
      <c r="P21" s="196"/>
    </row>
    <row r="22" spans="2:20" x14ac:dyDescent="0.3">
      <c r="B22" s="254" t="s">
        <v>279</v>
      </c>
      <c r="C22" s="73">
        <f>SUMIF('Monthly Detail'!$4:$4, '2024 Overview'!C$11, 'Monthly Detail'!$69:$69)</f>
        <v>0</v>
      </c>
      <c r="D22" s="73">
        <f>SUMIF('Monthly Detail'!$4:$4, '2024 Overview'!D$11, 'Monthly Detail'!$69:$69)</f>
        <v>1179.44</v>
      </c>
      <c r="E22" s="73">
        <f>SUMIF('Monthly Detail'!$4:$4, '2024 Overview'!E$11, 'Monthly Detail'!$69:$69)</f>
        <v>0</v>
      </c>
      <c r="F22" s="73">
        <f>SUMIF('Monthly Detail'!$4:$4, '2024 Overview'!F$11, 'Monthly Detail'!$69:$69)</f>
        <v>2400</v>
      </c>
      <c r="G22" s="73">
        <f>SUMIF('Monthly Detail'!$4:$4, '2024 Overview'!G$11, 'Monthly Detail'!$69:$69)</f>
        <v>0</v>
      </c>
      <c r="H22" s="73">
        <f>SUMIF('Monthly Detail'!$4:$4, '2024 Overview'!H$11, 'Monthly Detail'!$69:$69)</f>
        <v>665.56</v>
      </c>
      <c r="I22" s="73">
        <f>SUMIF('Monthly Detail'!$4:$4, '2024 Overview'!I$11, 'Monthly Detail'!$69:$69)</f>
        <v>0</v>
      </c>
      <c r="J22" s="73">
        <f>SUMIF('Monthly Detail'!$4:$4, '2024 Overview'!J$11, 'Monthly Detail'!$69:$69)</f>
        <v>0</v>
      </c>
      <c r="K22" s="256">
        <f>SUMIF('Monthly Detail'!$4:$4, '2024 Overview'!K$11, 'Monthly Detail'!$69:$69)</f>
        <v>0</v>
      </c>
      <c r="L22" s="73">
        <f>SUMIF('Monthly Detail'!$4:$4, '2024 Overview'!L$11, 'Monthly Detail'!$69:$69)</f>
        <v>1400</v>
      </c>
      <c r="M22" s="73">
        <f>SUMIF('Monthly Detail'!$4:$4, '2024 Overview'!M$11, 'Monthly Detail'!$69:$69)</f>
        <v>0</v>
      </c>
      <c r="N22" s="73">
        <f>SUMIF('Monthly Detail'!$4:$4, '2024 Overview'!N$11, 'Monthly Detail'!$69:$69)</f>
        <v>0</v>
      </c>
      <c r="P22" s="256">
        <f>SUM(C22:O22)</f>
        <v>5645</v>
      </c>
      <c r="T22" s="1"/>
    </row>
    <row r="23" spans="2:20" x14ac:dyDescent="0.3">
      <c r="B23" s="254" t="s">
        <v>203</v>
      </c>
      <c r="C23" s="73">
        <f>SUMIF('Monthly Detail'!$4:$4, '2024 Overview'!C$11, 'Monthly Detail'!$84:$84)</f>
        <v>417.24</v>
      </c>
      <c r="D23" s="73">
        <f>SUMIF('Monthly Detail'!$4:$4, '2024 Overview'!D$11, 'Monthly Detail'!$84:$84)</f>
        <v>436.02</v>
      </c>
      <c r="E23" s="73">
        <f>SUMIF('Monthly Detail'!$4:$4, '2024 Overview'!E$11, 'Monthly Detail'!$84:$84)</f>
        <v>943.03</v>
      </c>
      <c r="F23" s="73">
        <f>SUMIF('Monthly Detail'!$4:$4, '2024 Overview'!F$11, 'Monthly Detail'!$84:$84)</f>
        <v>382.79999999999995</v>
      </c>
      <c r="G23" s="73">
        <f>SUMIF('Monthly Detail'!$4:$4, '2024 Overview'!G$11, 'Monthly Detail'!$84:$84)</f>
        <v>689.94999999999993</v>
      </c>
      <c r="H23" s="73">
        <f>SUMIF('Monthly Detail'!$4:$4, '2024 Overview'!H$11, 'Monthly Detail'!$84:$84)</f>
        <v>913.86</v>
      </c>
      <c r="I23" s="73">
        <f>SUMIF('Monthly Detail'!$4:$4, '2024 Overview'!I$11, 'Monthly Detail'!$84:$84)</f>
        <v>2146.7599999999998</v>
      </c>
      <c r="J23" s="73">
        <f>SUMIF('Monthly Detail'!$4:$4, '2024 Overview'!J$11, 'Monthly Detail'!$84:$84)</f>
        <v>1446.3200000000002</v>
      </c>
      <c r="K23" s="256">
        <f>SUMIF('Monthly Detail'!$4:$4, '2024 Overview'!K$11, 'Monthly Detail'!$84:$84)</f>
        <v>1122.71</v>
      </c>
      <c r="L23" s="73">
        <f>SUMIF('Monthly Detail'!$4:$4, '2024 Overview'!L$11, 'Monthly Detail'!$84:$84)</f>
        <v>2120.9907473039175</v>
      </c>
      <c r="M23" s="73">
        <f>SUMIF('Monthly Detail'!$4:$4, '2024 Overview'!M$11, 'Monthly Detail'!$84:$84)</f>
        <v>1925.7981097828197</v>
      </c>
      <c r="N23" s="73">
        <f>SUMIF('Monthly Detail'!$4:$4, '2024 Overview'!N$11, 'Monthly Detail'!$84:$84)</f>
        <v>1919.6390887322586</v>
      </c>
      <c r="P23" s="256">
        <f>SUM(C23:O23)</f>
        <v>14465.117945818994</v>
      </c>
    </row>
    <row r="24" spans="2:20" x14ac:dyDescent="0.3">
      <c r="B24" s="552" t="s">
        <v>167</v>
      </c>
      <c r="C24" s="553">
        <f t="shared" ref="C24" si="3">SUM(C23:C23)</f>
        <v>417.24</v>
      </c>
      <c r="D24" s="553">
        <f>SUM(D22:D23)</f>
        <v>1615.46</v>
      </c>
      <c r="E24" s="553">
        <f t="shared" ref="E24:N24" si="4">SUM(E22:E23)</f>
        <v>943.03</v>
      </c>
      <c r="F24" s="553">
        <f t="shared" si="4"/>
        <v>2782.8</v>
      </c>
      <c r="G24" s="553">
        <f t="shared" si="4"/>
        <v>689.94999999999993</v>
      </c>
      <c r="H24" s="553">
        <f t="shared" si="4"/>
        <v>1579.42</v>
      </c>
      <c r="I24" s="553">
        <f t="shared" si="4"/>
        <v>2146.7599999999998</v>
      </c>
      <c r="J24" s="553">
        <f t="shared" si="4"/>
        <v>1446.3200000000002</v>
      </c>
      <c r="K24" s="554">
        <f t="shared" si="4"/>
        <v>1122.71</v>
      </c>
      <c r="L24" s="553">
        <f t="shared" si="4"/>
        <v>3520.9907473039175</v>
      </c>
      <c r="M24" s="553">
        <f t="shared" si="4"/>
        <v>1925.7981097828197</v>
      </c>
      <c r="N24" s="554">
        <f t="shared" si="4"/>
        <v>1919.6390887322586</v>
      </c>
      <c r="O24" s="267"/>
      <c r="P24" s="555">
        <f>SUM(P22:P23)</f>
        <v>20110.117945818994</v>
      </c>
    </row>
    <row r="25" spans="2:20" ht="4.95" customHeight="1" x14ac:dyDescent="0.3">
      <c r="B25" s="254"/>
      <c r="K25" s="196"/>
      <c r="P25" s="196"/>
    </row>
    <row r="26" spans="2:20" ht="15.6" x14ac:dyDescent="0.3">
      <c r="B26" s="261" t="s">
        <v>168</v>
      </c>
      <c r="C26" s="88">
        <f t="shared" ref="C26:N26" si="5">C19-C24</f>
        <v>2584.7600000000002</v>
      </c>
      <c r="D26" s="88">
        <f>D19-D24</f>
        <v>2742.04</v>
      </c>
      <c r="E26" s="88">
        <f t="shared" si="5"/>
        <v>2536.4700000000003</v>
      </c>
      <c r="F26" s="88">
        <f t="shared" si="5"/>
        <v>1235.1999999999998</v>
      </c>
      <c r="G26" s="88">
        <f t="shared" si="5"/>
        <v>4730.13</v>
      </c>
      <c r="H26" s="88">
        <f t="shared" si="5"/>
        <v>2728.84</v>
      </c>
      <c r="I26" s="88">
        <f t="shared" si="5"/>
        <v>6314.130000000001</v>
      </c>
      <c r="J26" s="88">
        <f t="shared" si="5"/>
        <v>11774.94</v>
      </c>
      <c r="K26" s="263">
        <f t="shared" si="5"/>
        <v>8439.7900000000009</v>
      </c>
      <c r="L26" s="88">
        <f t="shared" si="5"/>
        <v>4780.6767337445845</v>
      </c>
      <c r="M26" s="88">
        <f t="shared" si="5"/>
        <v>3222.0101166414752</v>
      </c>
      <c r="N26" s="263">
        <f t="shared" si="5"/>
        <v>3016.8604265834592</v>
      </c>
      <c r="O26" s="262"/>
      <c r="P26" s="550">
        <f>P19-P24</f>
        <v>54105.847276969529</v>
      </c>
    </row>
    <row r="27" spans="2:20" x14ac:dyDescent="0.3">
      <c r="B27" s="547" t="s">
        <v>169</v>
      </c>
      <c r="C27" s="548">
        <f t="shared" ref="C27:N27" si="6">C26/C14</f>
        <v>0.86101265822784823</v>
      </c>
      <c r="D27" s="548">
        <f t="shared" si="6"/>
        <v>0.62926907630522089</v>
      </c>
      <c r="E27" s="548">
        <f t="shared" si="6"/>
        <v>0.72897542750395183</v>
      </c>
      <c r="F27" s="548">
        <f t="shared" si="6"/>
        <v>0.30741662518665996</v>
      </c>
      <c r="G27" s="548">
        <f t="shared" si="6"/>
        <v>0.87270483092500484</v>
      </c>
      <c r="H27" s="548">
        <f t="shared" si="6"/>
        <v>0.6333972415778063</v>
      </c>
      <c r="I27" s="548">
        <f t="shared" si="6"/>
        <v>0.69685538617067422</v>
      </c>
      <c r="J27" s="548">
        <f t="shared" si="6"/>
        <v>0.83443576264628394</v>
      </c>
      <c r="K27" s="549">
        <f t="shared" si="6"/>
        <v>0.8527193735791867</v>
      </c>
      <c r="L27" s="548">
        <f t="shared" si="6"/>
        <v>0.38665362295000222</v>
      </c>
      <c r="M27" s="548">
        <f t="shared" si="6"/>
        <v>0.56851562264720068</v>
      </c>
      <c r="N27" s="549">
        <f t="shared" si="6"/>
        <v>0.55293354128070527</v>
      </c>
      <c r="O27" s="7"/>
      <c r="P27" s="551">
        <f>P26/P14</f>
        <v>0.6667984257852847</v>
      </c>
    </row>
    <row r="28" spans="2:20" ht="7.95" customHeight="1" x14ac:dyDescent="0.3">
      <c r="B28" s="269"/>
      <c r="C28" s="82"/>
      <c r="D28" s="82"/>
      <c r="E28" s="82"/>
      <c r="F28" s="82"/>
      <c r="G28" s="82"/>
      <c r="H28" s="82"/>
      <c r="I28" s="82"/>
      <c r="J28" s="82"/>
      <c r="K28" s="270"/>
      <c r="L28" s="82"/>
      <c r="M28" s="82"/>
      <c r="N28" s="82"/>
      <c r="P28" s="270"/>
    </row>
    <row r="29" spans="2:20" x14ac:dyDescent="0.3">
      <c r="B29" s="254" t="s">
        <v>170</v>
      </c>
      <c r="C29" s="131">
        <f>SUMIF('Monthly Detail'!$4:$4, '2024 Overview'!C$11, 'Monthly Detail'!98:98)</f>
        <v>0</v>
      </c>
      <c r="D29" s="131">
        <f>SUMIF('Monthly Detail'!$4:$4, '2024 Overview'!D$11, 'Monthly Detail'!98:98)</f>
        <v>0</v>
      </c>
      <c r="E29" s="131">
        <f>SUMIF('Monthly Detail'!$4:$4, '2024 Overview'!E$11, 'Monthly Detail'!98:98)</f>
        <v>0</v>
      </c>
      <c r="F29" s="131">
        <f>SUMIF('Monthly Detail'!$4:$4, '2024 Overview'!F$11, 'Monthly Detail'!98:98)</f>
        <v>0</v>
      </c>
      <c r="G29" s="131">
        <f>SUMIF('Monthly Detail'!$4:$4, '2024 Overview'!G$11, 'Monthly Detail'!98:98)</f>
        <v>0</v>
      </c>
      <c r="H29" s="131">
        <f>SUMIF('Monthly Detail'!$4:$4, '2024 Overview'!H$11, 'Monthly Detail'!98:98)</f>
        <v>-690.26</v>
      </c>
      <c r="I29" s="131">
        <f>SUMIF('Monthly Detail'!$4:$4, '2024 Overview'!I$11, 'Monthly Detail'!98:98)</f>
        <v>-715.26</v>
      </c>
      <c r="J29" s="131">
        <f>SUMIF('Monthly Detail'!$4:$4, '2024 Overview'!J$11, 'Monthly Detail'!98:98)</f>
        <v>-639.19000000000005</v>
      </c>
      <c r="K29" s="385">
        <f>SUMIF('Monthly Detail'!$4:$4, '2024 Overview'!K$11, 'Monthly Detail'!98:98)</f>
        <v>-638.92999999999995</v>
      </c>
      <c r="L29" s="131">
        <f>SUMIF('Monthly Detail'!$4:$4, '2024 Overview'!L$11, 'Monthly Detail'!98:98)</f>
        <v>-639.62</v>
      </c>
      <c r="M29" s="131">
        <f>SUMIF('Monthly Detail'!$4:$4, '2024 Overview'!M$11, 'Monthly Detail'!98:98)</f>
        <v>-639.62</v>
      </c>
      <c r="N29" s="131">
        <f>SUMIF('Monthly Detail'!$4:$4, '2024 Overview'!N$11, 'Monthly Detail'!98:98)</f>
        <v>-639.62</v>
      </c>
      <c r="O29" s="131"/>
      <c r="P29" s="197">
        <f>SUM(C29:O29)</f>
        <v>-4602.5</v>
      </c>
    </row>
    <row r="30" spans="2:20" ht="15.6" x14ac:dyDescent="0.3">
      <c r="B30" s="261" t="s">
        <v>16</v>
      </c>
      <c r="C30" s="88">
        <f t="shared" ref="C30:N30" si="7">C26+SUM(C29:C29)</f>
        <v>2584.7600000000002</v>
      </c>
      <c r="D30" s="88">
        <f t="shared" si="7"/>
        <v>2742.04</v>
      </c>
      <c r="E30" s="88">
        <f t="shared" si="7"/>
        <v>2536.4700000000003</v>
      </c>
      <c r="F30" s="88">
        <f t="shared" si="7"/>
        <v>1235.1999999999998</v>
      </c>
      <c r="G30" s="88">
        <f t="shared" si="7"/>
        <v>4730.13</v>
      </c>
      <c r="H30" s="88">
        <f t="shared" si="7"/>
        <v>2038.5800000000002</v>
      </c>
      <c r="I30" s="88">
        <f t="shared" si="7"/>
        <v>5598.8700000000008</v>
      </c>
      <c r="J30" s="88">
        <f t="shared" si="7"/>
        <v>11135.75</v>
      </c>
      <c r="K30" s="263">
        <f t="shared" si="7"/>
        <v>7800.8600000000006</v>
      </c>
      <c r="L30" s="88">
        <f t="shared" si="7"/>
        <v>4141.0567337445846</v>
      </c>
      <c r="M30" s="88">
        <f t="shared" si="7"/>
        <v>2582.3901166414753</v>
      </c>
      <c r="N30" s="263">
        <f t="shared" si="7"/>
        <v>2377.2404265834593</v>
      </c>
      <c r="O30" s="262"/>
      <c r="P30" s="550">
        <f>P26+SUM(P29:P29)</f>
        <v>49503.347276969529</v>
      </c>
    </row>
    <row r="31" spans="2:20" x14ac:dyDescent="0.3">
      <c r="B31" s="264" t="s">
        <v>171</v>
      </c>
      <c r="C31" s="90">
        <f t="shared" ref="C31:N31" si="8">C30/C14</f>
        <v>0.86101265822784823</v>
      </c>
      <c r="D31" s="90">
        <f t="shared" si="8"/>
        <v>0.62926907630522089</v>
      </c>
      <c r="E31" s="90">
        <f t="shared" si="8"/>
        <v>0.72897542750395183</v>
      </c>
      <c r="F31" s="90">
        <f t="shared" si="8"/>
        <v>0.30741662518665996</v>
      </c>
      <c r="G31" s="90">
        <f t="shared" si="8"/>
        <v>0.87270483092500484</v>
      </c>
      <c r="H31" s="90">
        <f t="shared" si="8"/>
        <v>0.47317942742545716</v>
      </c>
      <c r="I31" s="90">
        <f t="shared" si="8"/>
        <v>0.61791612082256819</v>
      </c>
      <c r="J31" s="90">
        <f t="shared" si="8"/>
        <v>0.78913931144348559</v>
      </c>
      <c r="K31" s="265">
        <f t="shared" si="8"/>
        <v>0.78816468805253859</v>
      </c>
      <c r="L31" s="90">
        <f t="shared" si="8"/>
        <v>0.33492216230435268</v>
      </c>
      <c r="M31" s="90">
        <f t="shared" si="8"/>
        <v>0.45565627416798377</v>
      </c>
      <c r="N31" s="265">
        <f t="shared" si="8"/>
        <v>0.43570327482304</v>
      </c>
      <c r="O31" s="7"/>
      <c r="P31" s="559">
        <f>P30/P14</f>
        <v>0.6100773889818728</v>
      </c>
    </row>
    <row r="32" spans="2:20" x14ac:dyDescent="0.3">
      <c r="B32" s="264" t="s">
        <v>286</v>
      </c>
      <c r="C32" s="313">
        <f>+'Monthly Detail'!AB127-'Monthly Detail'!AA127</f>
        <v>0</v>
      </c>
      <c r="D32" s="313">
        <f>+'Monthly Detail'!AC127-'Monthly Detail'!AB127</f>
        <v>0</v>
      </c>
      <c r="E32" s="313">
        <f>+'Monthly Detail'!AD127-'Monthly Detail'!AC127</f>
        <v>0</v>
      </c>
      <c r="F32" s="313">
        <f>+'Monthly Detail'!AE127-'Monthly Detail'!AD127</f>
        <v>2400</v>
      </c>
      <c r="G32" s="313">
        <f>+'Monthly Detail'!AF127-'Monthly Detail'!AE127</f>
        <v>0</v>
      </c>
      <c r="H32" s="313">
        <f>+'Monthly Detail'!AG127-'Monthly Detail'!AF127</f>
        <v>0</v>
      </c>
      <c r="I32" s="313">
        <f>+'Monthly Detail'!AH127-'Monthly Detail'!AG127</f>
        <v>0</v>
      </c>
      <c r="J32" s="313">
        <f>+'Monthly Detail'!AI127-'Monthly Detail'!AH127</f>
        <v>0</v>
      </c>
      <c r="K32" s="314">
        <f>+'Monthly Detail'!AJ127-'Monthly Detail'!AI127</f>
        <v>0</v>
      </c>
      <c r="L32" s="313">
        <f>+'Monthly Detail'!AK127-'Monthly Detail'!AJ127</f>
        <v>0</v>
      </c>
      <c r="M32" s="313">
        <f>+'Monthly Detail'!AL127-'Monthly Detail'!AK127</f>
        <v>0</v>
      </c>
      <c r="N32" s="314">
        <f>+'Monthly Detail'!AM127-'Monthly Detail'!AL127</f>
        <v>0</v>
      </c>
      <c r="O32" s="7"/>
      <c r="P32" s="560">
        <f>+SUM(C32:N32)</f>
        <v>2400</v>
      </c>
    </row>
    <row r="33" spans="2:16" x14ac:dyDescent="0.3">
      <c r="B33" s="264" t="s">
        <v>307</v>
      </c>
      <c r="C33" s="313">
        <f>+'Monthly Detail'!AB128-'Monthly Detail'!AA128</f>
        <v>-1900</v>
      </c>
      <c r="D33" s="313">
        <f>+'Monthly Detail'!AC128-'Monthly Detail'!AB128</f>
        <v>-3325</v>
      </c>
      <c r="E33" s="313">
        <f>+'Monthly Detail'!AD128-'Monthly Detail'!AC128</f>
        <v>-3220</v>
      </c>
      <c r="F33" s="313">
        <f>+'Monthly Detail'!AE128-'Monthly Detail'!AD128</f>
        <v>-2325</v>
      </c>
      <c r="G33" s="313">
        <f>+'Monthly Detail'!AF128-'Monthly Detail'!AE128</f>
        <v>-4100</v>
      </c>
      <c r="H33" s="313">
        <f>+'Monthly Detail'!AG128-'Monthly Detail'!AF128</f>
        <v>-2750</v>
      </c>
      <c r="I33" s="313">
        <f>+'Monthly Detail'!AH128-'Monthly Detail'!AG128</f>
        <v>-2903.9499999999971</v>
      </c>
      <c r="J33" s="313">
        <f>+'Monthly Detail'!AI128-'Monthly Detail'!AH128</f>
        <v>-9775</v>
      </c>
      <c r="K33" s="314">
        <f>+'Monthly Detail'!AJ128-'Monthly Detail'!AI128</f>
        <v>-6767.5</v>
      </c>
      <c r="L33" s="313">
        <f>+'Monthly Detail'!AK128-'Monthly Detail'!AJ128</f>
        <v>-2898.7397136212094</v>
      </c>
      <c r="M33" s="313">
        <f>+'Monthly Detail'!AL128-'Monthly Detail'!AK128</f>
        <v>-1807.6730816490308</v>
      </c>
      <c r="N33" s="314">
        <f>+'Monthly Detail'!AM128-'Monthly Detail'!AL128</f>
        <v>-1664.0682986084284</v>
      </c>
      <c r="O33" s="7"/>
      <c r="P33" s="560">
        <f>+SUM(C33:N33)</f>
        <v>-43436.931093878666</v>
      </c>
    </row>
    <row r="34" spans="2:16" x14ac:dyDescent="0.3">
      <c r="B34" s="547" t="s">
        <v>306</v>
      </c>
      <c r="C34" s="556">
        <f>+C30*0.3</f>
        <v>775.428</v>
      </c>
      <c r="D34" s="556">
        <f>+C34+(D26*0.3)</f>
        <v>1598.04</v>
      </c>
      <c r="E34" s="556">
        <f t="shared" ref="E34:N34" si="9">+D34+(E26*0.3)</f>
        <v>2358.9809999999998</v>
      </c>
      <c r="F34" s="556">
        <f t="shared" si="9"/>
        <v>2729.5409999999997</v>
      </c>
      <c r="G34" s="556">
        <f t="shared" si="9"/>
        <v>4148.58</v>
      </c>
      <c r="H34" s="556">
        <f>+G34+(H26*0.3)</f>
        <v>4967.232</v>
      </c>
      <c r="I34" s="556">
        <f t="shared" si="9"/>
        <v>6861.4710000000005</v>
      </c>
      <c r="J34" s="556">
        <f t="shared" si="9"/>
        <v>10393.953000000001</v>
      </c>
      <c r="K34" s="557">
        <f t="shared" si="9"/>
        <v>12925.890000000001</v>
      </c>
      <c r="L34" s="556">
        <f t="shared" si="9"/>
        <v>14360.093020123377</v>
      </c>
      <c r="M34" s="556">
        <f t="shared" si="9"/>
        <v>15326.696055115819</v>
      </c>
      <c r="N34" s="558">
        <f t="shared" si="9"/>
        <v>16231.754183090858</v>
      </c>
      <c r="O34" s="449"/>
      <c r="P34" s="610">
        <f>+N34</f>
        <v>16231.754183090858</v>
      </c>
    </row>
    <row r="35" spans="2:16" ht="15" thickBot="1" x14ac:dyDescent="0.35">
      <c r="B35" s="254"/>
      <c r="H35" s="9"/>
      <c r="K35" s="196"/>
      <c r="P35" s="196"/>
    </row>
    <row r="36" spans="2:16" x14ac:dyDescent="0.3">
      <c r="B36" s="271" t="s">
        <v>172</v>
      </c>
      <c r="C36" s="84">
        <f>SUMIF('Monthly Detail'!$4:$4, '2024 Overview'!C$11, 'Monthly Detail'!149:149)</f>
        <v>1291.7799999999991</v>
      </c>
      <c r="D36" s="162">
        <f>SUMIF('Monthly Detail'!$4:$4, '2024 Overview'!D$11, 'Monthly Detail'!149:149)</f>
        <v>551.31999999999903</v>
      </c>
      <c r="E36" s="162">
        <f>SUMIF('Monthly Detail'!$4:$4, '2024 Overview'!E$11, 'Monthly Detail'!149:149)</f>
        <v>177.78999999999928</v>
      </c>
      <c r="F36" s="162">
        <f>SUMIF('Monthly Detail'!$4:$4, '2024 Overview'!F$11, 'Monthly Detail'!149:149)</f>
        <v>1342.9899999999991</v>
      </c>
      <c r="G36" s="162">
        <f>SUMIF('Monthly Detail'!$4:$4, '2024 Overview'!G$11, 'Monthly Detail'!149:149)</f>
        <v>1278.089999999999</v>
      </c>
      <c r="H36" s="162">
        <f>SUMIF('Monthly Detail'!$4:$4, '2024 Overview'!H$11, 'Monthly Detail'!149:149)</f>
        <v>1615.6999999999991</v>
      </c>
      <c r="I36" s="162">
        <f>SUMIF('Monthly Detail'!$4:$4, '2024 Overview'!I$11, 'Monthly Detail'!149:149)</f>
        <v>3158.9800000000023</v>
      </c>
      <c r="J36" s="162">
        <f>SUMIF('Monthly Detail'!$4:$4, '2024 Overview'!J$11, 'Monthly Detail'!149:149)</f>
        <v>3192.6000000000031</v>
      </c>
      <c r="K36" s="386">
        <f>SUMIF('Monthly Detail'!$4:$4, '2024 Overview'!K$11, 'Monthly Detail'!149:149)</f>
        <v>4422.5200000000032</v>
      </c>
      <c r="L36" s="162">
        <f>SUMIF('Monthly Detail'!$4:$4, '2024 Overview'!L$11, 'Monthly Detail'!149:149)</f>
        <v>4966.6341477980141</v>
      </c>
      <c r="M36" s="84">
        <f>SUMIF('Monthly Detail'!$4:$4, '2024 Overview'!M$11, 'Monthly Detail'!149:149)</f>
        <v>7281.696660683735</v>
      </c>
      <c r="N36" s="84">
        <f>SUMIF('Monthly Detail'!$4:$4, '2024 Overview'!N$11, 'Monthly Detail'!149:149)</f>
        <v>8043.4721598922515</v>
      </c>
      <c r="P36" s="196"/>
    </row>
    <row r="37" spans="2:16" x14ac:dyDescent="0.3">
      <c r="B37" s="272" t="s">
        <v>173</v>
      </c>
      <c r="C37" s="274">
        <f>SUMIF('Monthly Detail'!$4:$4, '2024 Overview'!C$11, 'Monthly Detail'!146:146)</f>
        <v>294.76000000000022</v>
      </c>
      <c r="D37" s="273">
        <f>SUMIF('Monthly Detail'!$4:$4, '2024 Overview'!D$11, 'Monthly Detail'!146:146)</f>
        <v>-740.46</v>
      </c>
      <c r="E37" s="273">
        <f>SUMIF('Monthly Detail'!$4:$4, '2024 Overview'!E$11, 'Monthly Detail'!146:146)</f>
        <v>-373.52999999999975</v>
      </c>
      <c r="F37" s="273">
        <f>SUMIF('Monthly Detail'!$4:$4, '2024 Overview'!F$11, 'Monthly Detail'!146:146)</f>
        <v>1165.1999999999998</v>
      </c>
      <c r="G37" s="273">
        <f>SUMIF('Monthly Detail'!$4:$4, '2024 Overview'!G$11, 'Monthly Detail'!146:146)</f>
        <v>-64.900000000000091</v>
      </c>
      <c r="H37" s="273">
        <f>SUMIF('Monthly Detail'!$4:$4, '2024 Overview'!H$11, 'Monthly Detail'!146:146)</f>
        <v>337.61000000000013</v>
      </c>
      <c r="I37" s="273">
        <f>SUMIF('Monthly Detail'!$4:$4, '2024 Overview'!I$11, 'Monthly Detail'!146:146)</f>
        <v>1543.2800000000034</v>
      </c>
      <c r="J37" s="273">
        <f>SUMIF('Monthly Detail'!$4:$4, '2024 Overview'!J$11, 'Monthly Detail'!146:146)</f>
        <v>33.6200000000008</v>
      </c>
      <c r="K37" s="387">
        <f>SUMIF('Monthly Detail'!$4:$4, '2024 Overview'!K$11, 'Monthly Detail'!146:146)</f>
        <v>1229.92</v>
      </c>
      <c r="L37" s="273">
        <f>SUMIF('Monthly Detail'!$4:$4, '2024 Overview'!L$11, 'Monthly Detail'!146:146)</f>
        <v>544.11414779801089</v>
      </c>
      <c r="M37" s="274">
        <f>SUMIF('Monthly Detail'!$4:$4, '2024 Overview'!M$11, 'Monthly Detail'!146:146)</f>
        <v>2315.0625128857209</v>
      </c>
      <c r="N37" s="274">
        <f>SUMIF('Monthly Detail'!$4:$4, '2024 Overview'!N$11, 'Monthly Detail'!146:146)</f>
        <v>761.77549920851652</v>
      </c>
      <c r="O37" s="275"/>
      <c r="P37" s="276"/>
    </row>
    <row r="38" spans="2:16" x14ac:dyDescent="0.3">
      <c r="E38" s="9"/>
    </row>
  </sheetData>
  <mergeCells count="1">
    <mergeCell ref="B8:P8"/>
  </mergeCells>
  <pageMargins left="0.25" right="0.25" top="0.75" bottom="0.75" header="0.3" footer="0.3"/>
  <pageSetup scale="57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6506-3FAF-47D0-ABD4-7EC31347B89F}">
  <sheetPr>
    <tabColor theme="1"/>
    <pageSetUpPr fitToPage="1"/>
  </sheetPr>
  <dimension ref="B10:T33"/>
  <sheetViews>
    <sheetView showGridLines="0" topLeftCell="A10" zoomScale="85" zoomScaleNormal="85" workbookViewId="0">
      <selection activeCell="I12" sqref="I12:K12"/>
    </sheetView>
  </sheetViews>
  <sheetFormatPr defaultRowHeight="14.4" x14ac:dyDescent="0.3"/>
  <cols>
    <col min="2" max="2" width="34" bestFit="1" customWidth="1"/>
    <col min="3" max="3" width="12.6640625" bestFit="1" customWidth="1"/>
    <col min="4" max="4" width="13.88671875" bestFit="1" customWidth="1"/>
    <col min="5" max="6" width="14.33203125" bestFit="1" customWidth="1"/>
    <col min="7" max="7" width="15.33203125" bestFit="1" customWidth="1"/>
    <col min="8" max="8" width="15.6640625" bestFit="1" customWidth="1"/>
    <col min="9" max="9" width="15.33203125" bestFit="1" customWidth="1"/>
    <col min="10" max="10" width="14.88671875" bestFit="1" customWidth="1"/>
    <col min="11" max="11" width="15.33203125" bestFit="1" customWidth="1"/>
    <col min="12" max="14" width="15.6640625" bestFit="1" customWidth="1"/>
    <col min="15" max="15" width="9.5546875" bestFit="1" customWidth="1"/>
    <col min="16" max="16" width="13.6640625" bestFit="1" customWidth="1"/>
  </cols>
  <sheetData>
    <row r="10" spans="2:16" ht="15.6" x14ac:dyDescent="0.3">
      <c r="B10" s="68"/>
      <c r="C10" s="69" t="s">
        <v>250</v>
      </c>
      <c r="D10" s="69" t="s">
        <v>251</v>
      </c>
      <c r="E10" s="69" t="s">
        <v>252</v>
      </c>
      <c r="F10" s="69" t="s">
        <v>253</v>
      </c>
      <c r="G10" s="69" t="s">
        <v>254</v>
      </c>
      <c r="H10" s="69" t="s">
        <v>255</v>
      </c>
      <c r="I10" s="69" t="s">
        <v>256</v>
      </c>
      <c r="J10" s="69" t="s">
        <v>257</v>
      </c>
      <c r="K10" s="69" t="s">
        <v>258</v>
      </c>
      <c r="L10" s="69" t="s">
        <v>259</v>
      </c>
      <c r="M10" s="69" t="s">
        <v>260</v>
      </c>
      <c r="N10" s="69" t="s">
        <v>261</v>
      </c>
      <c r="O10" s="70"/>
      <c r="P10" s="71" t="s">
        <v>0</v>
      </c>
    </row>
    <row r="11" spans="2:16" x14ac:dyDescent="0.3">
      <c r="B11" s="7"/>
      <c r="C11" s="91">
        <v>45322</v>
      </c>
      <c r="D11" s="91">
        <v>45351</v>
      </c>
      <c r="E11" s="91">
        <v>45382</v>
      </c>
      <c r="F11" s="91">
        <v>45412</v>
      </c>
      <c r="G11" s="91">
        <v>45443</v>
      </c>
      <c r="H11" s="91">
        <v>45473</v>
      </c>
      <c r="I11" s="91">
        <v>45504</v>
      </c>
      <c r="J11" s="91">
        <v>45535</v>
      </c>
      <c r="K11" s="91">
        <v>45565</v>
      </c>
      <c r="L11" s="91">
        <v>45596</v>
      </c>
      <c r="M11" s="91">
        <v>45626</v>
      </c>
      <c r="N11" s="91">
        <v>45657</v>
      </c>
      <c r="O11" s="91">
        <v>45322</v>
      </c>
    </row>
    <row r="12" spans="2:16" x14ac:dyDescent="0.3">
      <c r="B12" s="72" t="s">
        <v>60</v>
      </c>
      <c r="C12" s="73">
        <v>3016.9791666666665</v>
      </c>
      <c r="D12" s="73">
        <v>4844.1611842105267</v>
      </c>
      <c r="E12" s="73">
        <v>3944.633152173913</v>
      </c>
      <c r="F12" s="73">
        <v>5914.9553571428578</v>
      </c>
      <c r="G12" s="73">
        <v>10182.291666666668</v>
      </c>
      <c r="H12" s="73">
        <v>6680.871212121212</v>
      </c>
      <c r="I12" s="73">
        <v>9818.9732142857138</v>
      </c>
      <c r="J12" s="73">
        <v>9199.4884910485926</v>
      </c>
      <c r="K12" s="73">
        <v>12430.845905172415</v>
      </c>
      <c r="L12" s="73">
        <v>10145.197088068182</v>
      </c>
      <c r="M12" s="73">
        <v>5993.1640625</v>
      </c>
      <c r="N12" s="73">
        <v>4062.5</v>
      </c>
      <c r="O12" s="73"/>
      <c r="P12" s="73">
        <v>86234.060500056745</v>
      </c>
    </row>
    <row r="13" spans="2:16" x14ac:dyDescent="0.3">
      <c r="B13" s="72" t="s">
        <v>301</v>
      </c>
      <c r="C13" s="73">
        <v>49.5</v>
      </c>
      <c r="D13" s="73">
        <v>49.5</v>
      </c>
      <c r="E13" s="73">
        <v>49.5</v>
      </c>
      <c r="F13" s="73">
        <v>49.5</v>
      </c>
      <c r="G13" s="73">
        <v>49.5</v>
      </c>
      <c r="H13" s="73">
        <v>49.5</v>
      </c>
      <c r="I13" s="73">
        <v>49.5</v>
      </c>
      <c r="J13" s="73">
        <v>49.5</v>
      </c>
      <c r="K13" s="73">
        <v>49.5</v>
      </c>
      <c r="L13" s="73">
        <v>49.5</v>
      </c>
      <c r="M13" s="73">
        <v>49.5</v>
      </c>
      <c r="N13" s="73">
        <v>49.5</v>
      </c>
      <c r="O13" s="73"/>
      <c r="P13" s="73">
        <f>+SUM(C13:N13)</f>
        <v>594</v>
      </c>
    </row>
    <row r="14" spans="2:16" x14ac:dyDescent="0.3">
      <c r="B14" s="74" t="s">
        <v>7</v>
      </c>
      <c r="C14" s="74">
        <v>3066.4791666666665</v>
      </c>
      <c r="D14" s="74">
        <v>4893.6611842105267</v>
      </c>
      <c r="E14" s="74">
        <v>3994.133152173913</v>
      </c>
      <c r="F14" s="74">
        <v>5964.4553571428578</v>
      </c>
      <c r="G14" s="74">
        <v>10231.791666666668</v>
      </c>
      <c r="H14" s="74">
        <v>6730.371212121212</v>
      </c>
      <c r="I14" s="74">
        <v>9868.4732142857138</v>
      </c>
      <c r="J14" s="74">
        <v>9248.9884910485926</v>
      </c>
      <c r="K14" s="74">
        <v>12480.345905172415</v>
      </c>
      <c r="L14" s="74">
        <v>10194.697088068182</v>
      </c>
      <c r="M14" s="74">
        <v>6042.6640625</v>
      </c>
      <c r="N14" s="74">
        <v>4112</v>
      </c>
      <c r="O14" s="75"/>
      <c r="P14" s="74">
        <v>86828.060500050007</v>
      </c>
    </row>
    <row r="15" spans="2:16" x14ac:dyDescent="0.3">
      <c r="B15" s="282" t="s">
        <v>66</v>
      </c>
      <c r="C15" s="233">
        <v>21</v>
      </c>
      <c r="D15" s="233">
        <v>33</v>
      </c>
      <c r="E15" s="233">
        <v>35</v>
      </c>
      <c r="F15" s="233">
        <v>33</v>
      </c>
      <c r="G15" s="233">
        <v>34</v>
      </c>
      <c r="H15" s="233">
        <v>34</v>
      </c>
      <c r="I15" s="233">
        <v>31</v>
      </c>
      <c r="J15" s="233">
        <v>32</v>
      </c>
      <c r="K15" s="233">
        <v>43</v>
      </c>
      <c r="L15" s="233">
        <v>38</v>
      </c>
      <c r="M15" s="233">
        <v>38</v>
      </c>
      <c r="N15" s="233">
        <v>38</v>
      </c>
      <c r="O15" s="75"/>
      <c r="P15" s="76"/>
    </row>
    <row r="16" spans="2:16" x14ac:dyDescent="0.3">
      <c r="B16" s="282" t="s">
        <v>333</v>
      </c>
      <c r="C16" s="233">
        <v>28</v>
      </c>
      <c r="D16" s="233">
        <v>44.95772282967198</v>
      </c>
      <c r="E16" s="233">
        <v>36.609377181381348</v>
      </c>
      <c r="F16" s="233">
        <v>54.895556399544255</v>
      </c>
      <c r="G16" s="233">
        <v>94.499879156164781</v>
      </c>
      <c r="H16" s="233">
        <v>62.003873280329451</v>
      </c>
      <c r="I16" s="233">
        <v>91.127990884922141</v>
      </c>
      <c r="J16" s="233">
        <v>85.378673010180634</v>
      </c>
      <c r="K16" s="233">
        <v>115.36827605256173</v>
      </c>
      <c r="L16" s="233">
        <v>94.155611548276326</v>
      </c>
      <c r="M16" s="233">
        <v>55.621396264199156</v>
      </c>
      <c r="N16" s="233">
        <v>37.703276594275458</v>
      </c>
      <c r="O16" s="75"/>
      <c r="P16" s="76"/>
    </row>
    <row r="17" spans="2:20" x14ac:dyDescent="0.3">
      <c r="B17" s="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P17" s="76"/>
    </row>
    <row r="18" spans="2:20" ht="15.6" x14ac:dyDescent="0.3">
      <c r="B18" s="87" t="s">
        <v>165</v>
      </c>
      <c r="C18" s="88">
        <v>3066.4791666666665</v>
      </c>
      <c r="D18" s="88">
        <v>4893.6611842105267</v>
      </c>
      <c r="E18" s="88">
        <v>3994.133152173913</v>
      </c>
      <c r="F18" s="88">
        <v>5964.4553571428578</v>
      </c>
      <c r="G18" s="88">
        <v>10231.791666666668</v>
      </c>
      <c r="H18" s="88">
        <v>6730.371212121212</v>
      </c>
      <c r="I18" s="88">
        <v>9868.4732142857138</v>
      </c>
      <c r="J18" s="88">
        <v>9248.9884910485926</v>
      </c>
      <c r="K18" s="88">
        <v>12480.345905172415</v>
      </c>
      <c r="L18" s="88">
        <v>10194.697088068182</v>
      </c>
      <c r="M18" s="88">
        <v>6042.6640625</v>
      </c>
      <c r="N18" s="88">
        <v>4112</v>
      </c>
      <c r="O18" s="77"/>
      <c r="P18" s="88">
        <v>86234.060500056745</v>
      </c>
    </row>
    <row r="19" spans="2:20" x14ac:dyDescent="0.3">
      <c r="B19" s="89" t="s">
        <v>166</v>
      </c>
      <c r="C19" s="90">
        <v>1</v>
      </c>
      <c r="D19" s="90">
        <v>1</v>
      </c>
      <c r="E19" s="90">
        <v>1</v>
      </c>
      <c r="F19" s="90">
        <v>1</v>
      </c>
      <c r="G19" s="90">
        <v>1</v>
      </c>
      <c r="H19" s="90">
        <v>1</v>
      </c>
      <c r="I19" s="90">
        <v>1</v>
      </c>
      <c r="J19" s="90">
        <v>1</v>
      </c>
      <c r="K19" s="90">
        <v>1</v>
      </c>
      <c r="L19" s="90">
        <v>1</v>
      </c>
      <c r="M19" s="90">
        <v>1</v>
      </c>
      <c r="N19" s="90">
        <v>1</v>
      </c>
      <c r="O19" s="7"/>
      <c r="P19" s="90">
        <v>1</v>
      </c>
    </row>
    <row r="20" spans="2:20" x14ac:dyDescent="0.3">
      <c r="B20" s="7"/>
    </row>
    <row r="21" spans="2:20" x14ac:dyDescent="0.3">
      <c r="B21" s="7" t="s">
        <v>203</v>
      </c>
      <c r="C21" s="73">
        <v>810.76066666666679</v>
      </c>
      <c r="D21" s="73">
        <v>810.76066666666679</v>
      </c>
      <c r="E21" s="73">
        <v>810.76066666666679</v>
      </c>
      <c r="F21" s="73">
        <v>960.76066666666679</v>
      </c>
      <c r="G21" s="73">
        <v>810.76066666666679</v>
      </c>
      <c r="H21" s="73">
        <v>810.76066666666679</v>
      </c>
      <c r="I21" s="73">
        <v>960.76066666666679</v>
      </c>
      <c r="J21" s="73">
        <v>810.76066666666679</v>
      </c>
      <c r="K21" s="73">
        <v>1846.5020459770124</v>
      </c>
      <c r="L21" s="73">
        <v>960.76066666666679</v>
      </c>
      <c r="M21" s="73">
        <v>810.76066666666679</v>
      </c>
      <c r="N21" s="73">
        <v>810.76066666666679</v>
      </c>
      <c r="P21" s="73">
        <v>11214.869379310348</v>
      </c>
      <c r="T21" s="1"/>
    </row>
    <row r="22" spans="2:20" x14ac:dyDescent="0.3">
      <c r="B22" s="78" t="s">
        <v>167</v>
      </c>
      <c r="C22" s="79">
        <v>810.76066666666679</v>
      </c>
      <c r="D22" s="79">
        <v>810.76066666666679</v>
      </c>
      <c r="E22" s="79">
        <v>810.76066666666679</v>
      </c>
      <c r="F22" s="79">
        <v>960.76066666666679</v>
      </c>
      <c r="G22" s="79">
        <v>810.76066666666679</v>
      </c>
      <c r="H22" s="79">
        <v>810.76066666666679</v>
      </c>
      <c r="I22" s="79">
        <v>960.76066666666679</v>
      </c>
      <c r="J22" s="79">
        <v>810.76066666666679</v>
      </c>
      <c r="K22" s="79">
        <v>1846.5020459770124</v>
      </c>
      <c r="L22" s="79">
        <v>960.76066666666679</v>
      </c>
      <c r="M22" s="79">
        <v>810.76066666666679</v>
      </c>
      <c r="N22" s="79">
        <v>810.76066666666679</v>
      </c>
      <c r="O22" s="80"/>
      <c r="P22" s="79">
        <v>11214.869379310348</v>
      </c>
    </row>
    <row r="23" spans="2:20" x14ac:dyDescent="0.3">
      <c r="B23" s="7"/>
    </row>
    <row r="24" spans="2:20" ht="15.6" x14ac:dyDescent="0.3">
      <c r="B24" s="87" t="s">
        <v>168</v>
      </c>
      <c r="C24" s="88">
        <v>2255.7184999999999</v>
      </c>
      <c r="D24" s="88">
        <v>4082.9005175438597</v>
      </c>
      <c r="E24" s="88">
        <v>3183.372485507246</v>
      </c>
      <c r="F24" s="88">
        <v>5003.6946904761908</v>
      </c>
      <c r="G24" s="88">
        <v>9421.0310000000009</v>
      </c>
      <c r="H24" s="88">
        <v>5919.610545454545</v>
      </c>
      <c r="I24" s="88">
        <v>8907.7125476190467</v>
      </c>
      <c r="J24" s="88">
        <v>8438.2278243819255</v>
      </c>
      <c r="K24" s="88">
        <v>10633.843859195402</v>
      </c>
      <c r="L24" s="88">
        <v>9233.936421401515</v>
      </c>
      <c r="M24" s="88">
        <v>5231.903395833333</v>
      </c>
      <c r="N24" s="88">
        <v>3301.239333333333</v>
      </c>
      <c r="O24" s="77"/>
      <c r="P24" s="88">
        <v>75019.1911207464</v>
      </c>
    </row>
    <row r="25" spans="2:20" x14ac:dyDescent="0.3">
      <c r="B25" s="89" t="s">
        <v>169</v>
      </c>
      <c r="C25" s="90">
        <v>0.73560535630575241</v>
      </c>
      <c r="D25" s="90">
        <v>0.83432431544656205</v>
      </c>
      <c r="E25" s="90">
        <v>0.79701210856593774</v>
      </c>
      <c r="F25" s="90">
        <v>0.83891896088783902</v>
      </c>
      <c r="G25" s="90">
        <v>0.92076063576353118</v>
      </c>
      <c r="H25" s="90">
        <v>0.87953700604113638</v>
      </c>
      <c r="I25" s="90">
        <v>0.90264343371010436</v>
      </c>
      <c r="J25" s="90">
        <v>0.91234061244088027</v>
      </c>
      <c r="K25" s="90">
        <v>0.85204720606247464</v>
      </c>
      <c r="L25" s="90">
        <v>0.90575878239765106</v>
      </c>
      <c r="M25" s="90">
        <v>0.86582728109971496</v>
      </c>
      <c r="N25" s="90">
        <v>0.80283057717250317</v>
      </c>
      <c r="O25" s="7"/>
      <c r="P25" s="90">
        <v>0.86994849466350987</v>
      </c>
    </row>
    <row r="26" spans="2:20" x14ac:dyDescent="0.3">
      <c r="B26" s="81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P26" s="82"/>
    </row>
    <row r="27" spans="2:20" x14ac:dyDescent="0.3">
      <c r="B27" s="7" t="s">
        <v>170</v>
      </c>
      <c r="C27" s="131">
        <v>0</v>
      </c>
      <c r="D27" s="128">
        <v>0</v>
      </c>
      <c r="E27" s="131">
        <v>0</v>
      </c>
      <c r="F27" s="128">
        <v>0</v>
      </c>
      <c r="G27" s="128">
        <v>0</v>
      </c>
      <c r="H27" s="128">
        <v>0</v>
      </c>
      <c r="I27" s="131">
        <v>0</v>
      </c>
      <c r="J27" s="128">
        <v>0</v>
      </c>
      <c r="K27" s="128">
        <v>0</v>
      </c>
      <c r="L27" s="128">
        <v>0</v>
      </c>
      <c r="M27" s="128">
        <v>0</v>
      </c>
      <c r="N27" s="128">
        <v>0</v>
      </c>
      <c r="O27" s="128"/>
      <c r="P27" s="112">
        <v>0</v>
      </c>
    </row>
    <row r="28" spans="2:20" ht="15.6" x14ac:dyDescent="0.3">
      <c r="B28" s="87" t="s">
        <v>16</v>
      </c>
      <c r="C28" s="88">
        <v>2255.7184999999999</v>
      </c>
      <c r="D28" s="88">
        <v>4082.9005175438597</v>
      </c>
      <c r="E28" s="88">
        <v>3183.372485507246</v>
      </c>
      <c r="F28" s="88">
        <v>5003.6946904761908</v>
      </c>
      <c r="G28" s="88">
        <v>9421.0310000000009</v>
      </c>
      <c r="H28" s="88">
        <v>5919.610545454545</v>
      </c>
      <c r="I28" s="88">
        <v>8907.7125476190467</v>
      </c>
      <c r="J28" s="88">
        <v>8438.2278243819255</v>
      </c>
      <c r="K28" s="88">
        <v>10633.843859195402</v>
      </c>
      <c r="L28" s="88">
        <v>9233.936421401515</v>
      </c>
      <c r="M28" s="88">
        <v>5231.903395833333</v>
      </c>
      <c r="N28" s="88">
        <v>3301.239333333333</v>
      </c>
      <c r="O28" s="77"/>
      <c r="P28" s="88">
        <v>75019.1911207464</v>
      </c>
    </row>
    <row r="29" spans="2:20" x14ac:dyDescent="0.3">
      <c r="B29" s="89" t="s">
        <v>171</v>
      </c>
      <c r="C29" s="90">
        <v>0.73560535630575241</v>
      </c>
      <c r="D29" s="90">
        <v>0.83432431544656205</v>
      </c>
      <c r="E29" s="90">
        <v>0.79701210856593774</v>
      </c>
      <c r="F29" s="90">
        <v>0.83891896088783902</v>
      </c>
      <c r="G29" s="90">
        <v>0.92076063576353118</v>
      </c>
      <c r="H29" s="90">
        <v>0.87953700604113638</v>
      </c>
      <c r="I29" s="90">
        <v>0.90264343371010436</v>
      </c>
      <c r="J29" s="90">
        <v>0.91234061244088027</v>
      </c>
      <c r="K29" s="90">
        <v>0.85204720606247464</v>
      </c>
      <c r="L29" s="90">
        <v>0.90575878239765106</v>
      </c>
      <c r="M29" s="90">
        <v>0.86582728109971496</v>
      </c>
      <c r="N29" s="90">
        <v>0.80283057717250317</v>
      </c>
      <c r="O29" s="7"/>
      <c r="P29" s="90">
        <v>0.86994849466350987</v>
      </c>
    </row>
    <row r="30" spans="2:20" ht="15" thickBot="1" x14ac:dyDescent="0.35">
      <c r="B30" s="7"/>
    </row>
    <row r="31" spans="2:20" x14ac:dyDescent="0.3">
      <c r="B31" s="83" t="s">
        <v>172</v>
      </c>
      <c r="C31" s="84">
        <v>583.93523734582391</v>
      </c>
      <c r="D31" s="162">
        <v>3316.6412282455376</v>
      </c>
      <c r="E31" s="84">
        <v>5497.8005183445657</v>
      </c>
      <c r="F31" s="162">
        <v>8902.7836486269971</v>
      </c>
      <c r="G31" s="84">
        <v>15222.718101502005</v>
      </c>
      <c r="H31" s="84">
        <v>20447.590030793574</v>
      </c>
      <c r="I31" s="84">
        <v>26375.12213383965</v>
      </c>
      <c r="J31" s="162">
        <v>28510.127406483367</v>
      </c>
      <c r="K31" s="84">
        <v>33013.079542775929</v>
      </c>
      <c r="L31" s="84">
        <v>34722.533705780268</v>
      </c>
      <c r="M31" s="84">
        <v>36536.590043550263</v>
      </c>
      <c r="N31" s="84">
        <v>38730.025353412595</v>
      </c>
    </row>
    <row r="32" spans="2:20" ht="15" thickBot="1" x14ac:dyDescent="0.35">
      <c r="B32" s="85" t="s">
        <v>173</v>
      </c>
      <c r="C32" s="86">
        <v>-413.08476265417585</v>
      </c>
      <c r="D32" s="163">
        <v>2732.7059908997135</v>
      </c>
      <c r="E32" s="86">
        <v>2181.1592900990277</v>
      </c>
      <c r="F32" s="163">
        <v>3404.9831302824314</v>
      </c>
      <c r="G32" s="86">
        <v>6319.934452875008</v>
      </c>
      <c r="H32" s="86">
        <v>5224.8719292915684</v>
      </c>
      <c r="I32" s="86">
        <v>5927.5321030460782</v>
      </c>
      <c r="J32" s="163">
        <v>2135.005272643717</v>
      </c>
      <c r="K32" s="86">
        <v>4502.9521362925589</v>
      </c>
      <c r="L32" s="86">
        <v>1709.4541630043368</v>
      </c>
      <c r="M32" s="86">
        <v>1814.0563377699918</v>
      </c>
      <c r="N32" s="86">
        <v>2193.4353098623324</v>
      </c>
    </row>
    <row r="33" spans="5:5" x14ac:dyDescent="0.3">
      <c r="E33" s="9"/>
    </row>
  </sheetData>
  <pageMargins left="0.25" right="0.25" top="0.75" bottom="0.75" header="0.3" footer="0.3"/>
  <pageSetup scale="55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79F-A4A7-4151-BD4E-7C8B08BFACF6}">
  <sheetPr>
    <tabColor theme="1"/>
    <pageSetUpPr fitToPage="1"/>
  </sheetPr>
  <dimension ref="B9:O41"/>
  <sheetViews>
    <sheetView showGridLines="0" topLeftCell="T10" workbookViewId="0">
      <selection activeCell="B1" sqref="B1:V34"/>
    </sheetView>
  </sheetViews>
  <sheetFormatPr defaultRowHeight="14.4" outlineLevelCol="1" x14ac:dyDescent="0.3"/>
  <cols>
    <col min="2" max="2" width="34" bestFit="1" customWidth="1"/>
    <col min="3" max="3" width="13.44140625" bestFit="1" customWidth="1"/>
    <col min="4" max="4" width="12.33203125" bestFit="1" customWidth="1"/>
    <col min="5" max="5" width="11.109375" hidden="1" customWidth="1" outlineLevel="1"/>
    <col min="6" max="6" width="13.6640625" bestFit="1" customWidth="1" collapsed="1"/>
    <col min="7" max="7" width="10.5546875" customWidth="1" outlineLevel="1"/>
    <col min="8" max="8" width="13.6640625" bestFit="1" customWidth="1"/>
    <col min="9" max="9" width="11.44140625" hidden="1" customWidth="1" outlineLevel="1"/>
    <col min="10" max="10" width="1.88671875" customWidth="1" collapsed="1"/>
    <col min="11" max="11" width="12.33203125" bestFit="1" customWidth="1"/>
  </cols>
  <sheetData>
    <row r="9" spans="2:13" x14ac:dyDescent="0.3">
      <c r="C9" s="91">
        <v>45382</v>
      </c>
      <c r="D9" s="91">
        <v>45473</v>
      </c>
      <c r="E9" s="219"/>
      <c r="F9" s="91">
        <v>45565</v>
      </c>
      <c r="G9" s="219"/>
      <c r="H9" s="91">
        <v>45657</v>
      </c>
      <c r="I9" s="219"/>
    </row>
    <row r="10" spans="2:13" ht="15.6" x14ac:dyDescent="0.3">
      <c r="B10" s="250"/>
      <c r="C10" s="251" t="s">
        <v>246</v>
      </c>
      <c r="D10" s="251" t="s">
        <v>247</v>
      </c>
      <c r="E10" s="472" t="s">
        <v>227</v>
      </c>
      <c r="F10" s="251" t="s">
        <v>248</v>
      </c>
      <c r="G10" s="472" t="s">
        <v>227</v>
      </c>
      <c r="H10" s="311" t="s">
        <v>249</v>
      </c>
      <c r="I10" s="311" t="s">
        <v>227</v>
      </c>
      <c r="J10" s="252"/>
      <c r="K10" s="253" t="s">
        <v>0</v>
      </c>
      <c r="M10" s="317"/>
    </row>
    <row r="11" spans="2:13" ht="3.6" customHeight="1" x14ac:dyDescent="0.3">
      <c r="B11" s="254"/>
      <c r="C11" s="91" t="str">
        <f>+C10</f>
        <v>Q1 2024</v>
      </c>
      <c r="D11" s="91" t="str">
        <f>+D10</f>
        <v>Q2 2024</v>
      </c>
      <c r="E11" s="473"/>
      <c r="F11" s="91" t="str">
        <f>+F10</f>
        <v>Q3 2024</v>
      </c>
      <c r="G11" s="473"/>
      <c r="H11" s="199" t="str">
        <f>+H10</f>
        <v>Q4 2024</v>
      </c>
      <c r="I11" s="199"/>
      <c r="J11" s="91">
        <v>45322</v>
      </c>
      <c r="K11" s="196"/>
    </row>
    <row r="12" spans="2:13" x14ac:dyDescent="0.3">
      <c r="B12" s="255" t="s">
        <v>60</v>
      </c>
      <c r="C12" s="315">
        <f>SUMIF('Monthly Detail'!$3:$3, 'Quarterly Overview'!C$11, 'Monthly Detail'!12:12)</f>
        <v>10710</v>
      </c>
      <c r="D12" s="315">
        <f>SUMIF('Monthly Detail'!$3:$3, 'Quarterly Overview'!D$11, 'Monthly Detail'!12:12)</f>
        <v>13666.26</v>
      </c>
      <c r="E12" s="474">
        <f>+D12-C12</f>
        <v>2956.26</v>
      </c>
      <c r="F12" s="315">
        <f>SUMIF('Monthly Detail'!$3:$3, 'Quarterly Overview'!F$11, 'Monthly Detail'!12:12)</f>
        <v>33002.53</v>
      </c>
      <c r="G12" s="474">
        <f>+F12-D12</f>
        <v>19336.269999999997</v>
      </c>
      <c r="H12" s="213">
        <f>SUMIF('Monthly Detail'!$3:$3, 'Quarterly Overview'!H$11, 'Monthly Detail'!12:12)</f>
        <v>23399.748203127605</v>
      </c>
      <c r="I12" s="220">
        <f>+H12-F12</f>
        <v>-9602.7817968723939</v>
      </c>
      <c r="J12" s="73"/>
      <c r="K12" s="256">
        <f>SUM(C12,D12,F12,H12)</f>
        <v>80778.538203127609</v>
      </c>
    </row>
    <row r="13" spans="2:13" x14ac:dyDescent="0.3">
      <c r="B13" s="255" t="s">
        <v>301</v>
      </c>
      <c r="C13" s="315">
        <f>SUMIF('Monthly Detail'!$3:$3, 'Quarterly Overview'!C$11, 'Monthly Detail'!13:13)</f>
        <v>129</v>
      </c>
      <c r="D13" s="315">
        <f>SUMIF('Monthly Detail'!$3:$3, 'Quarterly Overview'!D$11, 'Monthly Detail'!13:13)</f>
        <v>80.08</v>
      </c>
      <c r="E13" s="474">
        <f>+D13-C13</f>
        <v>-48.92</v>
      </c>
      <c r="F13" s="315">
        <f>SUMIF('Monthly Detail'!$3:$3, 'Quarterly Overview'!F$11, 'Monthly Detail'!13:13)</f>
        <v>67.12</v>
      </c>
      <c r="G13" s="474">
        <f>+F13-D13</f>
        <v>-12.959999999999994</v>
      </c>
      <c r="H13" s="213">
        <f>SUMIF('Monthly Detail'!$3:$3, 'Quarterly Overview'!H$11, 'Monthly Detail'!13:13)</f>
        <v>87.995769660911094</v>
      </c>
      <c r="I13" s="220">
        <f>+H13-F13</f>
        <v>20.875769660911089</v>
      </c>
      <c r="J13" s="73"/>
      <c r="K13" s="256">
        <f>+SUM(H13,F13,D13,C13)</f>
        <v>364.19576966091108</v>
      </c>
    </row>
    <row r="14" spans="2:13" x14ac:dyDescent="0.3">
      <c r="B14" s="257" t="s">
        <v>7</v>
      </c>
      <c r="C14" s="74">
        <f>SUM(C12:C13)</f>
        <v>10839</v>
      </c>
      <c r="D14" s="74">
        <f>SUM(D12:D13)</f>
        <v>13746.34</v>
      </c>
      <c r="E14" s="475">
        <f>+D14-C14</f>
        <v>2907.34</v>
      </c>
      <c r="F14" s="74">
        <f>SUM(F12:F13)</f>
        <v>33069.65</v>
      </c>
      <c r="G14" s="475">
        <f>+F14-D14</f>
        <v>19323.310000000001</v>
      </c>
      <c r="H14" s="201">
        <f>SUM(H12:H13)</f>
        <v>23487.743972788518</v>
      </c>
      <c r="I14" s="221">
        <f>+H14-F14</f>
        <v>-9581.9060272114839</v>
      </c>
      <c r="J14" s="75"/>
      <c r="K14" s="258">
        <f>SUM(K12:K13)</f>
        <v>81142.733972788526</v>
      </c>
    </row>
    <row r="15" spans="2:13" x14ac:dyDescent="0.3">
      <c r="B15" s="543" t="s">
        <v>297</v>
      </c>
      <c r="C15" s="544">
        <f>+AVERAGEIFS('Monthly Detail'!17:17,'Monthly Detail'!3:3,'Quarterly Overview'!C10)</f>
        <v>17</v>
      </c>
      <c r="D15" s="544">
        <f>+AVERAGEIFS('Monthly Detail'!17:17,'Monthly Detail'!3:3,'Quarterly Overview'!D10)</f>
        <v>20.333333333333332</v>
      </c>
      <c r="E15" s="578">
        <f>+D15-C15</f>
        <v>3.3333333333333321</v>
      </c>
      <c r="F15" s="544">
        <f>+AVERAGEIFS('Monthly Detail'!17:17,'Monthly Detail'!3:3,'Quarterly Overview'!F10)</f>
        <v>36.666666666666664</v>
      </c>
      <c r="G15" s="578">
        <f>+F15-D15</f>
        <v>16.333333333333332</v>
      </c>
      <c r="H15" s="579">
        <f>+AVERAGEIFS('Monthly Detail'!17:17,'Monthly Detail'!3:3,'Quarterly Overview'!H10)</f>
        <v>37.666666666666664</v>
      </c>
      <c r="I15" s="466">
        <f>+H15-F15</f>
        <v>1</v>
      </c>
      <c r="J15" s="75"/>
      <c r="K15" s="410"/>
    </row>
    <row r="16" spans="2:13" ht="4.95" customHeight="1" x14ac:dyDescent="0.3">
      <c r="B16" s="254"/>
      <c r="C16" s="316"/>
      <c r="D16" s="316"/>
      <c r="E16" s="476"/>
      <c r="F16" s="316"/>
      <c r="G16" s="476"/>
      <c r="H16" s="214"/>
      <c r="I16" s="222"/>
      <c r="K16" s="260"/>
    </row>
    <row r="17" spans="2:15" x14ac:dyDescent="0.3">
      <c r="B17" s="254" t="s">
        <v>331</v>
      </c>
      <c r="C17" s="315">
        <f>SUMIF('Monthly Detail'!$3:$3, 'Quarterly Overview'!C$11, 'Monthly Detail'!$62:$62)</f>
        <v>0</v>
      </c>
      <c r="D17" s="315">
        <f>SUMIF('Monthly Detail'!$3:$3, 'Quarterly Overview'!D$11, 'Monthly Detail'!$62:$62)</f>
        <v>0</v>
      </c>
      <c r="E17" s="476"/>
      <c r="F17" s="316">
        <f>SUMIF('Monthly Detail'!$3:$3, 'Quarterly Overview'!F$11, 'Monthly Detail'!$62:$62)</f>
        <v>1825</v>
      </c>
      <c r="G17" s="476">
        <f>+F17-D17</f>
        <v>1825</v>
      </c>
      <c r="H17" s="214">
        <f>SUMIF('Monthly Detail'!$3:$3, 'Quarterly Overview'!H$11, 'Monthly Detail'!$62:$62)</f>
        <v>5101.7687499999993</v>
      </c>
      <c r="I17" s="222"/>
      <c r="K17" s="256">
        <f>SUM(C17,D17,F17,H17)</f>
        <v>6926.7687499999993</v>
      </c>
    </row>
    <row r="18" spans="2:15" ht="15.6" x14ac:dyDescent="0.3">
      <c r="B18" s="261" t="s">
        <v>165</v>
      </c>
      <c r="C18" s="88">
        <f>C14-C17</f>
        <v>10839</v>
      </c>
      <c r="D18" s="88">
        <f>D14-D17</f>
        <v>13746.34</v>
      </c>
      <c r="E18" s="477">
        <f>+D18-C18</f>
        <v>2907.34</v>
      </c>
      <c r="F18" s="88">
        <f>F14-F17</f>
        <v>31244.65</v>
      </c>
      <c r="G18" s="477">
        <f>+F18-D18</f>
        <v>17498.310000000001</v>
      </c>
      <c r="H18" s="203">
        <f>H14-H17</f>
        <v>18385.975222788518</v>
      </c>
      <c r="I18" s="223">
        <f>+H18-F18</f>
        <v>-12858.674777211483</v>
      </c>
      <c r="J18" s="262"/>
      <c r="K18" s="263">
        <f>K14-K17</f>
        <v>74215.965222788524</v>
      </c>
    </row>
    <row r="19" spans="2:15" x14ac:dyDescent="0.3">
      <c r="B19" s="547" t="s">
        <v>166</v>
      </c>
      <c r="C19" s="580">
        <f>C18/C14</f>
        <v>1</v>
      </c>
      <c r="D19" s="580">
        <f>D18/D14</f>
        <v>1</v>
      </c>
      <c r="E19" s="581">
        <f>+D19-C19</f>
        <v>0</v>
      </c>
      <c r="F19" s="580">
        <f>F18/F14</f>
        <v>0.94481344677067947</v>
      </c>
      <c r="G19" s="581">
        <f>+F19-D19</f>
        <v>-5.5186553229320534E-2</v>
      </c>
      <c r="H19" s="582">
        <f>H18/H14</f>
        <v>0.78279017533950468</v>
      </c>
      <c r="I19" s="224">
        <f>+H19-F19</f>
        <v>-0.16202327143117479</v>
      </c>
      <c r="J19" s="7"/>
      <c r="K19" s="265">
        <f>K18/K14</f>
        <v>0.91463476258610021</v>
      </c>
    </row>
    <row r="20" spans="2:15" ht="5.4" customHeight="1" x14ac:dyDescent="0.3">
      <c r="B20" s="254"/>
      <c r="C20" s="317"/>
      <c r="D20" s="317"/>
      <c r="E20" s="478"/>
      <c r="F20" s="317"/>
      <c r="G20" s="478"/>
      <c r="H20" s="215"/>
      <c r="I20" s="225"/>
      <c r="K20" s="196"/>
    </row>
    <row r="21" spans="2:15" x14ac:dyDescent="0.3">
      <c r="B21" s="254" t="s">
        <v>279</v>
      </c>
      <c r="C21" s="315">
        <f>SUMIF('Monthly Detail'!$3:$3, 'Quarterly Overview'!C$11, 'Monthly Detail'!$69:$69)</f>
        <v>1179.44</v>
      </c>
      <c r="D21" s="315">
        <f>SUMIF('Monthly Detail'!$3:$3, 'Quarterly Overview'!D$11, 'Monthly Detail'!$69:$69)</f>
        <v>3065.56</v>
      </c>
      <c r="E21" s="479">
        <f>+D21-C21</f>
        <v>1886.12</v>
      </c>
      <c r="F21" s="315">
        <f>SUMIF('Monthly Detail'!$3:$3, 'Quarterly Overview'!F$11, 'Monthly Detail'!$69:$69)</f>
        <v>0</v>
      </c>
      <c r="G21" s="479">
        <f>SUMIF('Monthly Detail'!$3:$3, 'Quarterly Overview'!G$11, 'Monthly Detail'!$69:$69)</f>
        <v>0</v>
      </c>
      <c r="H21" s="213">
        <f>SUMIF('Monthly Detail'!$3:$3, 'Quarterly Overview'!H$11, 'Monthly Detail'!$69:$69)</f>
        <v>1400</v>
      </c>
      <c r="I21" s="225"/>
      <c r="K21" s="256">
        <f>SUM(C21,D21,F21,H21)</f>
        <v>5645</v>
      </c>
    </row>
    <row r="22" spans="2:15" x14ac:dyDescent="0.3">
      <c r="B22" s="254" t="s">
        <v>203</v>
      </c>
      <c r="C22" s="315">
        <f>SUMIF('Monthly Detail'!$3:$3, 'Quarterly Overview'!C$11, 'Monthly Detail'!$84:$84)</f>
        <v>1796.29</v>
      </c>
      <c r="D22" s="315">
        <f>SUMIF('Monthly Detail'!$3:$3, 'Quarterly Overview'!D$11, 'Monthly Detail'!$84:$84)</f>
        <v>1986.6100000000001</v>
      </c>
      <c r="E22" s="479">
        <f>+D22-C22</f>
        <v>190.32000000000016</v>
      </c>
      <c r="F22" s="315">
        <f>SUMIF('Monthly Detail'!$3:$3, 'Quarterly Overview'!F$11, 'Monthly Detail'!$84:$84)</f>
        <v>4715.79</v>
      </c>
      <c r="G22" s="479">
        <f>+F22-D22</f>
        <v>2729.18</v>
      </c>
      <c r="H22" s="213">
        <f>SUMIF('Monthly Detail'!$3:$3, 'Quarterly Overview'!H$11, 'Monthly Detail'!$84:$84)</f>
        <v>5966.4279458189958</v>
      </c>
      <c r="I22" s="226">
        <f>+H22-F22</f>
        <v>1250.6379458189958</v>
      </c>
      <c r="K22" s="256">
        <f>SUM(C22,D22,F22,H22)</f>
        <v>14465.117945818996</v>
      </c>
      <c r="O22" s="1"/>
    </row>
    <row r="23" spans="2:15" x14ac:dyDescent="0.3">
      <c r="B23" s="266" t="s">
        <v>167</v>
      </c>
      <c r="C23" s="79">
        <f>SUM(C21:C22)</f>
        <v>2975.73</v>
      </c>
      <c r="D23" s="79">
        <f t="shared" ref="D23:H23" si="0">SUM(D21:D22)</f>
        <v>5052.17</v>
      </c>
      <c r="E23" s="480">
        <f t="shared" si="0"/>
        <v>2076.44</v>
      </c>
      <c r="F23" s="79">
        <f>SUM(F21:F22)</f>
        <v>4715.79</v>
      </c>
      <c r="G23" s="480">
        <f t="shared" si="0"/>
        <v>2729.18</v>
      </c>
      <c r="H23" s="206">
        <f t="shared" si="0"/>
        <v>7366.4279458189958</v>
      </c>
      <c r="I23" s="227">
        <f>+H23-F23</f>
        <v>2650.6379458189958</v>
      </c>
      <c r="J23" s="267"/>
      <c r="K23" s="268">
        <f>SUM(K21:K22)</f>
        <v>20110.117945818994</v>
      </c>
    </row>
    <row r="24" spans="2:15" ht="1.95" customHeight="1" x14ac:dyDescent="0.3">
      <c r="B24" s="254"/>
      <c r="C24" s="317"/>
      <c r="D24" s="317"/>
      <c r="E24" s="478"/>
      <c r="F24" s="317"/>
      <c r="G24" s="478"/>
      <c r="H24" s="215"/>
      <c r="I24" s="225"/>
      <c r="K24" s="196"/>
    </row>
    <row r="25" spans="2:15" ht="15.6" x14ac:dyDescent="0.3">
      <c r="B25" s="261" t="s">
        <v>168</v>
      </c>
      <c r="C25" s="88">
        <f>C18-C23</f>
        <v>7863.27</v>
      </c>
      <c r="D25" s="88">
        <f>D18-D23</f>
        <v>8694.17</v>
      </c>
      <c r="E25" s="477">
        <f>+D25-C25</f>
        <v>830.89999999999964</v>
      </c>
      <c r="F25" s="88">
        <f>F18-F23</f>
        <v>26528.86</v>
      </c>
      <c r="G25" s="477">
        <f>+F25-D25</f>
        <v>17834.690000000002</v>
      </c>
      <c r="H25" s="203">
        <f>H18-H23</f>
        <v>11019.547276969522</v>
      </c>
      <c r="I25" s="223">
        <f>+H25-F25</f>
        <v>-15509.312723030478</v>
      </c>
      <c r="J25" s="262"/>
      <c r="K25" s="263">
        <f>K18-K23</f>
        <v>54105.847276969529</v>
      </c>
    </row>
    <row r="26" spans="2:15" x14ac:dyDescent="0.3">
      <c r="B26" s="547" t="s">
        <v>169</v>
      </c>
      <c r="C26" s="580">
        <f>C25/C14</f>
        <v>0.72546083587046784</v>
      </c>
      <c r="D26" s="580">
        <f>D25/D14</f>
        <v>0.63247162517441002</v>
      </c>
      <c r="E26" s="581">
        <f>+D26-C26</f>
        <v>-9.2989210696057811E-2</v>
      </c>
      <c r="F26" s="580">
        <f>F25/F14</f>
        <v>0.80221169561818761</v>
      </c>
      <c r="G26" s="581">
        <f>+F26-D26</f>
        <v>0.16974007044377759</v>
      </c>
      <c r="H26" s="582">
        <f>H25/H14</f>
        <v>0.46916158868796021</v>
      </c>
      <c r="I26" s="224">
        <f>+H26-F26</f>
        <v>-0.33305010693022741</v>
      </c>
      <c r="J26" s="7"/>
      <c r="K26" s="265">
        <f>K25/K14</f>
        <v>0.6667984257852847</v>
      </c>
    </row>
    <row r="27" spans="2:15" ht="4.2" customHeight="1" x14ac:dyDescent="0.3">
      <c r="B27" s="269"/>
      <c r="C27" s="318"/>
      <c r="D27" s="318"/>
      <c r="E27" s="481"/>
      <c r="F27" s="318"/>
      <c r="G27" s="481"/>
      <c r="H27" s="216"/>
      <c r="I27" s="228"/>
      <c r="K27" s="270"/>
    </row>
    <row r="28" spans="2:15" x14ac:dyDescent="0.3">
      <c r="B28" s="254" t="s">
        <v>170</v>
      </c>
      <c r="C28" s="167">
        <f>SUMIF('Monthly Detail'!$3:$3, 'Quarterly Overview'!C$11, 'Monthly Detail'!98:98)</f>
        <v>0</v>
      </c>
      <c r="D28" s="167">
        <f>SUMIF('Monthly Detail'!$3:$3, 'Quarterly Overview'!D$11, 'Monthly Detail'!98:98)</f>
        <v>-690.26</v>
      </c>
      <c r="E28" s="482">
        <f>+D28-C28</f>
        <v>-690.26</v>
      </c>
      <c r="F28" s="167">
        <f>SUMIF('Monthly Detail'!$3:$3, 'Quarterly Overview'!F$11, 'Monthly Detail'!98:98)</f>
        <v>-1993.38</v>
      </c>
      <c r="G28" s="482">
        <f>+F28-D28</f>
        <v>-1303.1200000000001</v>
      </c>
      <c r="H28" s="217">
        <f>SUMIF('Monthly Detail'!$3:$3, 'Quarterly Overview'!H$11, 'Monthly Detail'!98:98)</f>
        <v>-1918.8600000000001</v>
      </c>
      <c r="I28" s="229">
        <f>+H28-F28</f>
        <v>74.519999999999982</v>
      </c>
      <c r="J28" s="131"/>
      <c r="K28" s="197">
        <f>SUM(C28,D28,F28,H28)</f>
        <v>-4602.5</v>
      </c>
    </row>
    <row r="29" spans="2:15" ht="15.6" x14ac:dyDescent="0.3">
      <c r="B29" s="261" t="s">
        <v>16</v>
      </c>
      <c r="C29" s="88">
        <f>C25+SUM(C28:C28)</f>
        <v>7863.27</v>
      </c>
      <c r="D29" s="88">
        <f>D25+SUM(D28:D28)</f>
        <v>8003.91</v>
      </c>
      <c r="E29" s="477">
        <f>+D29-C29</f>
        <v>140.63999999999942</v>
      </c>
      <c r="F29" s="88">
        <f>F25+SUM(F28:F28)</f>
        <v>24535.48</v>
      </c>
      <c r="G29" s="477">
        <f>+F29-D29</f>
        <v>16531.57</v>
      </c>
      <c r="H29" s="203">
        <f>H25+SUM(H28:H28)</f>
        <v>9100.6872769695219</v>
      </c>
      <c r="I29" s="223">
        <f>+H29-F29</f>
        <v>-15434.792723030478</v>
      </c>
      <c r="J29" s="262"/>
      <c r="K29" s="263">
        <f>K25+SUM(K28:K28)</f>
        <v>49503.347276969529</v>
      </c>
      <c r="L29" s="234"/>
    </row>
    <row r="30" spans="2:15" x14ac:dyDescent="0.3">
      <c r="B30" s="264" t="s">
        <v>171</v>
      </c>
      <c r="C30" s="90">
        <f>C29/C14</f>
        <v>0.72546083587046784</v>
      </c>
      <c r="D30" s="90">
        <f>D29/D14</f>
        <v>0.58225753182301609</v>
      </c>
      <c r="E30" s="483">
        <f>+D30-C30</f>
        <v>-0.14320330404745174</v>
      </c>
      <c r="F30" s="90">
        <f>F29/F14</f>
        <v>0.74193346467229015</v>
      </c>
      <c r="G30" s="483">
        <f>+F30-D30</f>
        <v>0.15967593284927406</v>
      </c>
      <c r="H30" s="204">
        <f>H29/H14</f>
        <v>0.38746536438378371</v>
      </c>
      <c r="I30" s="230">
        <f>+H30-F30</f>
        <v>-0.35446810028850645</v>
      </c>
      <c r="J30" s="7"/>
      <c r="K30" s="265">
        <f>K29/K14</f>
        <v>0.6100773889818728</v>
      </c>
      <c r="L30" s="234"/>
    </row>
    <row r="31" spans="2:15" ht="2.25" customHeight="1" thickBot="1" x14ac:dyDescent="0.35">
      <c r="B31" s="254"/>
      <c r="E31" s="484"/>
      <c r="G31" s="484"/>
      <c r="H31" s="205"/>
      <c r="I31" s="231"/>
      <c r="K31" s="196"/>
    </row>
    <row r="32" spans="2:15" x14ac:dyDescent="0.3">
      <c r="B32" s="271" t="s">
        <v>172</v>
      </c>
      <c r="C32" s="84">
        <f>SUMIF('Monthly Detail'!$4:$4, 'Quarterly Overview'!C$9, 'Monthly Detail'!149:149)</f>
        <v>177.78999999999928</v>
      </c>
      <c r="D32" s="162">
        <f>SUMIF('Monthly Detail'!$4:$4, 'Quarterly Overview'!D$9, 'Monthly Detail'!149:149)</f>
        <v>1615.6999999999991</v>
      </c>
      <c r="E32" s="485"/>
      <c r="F32" s="162">
        <f>SUMIF('Monthly Detail'!$4:$4, 'Quarterly Overview'!F$9, 'Monthly Detail'!149:149)</f>
        <v>4422.5200000000032</v>
      </c>
      <c r="G32" s="485"/>
      <c r="H32" s="209">
        <f>SUMIF('Monthly Detail'!$4:$4, 'Quarterly Overview'!H$9, 'Monthly Detail'!149:149)</f>
        <v>8043.4721598922515</v>
      </c>
      <c r="I32" s="209"/>
      <c r="K32" s="196"/>
    </row>
    <row r="33" spans="2:11" x14ac:dyDescent="0.3">
      <c r="B33" s="272" t="s">
        <v>173</v>
      </c>
      <c r="C33" s="274">
        <f>SUMIF('Monthly Detail'!$3:$3, 'Quarterly Overview'!C$10, 'Monthly Detail'!146:146)</f>
        <v>-819.22999999999956</v>
      </c>
      <c r="D33" s="467">
        <f>SUMIF('Monthly Detail'!$3:$3, 'Quarterly Overview'!D$10, 'Monthly Detail'!146:146)</f>
        <v>1437.9099999999999</v>
      </c>
      <c r="E33" s="486">
        <f>+D33-C33</f>
        <v>2257.1399999999994</v>
      </c>
      <c r="F33" s="273">
        <f>SUMIF('Monthly Detail'!$3:$3, 'Quarterly Overview'!F$10, 'Monthly Detail'!146:146)</f>
        <v>2806.8200000000043</v>
      </c>
      <c r="G33" s="486">
        <f>+F33-D33</f>
        <v>1368.9100000000044</v>
      </c>
      <c r="H33" s="312">
        <f>SUMIF('Monthly Detail'!$3:$3, 'Quarterly Overview'!H$10, 'Monthly Detail'!146:146)</f>
        <v>3620.9521598922483</v>
      </c>
      <c r="I33" s="312">
        <f>+H33-F33</f>
        <v>814.13215989224409</v>
      </c>
      <c r="J33" s="275"/>
      <c r="K33" s="276"/>
    </row>
    <row r="34" spans="2:11" x14ac:dyDescent="0.3">
      <c r="B34" s="449"/>
      <c r="C34" s="608"/>
      <c r="D34" s="609"/>
      <c r="E34" s="609"/>
      <c r="F34" s="608"/>
      <c r="G34" s="609"/>
      <c r="H34" s="608"/>
      <c r="I34" s="608"/>
    </row>
    <row r="35" spans="2:11" x14ac:dyDescent="0.3">
      <c r="C35" s="174">
        <f>+C25*0.153</f>
        <v>1203.0803100000001</v>
      </c>
      <c r="D35" s="174">
        <f>+SUM(C25:D25)*0.3</f>
        <v>4967.2320000000009</v>
      </c>
      <c r="E35" s="174">
        <f t="shared" ref="E35" si="1">+SUM(D25:E25)*0.3</f>
        <v>2857.5209999999997</v>
      </c>
      <c r="F35" s="174">
        <f>+(SUM(C25:D25)+F25)*0.3</f>
        <v>12925.890000000001</v>
      </c>
    </row>
    <row r="36" spans="2:11" x14ac:dyDescent="0.3">
      <c r="C36" s="450"/>
      <c r="D36" s="450">
        <f>+D25*0.3</f>
        <v>2608.2509999999997</v>
      </c>
      <c r="E36" s="450">
        <f t="shared" ref="E36" si="2">+E25*0.3</f>
        <v>249.26999999999987</v>
      </c>
      <c r="F36" s="450">
        <f>+F25*0.3</f>
        <v>7958.6579999999994</v>
      </c>
    </row>
    <row r="38" spans="2:11" x14ac:dyDescent="0.3">
      <c r="C38" t="s">
        <v>317</v>
      </c>
      <c r="D38" t="s">
        <v>318</v>
      </c>
      <c r="F38" t="s">
        <v>319</v>
      </c>
      <c r="H38" t="s">
        <v>320</v>
      </c>
    </row>
    <row r="39" spans="2:11" x14ac:dyDescent="0.3">
      <c r="B39" t="s">
        <v>314</v>
      </c>
      <c r="C39" s="450">
        <f>+SUM('2024 AOP'!C14:E14)</f>
        <v>11954.273503051107</v>
      </c>
      <c r="D39" s="450">
        <f>+SUM('2024 AOP'!F14:H14)</f>
        <v>22926.618235930739</v>
      </c>
      <c r="F39" s="450">
        <f>+SUM('2024 AOP'!I14:K14)</f>
        <v>31597.807610506723</v>
      </c>
      <c r="H39" s="450">
        <f>+SUM('2024 AOP'!L14:N14)</f>
        <v>20349.361150568184</v>
      </c>
    </row>
    <row r="40" spans="2:11" x14ac:dyDescent="0.3">
      <c r="B40" t="s">
        <v>315</v>
      </c>
      <c r="C40" s="450">
        <f>+AVERAGE('2024 AOP'!C28:E28)</f>
        <v>3173.9971676837017</v>
      </c>
      <c r="D40" s="450">
        <f>+SUM('2024 AOP'!F28:H28)</f>
        <v>20344.336235930736</v>
      </c>
      <c r="F40" s="450">
        <f>+SUM('2024 AOP'!I28:K28)</f>
        <v>27979.784231196376</v>
      </c>
      <c r="H40" s="450">
        <f>+SUM('2024 AOP'!L28:N28)</f>
        <v>17767.079150568181</v>
      </c>
    </row>
    <row r="41" spans="2:11" x14ac:dyDescent="0.3">
      <c r="B41" t="s">
        <v>316</v>
      </c>
      <c r="C41" s="451">
        <f>+AVERAGE('2024 AOP'!C15:E15)</f>
        <v>29.666666666666668</v>
      </c>
      <c r="D41" s="451">
        <f>+AVERAGE('2024 AOP'!F15:H15)</f>
        <v>33.666666666666664</v>
      </c>
      <c r="F41" s="451">
        <f>+AVERAGE('2024 AOP'!I15:K15)</f>
        <v>35.333333333333336</v>
      </c>
      <c r="H41" s="451">
        <f>+AVERAGE('2024 AOP'!L15:N15)</f>
        <v>38</v>
      </c>
    </row>
  </sheetData>
  <pageMargins left="0.25" right="0.25" top="0.75" bottom="0.75" header="0.3" footer="0.3"/>
  <pageSetup scale="61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8"/>
      <c r="C10" s="69" t="str">
        <f>TEXT('Monthly Detail'!D4,"mmmm")</f>
        <v>January</v>
      </c>
      <c r="D10" s="69" t="str">
        <f>TEXT('Monthly Detail'!E4,"mmmm")</f>
        <v>February</v>
      </c>
      <c r="E10" s="69" t="str">
        <f>TEXT('Monthly Detail'!F4,"mmmm")</f>
        <v>March</v>
      </c>
      <c r="F10" s="69" t="str">
        <f>TEXT('Monthly Detail'!G4,"mmmm")</f>
        <v>April</v>
      </c>
      <c r="G10" s="69" t="str">
        <f>TEXT('Monthly Detail'!H4,"mmmm")</f>
        <v>May</v>
      </c>
      <c r="H10" s="69" t="str">
        <f>TEXT('Monthly Detail'!I4,"mmmm")</f>
        <v>June</v>
      </c>
      <c r="I10" s="69" t="str">
        <f>TEXT('Monthly Detail'!J4,"mmmm")</f>
        <v>July</v>
      </c>
      <c r="J10" s="69" t="str">
        <f>TEXT('Monthly Detail'!K4,"mmmm")</f>
        <v>August</v>
      </c>
      <c r="K10" s="69" t="str">
        <f>TEXT('Monthly Detail'!L4,"mmmm")</f>
        <v>September</v>
      </c>
      <c r="L10" s="69" t="str">
        <f>TEXT('Monthly Detail'!M4,"mmmm")</f>
        <v>October</v>
      </c>
      <c r="M10" s="69" t="str">
        <f>TEXT('Monthly Detail'!N4,"mmmm")</f>
        <v>November</v>
      </c>
      <c r="N10" s="149" t="str">
        <f>TEXT('Monthly Detail'!O4,"mmmm")</f>
        <v>December</v>
      </c>
      <c r="O10" s="70"/>
      <c r="P10" s="71" t="s">
        <v>0</v>
      </c>
    </row>
    <row r="11" spans="2:16" ht="1.5" customHeight="1" x14ac:dyDescent="0.3">
      <c r="B11" s="7"/>
      <c r="C11" s="91">
        <v>44592</v>
      </c>
      <c r="D11" s="91">
        <v>44620</v>
      </c>
      <c r="E11" s="91">
        <v>44651</v>
      </c>
      <c r="F11" s="91">
        <v>44681</v>
      </c>
      <c r="G11" s="91">
        <v>44712</v>
      </c>
      <c r="H11" s="91">
        <v>44742</v>
      </c>
      <c r="I11" s="91">
        <v>44773</v>
      </c>
      <c r="J11" s="91">
        <v>44804</v>
      </c>
      <c r="K11" s="91">
        <v>44834</v>
      </c>
      <c r="L11" s="91">
        <v>44865</v>
      </c>
      <c r="M11" s="91">
        <v>44895</v>
      </c>
      <c r="N11" s="150">
        <v>44926</v>
      </c>
    </row>
    <row r="12" spans="2:16" x14ac:dyDescent="0.3">
      <c r="B12" s="72" t="s">
        <v>60</v>
      </c>
      <c r="C12" s="73">
        <f>SUMIF('Monthly Detail'!$4:$4, '2022 Overview'!C$11, 'Monthly Detail'!12:12)</f>
        <v>0</v>
      </c>
      <c r="D12" s="73">
        <f>SUMIF('Monthly Detail'!$4:$4, '2022 Overview'!D$11, 'Monthly Detail'!12:12)</f>
        <v>0</v>
      </c>
      <c r="E12" s="73">
        <f>SUMIF('Monthly Detail'!$4:$4, '2022 Overview'!E$11, 'Monthly Detail'!12:12)</f>
        <v>0</v>
      </c>
      <c r="F12" s="73">
        <f>SUMIF('Monthly Detail'!$4:$4, '2022 Overview'!F$11, 'Monthly Detail'!12:12)</f>
        <v>0</v>
      </c>
      <c r="G12" s="73">
        <f>SUMIF('Monthly Detail'!$4:$4, '2022 Overview'!G$11, 'Monthly Detail'!12:12)</f>
        <v>0</v>
      </c>
      <c r="H12" s="73">
        <f>SUMIF('Monthly Detail'!$4:$4, '2022 Overview'!H$11, 'Monthly Detail'!12:12)</f>
        <v>0</v>
      </c>
      <c r="I12" s="73">
        <f>SUMIF('Monthly Detail'!$4:$4, '2022 Overview'!I$11, 'Monthly Detail'!12:12)</f>
        <v>0</v>
      </c>
      <c r="J12" s="73">
        <f>SUMIF('Monthly Detail'!$4:$4, '2022 Overview'!J$11, 'Monthly Detail'!12:12)</f>
        <v>375</v>
      </c>
      <c r="K12" s="73">
        <f>SUMIF('Monthly Detail'!$4:$4, '2022 Overview'!K$11, 'Monthly Detail'!12:12)</f>
        <v>1075</v>
      </c>
      <c r="L12" s="73">
        <f>SUMIF('Monthly Detail'!$4:$4, '2022 Overview'!L$11, 'Monthly Detail'!12:12)</f>
        <v>3640</v>
      </c>
      <c r="M12" s="73">
        <f>SUMIF('Monthly Detail'!$4:$4, '2022 Overview'!M$11, 'Monthly Detail'!12:12)</f>
        <v>2090</v>
      </c>
      <c r="N12" s="151">
        <f>SUMIF('Monthly Detail'!$4:$4, '2022 Overview'!N$11, 'Monthly Detail'!12:12)</f>
        <v>2032.5</v>
      </c>
      <c r="O12" s="73"/>
      <c r="P12" s="73">
        <f>SUM(C12:O12)</f>
        <v>9212.5</v>
      </c>
    </row>
    <row r="13" spans="2:16" x14ac:dyDescent="0.3">
      <c r="B13" s="72" t="s">
        <v>174</v>
      </c>
      <c r="C13" s="73">
        <f>SUMIF('Monthly Detail'!$4:$4, '2022 Overview'!C$11, 'Monthly Detail'!13:13)</f>
        <v>0</v>
      </c>
      <c r="D13" s="73">
        <f>SUMIF('Monthly Detail'!$4:$4, '2022 Overview'!D$11, 'Monthly Detail'!13:13)</f>
        <v>0</v>
      </c>
      <c r="E13" s="73">
        <f>SUMIF('Monthly Detail'!$4:$4, '2022 Overview'!E$11, 'Monthly Detail'!13:13)</f>
        <v>0</v>
      </c>
      <c r="F13" s="73">
        <f>SUMIF('Monthly Detail'!$4:$4, '2022 Overview'!F$11, 'Monthly Detail'!13:13)</f>
        <v>0</v>
      </c>
      <c r="G13" s="73">
        <f>SUMIF('Monthly Detail'!$4:$4, '2022 Overview'!G$11, 'Monthly Detail'!13:13)</f>
        <v>0</v>
      </c>
      <c r="H13" s="73">
        <f>SUMIF('Monthly Detail'!$4:$4, '2022 Overview'!H$11, 'Monthly Detail'!13:13)</f>
        <v>0</v>
      </c>
      <c r="I13" s="73">
        <f>SUMIF('Monthly Detail'!$4:$4, '2022 Overview'!I$11, 'Monthly Detail'!13:13)</f>
        <v>0</v>
      </c>
      <c r="J13" s="73">
        <f>SUMIF('Monthly Detail'!$4:$4, '2022 Overview'!J$11, 'Monthly Detail'!13:13)</f>
        <v>0</v>
      </c>
      <c r="K13" s="73">
        <f>SUMIF('Monthly Detail'!$4:$4, '2022 Overview'!K$11, 'Monthly Detail'!13:13)</f>
        <v>0</v>
      </c>
      <c r="L13" s="73">
        <f>SUMIF('Monthly Detail'!$4:$4, '2022 Overview'!L$11, 'Monthly Detail'!13:13)</f>
        <v>125</v>
      </c>
      <c r="M13" s="132">
        <f>SUMIF('Monthly Detail'!$4:$4, '2022 Overview'!M$11, 'Monthly Detail'!13:13)</f>
        <v>0</v>
      </c>
      <c r="N13" s="151">
        <f>SUMIF('Monthly Detail'!$4:$4, '2022 Overview'!N$11, 'Monthly Detail'!13:13)</f>
        <v>0</v>
      </c>
      <c r="O13" s="73"/>
      <c r="P13" s="73"/>
    </row>
    <row r="14" spans="2:16" x14ac:dyDescent="0.3">
      <c r="B14" s="74" t="s">
        <v>7</v>
      </c>
      <c r="C14" s="74">
        <v>0.1</v>
      </c>
      <c r="D14" s="74">
        <v>0.1</v>
      </c>
      <c r="E14" s="74">
        <v>0.1</v>
      </c>
      <c r="F14" s="74">
        <v>0.1</v>
      </c>
      <c r="G14" s="74">
        <v>0.1</v>
      </c>
      <c r="H14" s="74">
        <v>0.1</v>
      </c>
      <c r="I14" s="74">
        <v>0.1</v>
      </c>
      <c r="J14" s="74">
        <f>SUM(J12:J13)</f>
        <v>375</v>
      </c>
      <c r="K14" s="74">
        <f>SUM(K12:K13)</f>
        <v>1075</v>
      </c>
      <c r="L14" s="74">
        <f>SUM(L12:L13)</f>
        <v>3765</v>
      </c>
      <c r="M14" s="74">
        <f>SUM(M12:M13)</f>
        <v>2090</v>
      </c>
      <c r="N14" s="152">
        <f>SUM(N12:N13)</f>
        <v>2032.5</v>
      </c>
      <c r="O14" s="75"/>
      <c r="P14" s="74">
        <f>SUM(P12:P12)</f>
        <v>9212.5</v>
      </c>
    </row>
    <row r="15" spans="2:16" x14ac:dyDescent="0.3">
      <c r="B15" s="7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153"/>
      <c r="P15" s="76"/>
    </row>
    <row r="16" spans="2:16" ht="15.6" x14ac:dyDescent="0.3">
      <c r="B16" s="87" t="s">
        <v>165</v>
      </c>
      <c r="C16" s="88">
        <f>C14</f>
        <v>0.1</v>
      </c>
      <c r="D16" s="88">
        <f t="shared" ref="D16:N16" si="0">D14</f>
        <v>0.1</v>
      </c>
      <c r="E16" s="88">
        <f t="shared" si="0"/>
        <v>0.1</v>
      </c>
      <c r="F16" s="88">
        <f t="shared" si="0"/>
        <v>0.1</v>
      </c>
      <c r="G16" s="88">
        <f t="shared" si="0"/>
        <v>0.1</v>
      </c>
      <c r="H16" s="88">
        <f t="shared" si="0"/>
        <v>0.1</v>
      </c>
      <c r="I16" s="88">
        <f t="shared" si="0"/>
        <v>0.1</v>
      </c>
      <c r="J16" s="88">
        <f t="shared" si="0"/>
        <v>375</v>
      </c>
      <c r="K16" s="88">
        <f t="shared" si="0"/>
        <v>1075</v>
      </c>
      <c r="L16" s="88">
        <f t="shared" si="0"/>
        <v>3765</v>
      </c>
      <c r="M16" s="88">
        <f t="shared" si="0"/>
        <v>2090</v>
      </c>
      <c r="N16" s="154">
        <f t="shared" si="0"/>
        <v>2032.5</v>
      </c>
      <c r="O16" s="77"/>
      <c r="P16" s="88">
        <f>P14</f>
        <v>9212.5</v>
      </c>
    </row>
    <row r="17" spans="2:20" x14ac:dyDescent="0.3">
      <c r="B17" s="89" t="s">
        <v>166</v>
      </c>
      <c r="C17" s="90">
        <f t="shared" ref="C17:N17" si="1">C16/C14</f>
        <v>1</v>
      </c>
      <c r="D17" s="90">
        <f t="shared" si="1"/>
        <v>1</v>
      </c>
      <c r="E17" s="90">
        <f t="shared" si="1"/>
        <v>1</v>
      </c>
      <c r="F17" s="90">
        <f t="shared" si="1"/>
        <v>1</v>
      </c>
      <c r="G17" s="90">
        <f t="shared" si="1"/>
        <v>1</v>
      </c>
      <c r="H17" s="90">
        <f t="shared" si="1"/>
        <v>1</v>
      </c>
      <c r="I17" s="90">
        <f t="shared" si="1"/>
        <v>1</v>
      </c>
      <c r="J17" s="90">
        <f t="shared" si="1"/>
        <v>1</v>
      </c>
      <c r="K17" s="90">
        <f t="shared" si="1"/>
        <v>1</v>
      </c>
      <c r="L17" s="90">
        <f t="shared" si="1"/>
        <v>1</v>
      </c>
      <c r="M17" s="90">
        <f t="shared" si="1"/>
        <v>1</v>
      </c>
      <c r="N17" s="155">
        <f t="shared" si="1"/>
        <v>1</v>
      </c>
      <c r="O17" s="7"/>
      <c r="P17" s="90">
        <f>P16/P14</f>
        <v>1</v>
      </c>
    </row>
    <row r="18" spans="2:20" x14ac:dyDescent="0.3">
      <c r="B18" s="7"/>
      <c r="N18" s="115"/>
    </row>
    <row r="19" spans="2:20" x14ac:dyDescent="0.3">
      <c r="B19" s="7" t="s">
        <v>203</v>
      </c>
      <c r="C19" s="73">
        <f>SUMIF('Monthly Detail'!$4:$4, '2023 Overview'!C$11, 'Monthly Detail'!$84:$84)</f>
        <v>235.13</v>
      </c>
      <c r="D19" s="73">
        <f>SUMIF('Monthly Detail'!$4:$4, '2023 Overview'!D$11, 'Monthly Detail'!$84:$84)</f>
        <v>153.76</v>
      </c>
      <c r="E19" s="73">
        <f>SUMIF('Monthly Detail'!$4:$4, '2023 Overview'!E$11, 'Monthly Detail'!$84:$84)</f>
        <v>105.36</v>
      </c>
      <c r="F19" s="73">
        <f>SUMIF('Monthly Detail'!$4:$4, '2023 Overview'!F$11, 'Monthly Detail'!$84:$84)</f>
        <v>272.83999999999997</v>
      </c>
      <c r="G19" s="73">
        <f>SUMIF('Monthly Detail'!$4:$4, '2023 Overview'!G$11, 'Monthly Detail'!$84:$84)</f>
        <v>551</v>
      </c>
      <c r="H19" s="73">
        <f>SUMIF('Monthly Detail'!$4:$4, '2023 Overview'!H$11, 'Monthly Detail'!$84:$84)</f>
        <v>647.26</v>
      </c>
      <c r="I19" s="73">
        <f>SUMIF('Monthly Detail'!$4:$4, '2023 Overview'!I$11, 'Monthly Detail'!$84:$84)</f>
        <v>432.76</v>
      </c>
      <c r="J19" s="73">
        <f>SUMIF('Monthly Detail'!$4:$4, '2023 Overview'!J$11, 'Monthly Detail'!$84:$84)</f>
        <v>851.95</v>
      </c>
      <c r="K19" s="73">
        <f>SUMIF('Monthly Detail'!$4:$4, '2023 Overview'!K$11, 'Monthly Detail'!$84:$84)</f>
        <v>1646.3600000000001</v>
      </c>
      <c r="L19" s="73">
        <f>SUMIF('Monthly Detail'!$4:$4, '2023 Overview'!L$11, 'Monthly Detail'!$84:$84)</f>
        <v>1347.4700000000003</v>
      </c>
      <c r="M19" s="73">
        <f>SUMIF('Monthly Detail'!$4:$4, '2023 Overview'!M$11, 'Monthly Detail'!$84:$84)</f>
        <v>906.43000000000006</v>
      </c>
      <c r="N19" s="151">
        <f>SUMIF('Monthly Detail'!$4:$4, '2023 Overview'!N$11, 'Monthly Detail'!$84:$84)</f>
        <v>797.47</v>
      </c>
      <c r="P19" s="73">
        <f>SUM(C19:O19)</f>
        <v>7947.7900000000009</v>
      </c>
      <c r="T19" s="1"/>
    </row>
    <row r="20" spans="2:20" x14ac:dyDescent="0.3">
      <c r="B20" s="7" t="s">
        <v>202</v>
      </c>
      <c r="C20" s="73">
        <f>SUMIF('Monthly Detail'!$4:$4, '2022 Overview'!C$11, 'Monthly Detail'!49:49)</f>
        <v>0</v>
      </c>
      <c r="D20" s="73">
        <f>SUMIF('Monthly Detail'!$4:$4, '2022 Overview'!D$11, 'Monthly Detail'!49:49)</f>
        <v>0</v>
      </c>
      <c r="E20" s="73">
        <f>SUMIF('Monthly Detail'!$4:$4, '2022 Overview'!E$11, 'Monthly Detail'!49:49)</f>
        <v>0</v>
      </c>
      <c r="F20" s="73">
        <f>SUMIF('Monthly Detail'!$4:$4, '2022 Overview'!F$11, 'Monthly Detail'!49:49)</f>
        <v>0</v>
      </c>
      <c r="G20" s="73">
        <f>SUMIF('Monthly Detail'!$4:$4, '2022 Overview'!G$11, 'Monthly Detail'!49:49)</f>
        <v>0</v>
      </c>
      <c r="H20" s="73">
        <f>SUMIF('Monthly Detail'!$4:$4, '2022 Overview'!H$11, 'Monthly Detail'!49:49)</f>
        <v>0</v>
      </c>
      <c r="I20" s="73">
        <f>SUMIF('Monthly Detail'!$4:$4, '2022 Overview'!I$11, 'Monthly Detail'!49:49)</f>
        <v>0</v>
      </c>
      <c r="J20" s="73">
        <f>SUMIF('Monthly Detail'!$4:$4, '2022 Overview'!J$11, 'Monthly Detail'!49:49)</f>
        <v>0</v>
      </c>
      <c r="K20" s="73">
        <f>SUMIF('Monthly Detail'!$4:$4, '2022 Overview'!K$11, 'Monthly Detail'!49:49)</f>
        <v>0</v>
      </c>
      <c r="L20" s="73">
        <f>SUMIF('Monthly Detail'!$4:$4, '2022 Overview'!L$11, 'Monthly Detail'!49:49)</f>
        <v>0</v>
      </c>
      <c r="M20" s="73">
        <f>SUMIF('Monthly Detail'!$4:$4, '2022 Overview'!M$11, 'Monthly Detail'!49:49)</f>
        <v>0</v>
      </c>
      <c r="N20" s="151">
        <f>SUMIF('Monthly Detail'!$4:$4, '2022 Overview'!N$11, 'Monthly Detail'!49:49)</f>
        <v>0</v>
      </c>
      <c r="P20" s="73">
        <f>SUM(C20:O20)</f>
        <v>0</v>
      </c>
      <c r="T20" s="1"/>
    </row>
    <row r="21" spans="2:20" x14ac:dyDescent="0.3">
      <c r="B21" s="78" t="s">
        <v>167</v>
      </c>
      <c r="C21" s="79">
        <f>SUM(C19:C20)</f>
        <v>235.13</v>
      </c>
      <c r="D21" s="79">
        <f t="shared" ref="D21:N21" si="2">SUM(D19:D20)</f>
        <v>153.76</v>
      </c>
      <c r="E21" s="79">
        <f t="shared" si="2"/>
        <v>105.36</v>
      </c>
      <c r="F21" s="79">
        <f t="shared" si="2"/>
        <v>272.83999999999997</v>
      </c>
      <c r="G21" s="79">
        <f t="shared" si="2"/>
        <v>551</v>
      </c>
      <c r="H21" s="79">
        <f t="shared" si="2"/>
        <v>647.26</v>
      </c>
      <c r="I21" s="79">
        <f t="shared" si="2"/>
        <v>432.76</v>
      </c>
      <c r="J21" s="79">
        <f t="shared" si="2"/>
        <v>851.95</v>
      </c>
      <c r="K21" s="79">
        <f t="shared" si="2"/>
        <v>1646.3600000000001</v>
      </c>
      <c r="L21" s="79">
        <f t="shared" si="2"/>
        <v>1347.4700000000003</v>
      </c>
      <c r="M21" s="79">
        <f t="shared" si="2"/>
        <v>906.43000000000006</v>
      </c>
      <c r="N21" s="156">
        <f t="shared" si="2"/>
        <v>797.47</v>
      </c>
      <c r="O21" s="80"/>
      <c r="P21" s="79">
        <f>SUM(P19:P20)</f>
        <v>7947.7900000000009</v>
      </c>
    </row>
    <row r="22" spans="2:20" ht="3" customHeight="1" x14ac:dyDescent="0.3">
      <c r="B22" s="7"/>
      <c r="N22" s="115"/>
    </row>
    <row r="23" spans="2:20" ht="15.6" x14ac:dyDescent="0.3">
      <c r="B23" s="87" t="s">
        <v>168</v>
      </c>
      <c r="C23" s="88">
        <f t="shared" ref="C23:N23" si="3">C16-C21</f>
        <v>-235.03</v>
      </c>
      <c r="D23" s="88">
        <f t="shared" si="3"/>
        <v>-153.66</v>
      </c>
      <c r="E23" s="88">
        <f t="shared" si="3"/>
        <v>-105.26</v>
      </c>
      <c r="F23" s="88">
        <f t="shared" si="3"/>
        <v>-272.73999999999995</v>
      </c>
      <c r="G23" s="88">
        <f t="shared" si="3"/>
        <v>-550.9</v>
      </c>
      <c r="H23" s="88">
        <f t="shared" si="3"/>
        <v>-647.16</v>
      </c>
      <c r="I23" s="88">
        <f t="shared" si="3"/>
        <v>-432.65999999999997</v>
      </c>
      <c r="J23" s="88">
        <f t="shared" si="3"/>
        <v>-476.95000000000005</v>
      </c>
      <c r="K23" s="88">
        <f t="shared" si="3"/>
        <v>-571.36000000000013</v>
      </c>
      <c r="L23" s="88">
        <f t="shared" si="3"/>
        <v>2417.5299999999997</v>
      </c>
      <c r="M23" s="88">
        <f t="shared" si="3"/>
        <v>1183.57</v>
      </c>
      <c r="N23" s="154">
        <f t="shared" si="3"/>
        <v>1235.03</v>
      </c>
      <c r="O23" s="77"/>
      <c r="P23" s="88">
        <f>P16-P21</f>
        <v>1264.7099999999991</v>
      </c>
    </row>
    <row r="24" spans="2:20" x14ac:dyDescent="0.3">
      <c r="B24" s="89" t="s">
        <v>169</v>
      </c>
      <c r="C24" s="90">
        <f>C23/C14</f>
        <v>-2350.2999999999997</v>
      </c>
      <c r="D24" s="90">
        <f t="shared" ref="D24:N24" si="4">D23/D14</f>
        <v>-1536.6</v>
      </c>
      <c r="E24" s="90">
        <f t="shared" si="4"/>
        <v>-1052.5999999999999</v>
      </c>
      <c r="F24" s="90">
        <f t="shared" si="4"/>
        <v>-2727.3999999999992</v>
      </c>
      <c r="G24" s="90">
        <f t="shared" si="4"/>
        <v>-5508.9999999999991</v>
      </c>
      <c r="H24" s="90">
        <f t="shared" si="4"/>
        <v>-6471.5999999999995</v>
      </c>
      <c r="I24" s="90">
        <f t="shared" si="4"/>
        <v>-4326.5999999999995</v>
      </c>
      <c r="J24" s="90">
        <f t="shared" si="4"/>
        <v>-1.2718666666666667</v>
      </c>
      <c r="K24" s="90">
        <f t="shared" si="4"/>
        <v>-0.53149767441860474</v>
      </c>
      <c r="L24" s="90">
        <f t="shared" si="4"/>
        <v>0.64210624169986708</v>
      </c>
      <c r="M24" s="90">
        <f t="shared" si="4"/>
        <v>0.56630143540669853</v>
      </c>
      <c r="N24" s="155">
        <f t="shared" si="4"/>
        <v>0.60764083640836408</v>
      </c>
      <c r="O24" s="7"/>
      <c r="P24" s="90">
        <f>P23/P14</f>
        <v>0.13728195386702841</v>
      </c>
    </row>
    <row r="25" spans="2:20" ht="8.25" customHeight="1" x14ac:dyDescent="0.3">
      <c r="B25" s="81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57"/>
      <c r="P25" s="82"/>
    </row>
    <row r="26" spans="2:20" x14ac:dyDescent="0.3">
      <c r="B26" s="7" t="s">
        <v>170</v>
      </c>
      <c r="C26" s="73">
        <f>SUMIF('Monthly Detail'!$4:$4, '2022 Overview'!C$11, 'Monthly Detail'!77:77)</f>
        <v>0</v>
      </c>
      <c r="D26" s="73">
        <f>SUMIF('Monthly Detail'!$4:$4, '2022 Overview'!D$11, 'Monthly Detail'!77:77)</f>
        <v>0</v>
      </c>
      <c r="E26" s="73">
        <f>SUMIF('Monthly Detail'!$4:$4, '2022 Overview'!E$11, 'Monthly Detail'!77:77)</f>
        <v>0</v>
      </c>
      <c r="F26" s="73">
        <f>SUMIF('Monthly Detail'!$4:$4, '2022 Overview'!F$11, 'Monthly Detail'!77:77)</f>
        <v>0</v>
      </c>
      <c r="G26" s="73">
        <f>SUMIF('Monthly Detail'!$4:$4, '2022 Overview'!G$11, 'Monthly Detail'!77:77)</f>
        <v>0</v>
      </c>
      <c r="H26" s="73">
        <f>SUMIF('Monthly Detail'!$4:$4, '2022 Overview'!H$11, 'Monthly Detail'!77:77)</f>
        <v>0</v>
      </c>
      <c r="I26" s="73">
        <f>SUMIF('Monthly Detail'!$4:$4, '2022 Overview'!I$11, 'Monthly Detail'!77:77)</f>
        <v>0</v>
      </c>
      <c r="J26" s="73">
        <f>SUMIF('Monthly Detail'!$4:$4, '2022 Overview'!J$11, 'Monthly Detail'!77:77)</f>
        <v>0</v>
      </c>
      <c r="K26" s="73">
        <f>SUMIF('Monthly Detail'!$4:$4, '2022 Overview'!K$11, 'Monthly Detail'!77:77)</f>
        <v>0</v>
      </c>
      <c r="L26" s="128">
        <f>SUMIF('Monthly Detail'!$4:$4, '2022 Overview'!L$11, 'Monthly Detail'!77:77)</f>
        <v>279.60000000000002</v>
      </c>
      <c r="M26" s="131">
        <f>SUMIF('Monthly Detail'!$4:$4, '2022 Overview'!M$11, 'Monthly Detail'!77:77)</f>
        <v>75</v>
      </c>
      <c r="N26" s="158">
        <f>SUMIF('Monthly Detail'!$4:$4, '2022 Overview'!N$11, 'Monthly Detail'!77:77)</f>
        <v>75</v>
      </c>
      <c r="O26" s="73"/>
      <c r="P26" s="128">
        <f>SUM(C26:O26)</f>
        <v>429.6</v>
      </c>
    </row>
    <row r="27" spans="2:20" ht="15.6" x14ac:dyDescent="0.3">
      <c r="B27" s="87" t="s">
        <v>16</v>
      </c>
      <c r="C27" s="88">
        <f t="shared" ref="C27:N27" si="5">C23+SUM(C26:C26)</f>
        <v>-235.03</v>
      </c>
      <c r="D27" s="88">
        <f t="shared" si="5"/>
        <v>-153.66</v>
      </c>
      <c r="E27" s="88">
        <f t="shared" si="5"/>
        <v>-105.26</v>
      </c>
      <c r="F27" s="88">
        <f t="shared" si="5"/>
        <v>-272.73999999999995</v>
      </c>
      <c r="G27" s="88">
        <f t="shared" si="5"/>
        <v>-550.9</v>
      </c>
      <c r="H27" s="88">
        <f t="shared" si="5"/>
        <v>-647.16</v>
      </c>
      <c r="I27" s="88">
        <f t="shared" si="5"/>
        <v>-432.65999999999997</v>
      </c>
      <c r="J27" s="88">
        <f t="shared" si="5"/>
        <v>-476.95000000000005</v>
      </c>
      <c r="K27" s="88">
        <f t="shared" si="5"/>
        <v>-571.36000000000013</v>
      </c>
      <c r="L27" s="88">
        <f t="shared" si="5"/>
        <v>2697.1299999999997</v>
      </c>
      <c r="M27" s="88">
        <f t="shared" si="5"/>
        <v>1258.57</v>
      </c>
      <c r="N27" s="154">
        <f t="shared" si="5"/>
        <v>1310.03</v>
      </c>
      <c r="O27" s="77"/>
      <c r="P27" s="88">
        <f>P23+SUM(P26:P26)</f>
        <v>1694.309999999999</v>
      </c>
    </row>
    <row r="28" spans="2:20" x14ac:dyDescent="0.3">
      <c r="B28" s="89" t="s">
        <v>171</v>
      </c>
      <c r="C28" s="90">
        <f t="shared" ref="C28:N28" si="6">C27/C14</f>
        <v>-2350.2999999999997</v>
      </c>
      <c r="D28" s="90">
        <f t="shared" si="6"/>
        <v>-1536.6</v>
      </c>
      <c r="E28" s="90">
        <f t="shared" si="6"/>
        <v>-1052.5999999999999</v>
      </c>
      <c r="F28" s="90">
        <f t="shared" si="6"/>
        <v>-2727.3999999999992</v>
      </c>
      <c r="G28" s="90">
        <f t="shared" si="6"/>
        <v>-5508.9999999999991</v>
      </c>
      <c r="H28" s="90">
        <f t="shared" si="6"/>
        <v>-6471.5999999999995</v>
      </c>
      <c r="I28" s="90">
        <f t="shared" si="6"/>
        <v>-4326.5999999999995</v>
      </c>
      <c r="J28" s="90">
        <f t="shared" si="6"/>
        <v>-1.2718666666666667</v>
      </c>
      <c r="K28" s="90">
        <f t="shared" si="6"/>
        <v>-0.53149767441860474</v>
      </c>
      <c r="L28" s="90">
        <f t="shared" si="6"/>
        <v>0.71636918990703846</v>
      </c>
      <c r="M28" s="90">
        <f t="shared" si="6"/>
        <v>0.60218660287081338</v>
      </c>
      <c r="N28" s="155">
        <f t="shared" si="6"/>
        <v>0.64454120541205406</v>
      </c>
      <c r="O28" s="7"/>
      <c r="P28" s="90">
        <f>P27/P14</f>
        <v>0.18391424694708267</v>
      </c>
    </row>
    <row r="29" spans="2:20" ht="15" thickBot="1" x14ac:dyDescent="0.35">
      <c r="B29" s="7"/>
      <c r="M29" s="108"/>
      <c r="N29" s="115"/>
    </row>
    <row r="30" spans="2:20" x14ac:dyDescent="0.3">
      <c r="B30" s="83" t="s">
        <v>172</v>
      </c>
      <c r="C30" s="84">
        <f>SUMIF('Monthly Detail'!$4:$4, '2022 Overview'!C$11, 'Monthly Detail'!149:149)</f>
        <v>0</v>
      </c>
      <c r="D30" s="84">
        <f>SUMIF('Monthly Detail'!$4:$4, '2022 Overview'!D$11, 'Monthly Detail'!149:149)</f>
        <v>0</v>
      </c>
      <c r="E30" s="84">
        <f>SUMIF('Monthly Detail'!$4:$4, '2022 Overview'!E$11, 'Monthly Detail'!149:149)</f>
        <v>0</v>
      </c>
      <c r="F30" s="84">
        <f>SUMIF('Monthly Detail'!$4:$4, '2022 Overview'!F$11, 'Monthly Detail'!149:149)</f>
        <v>0</v>
      </c>
      <c r="G30" s="84">
        <f>SUMIF('Monthly Detail'!$4:$4, '2022 Overview'!G$11, 'Monthly Detail'!149:149)</f>
        <v>0</v>
      </c>
      <c r="H30" s="84">
        <f>SUMIF('Monthly Detail'!$4:$4, '2022 Overview'!H$11, 'Monthly Detail'!149:149)</f>
        <v>0</v>
      </c>
      <c r="I30" s="84">
        <f>SUMIF('Monthly Detail'!$4:$4, '2022 Overview'!I$11, 'Monthly Detail'!149:149)</f>
        <v>0</v>
      </c>
      <c r="J30" s="84">
        <f>SUMIF('Monthly Detail'!$4:$4, '2022 Overview'!J$11, 'Monthly Detail'!149:149)</f>
        <v>255</v>
      </c>
      <c r="K30" s="84">
        <f>SUMIF('Monthly Detail'!$4:$4, '2022 Overview'!K$11, 'Monthly Detail'!149:149)</f>
        <v>478</v>
      </c>
      <c r="L30" s="84">
        <f>SUMIF('Monthly Detail'!$4:$4, '2022 Overview'!L$11, 'Monthly Detail'!149:149)</f>
        <v>1020.3600000000001</v>
      </c>
      <c r="M30" s="84">
        <f>SUMIF('Monthly Detail'!$4:$4, '2022 Overview'!M$11, 'Monthly Detail'!149:149)</f>
        <v>862.40000000000009</v>
      </c>
      <c r="N30" s="159">
        <f>SUMIF('Monthly Detail'!$4:$4, '2022 Overview'!N$11, 'Monthly Detail'!149:149)</f>
        <v>-55.899999999999864</v>
      </c>
    </row>
    <row r="31" spans="2:20" ht="15" thickBot="1" x14ac:dyDescent="0.35">
      <c r="B31" s="85" t="s">
        <v>173</v>
      </c>
      <c r="C31" s="86">
        <f>SUMIF('Monthly Detail'!$4:$4, '2022 Overview'!C$11, 'Monthly Detail'!135:135)</f>
        <v>0</v>
      </c>
      <c r="D31" s="86">
        <f>D30-C30</f>
        <v>0</v>
      </c>
      <c r="E31" s="86">
        <f t="shared" ref="E31:N31" si="7">E30-D30</f>
        <v>0</v>
      </c>
      <c r="F31" s="86">
        <f t="shared" si="7"/>
        <v>0</v>
      </c>
      <c r="G31" s="86">
        <f t="shared" si="7"/>
        <v>0</v>
      </c>
      <c r="H31" s="86">
        <f t="shared" si="7"/>
        <v>0</v>
      </c>
      <c r="I31" s="86">
        <f t="shared" si="7"/>
        <v>0</v>
      </c>
      <c r="J31" s="86">
        <f t="shared" si="7"/>
        <v>255</v>
      </c>
      <c r="K31" s="86">
        <f t="shared" si="7"/>
        <v>223</v>
      </c>
      <c r="L31" s="86">
        <f t="shared" si="7"/>
        <v>542.36000000000013</v>
      </c>
      <c r="M31" s="86">
        <f t="shared" si="7"/>
        <v>-157.96000000000004</v>
      </c>
      <c r="N31" s="160">
        <f t="shared" si="7"/>
        <v>-918.3</v>
      </c>
    </row>
  </sheetData>
  <pageMargins left="0.7" right="0.7" top="0.75" bottom="0.75" header="0.3" footer="0.3"/>
  <pageSetup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M27" sqref="M27"/>
    </sheetView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2023 Overview</vt:lpstr>
      <vt:lpstr>2024 Overview (Budget)</vt:lpstr>
      <vt:lpstr>2024 Overview</vt:lpstr>
      <vt:lpstr>2024 AOP</vt:lpstr>
      <vt:lpstr>Quarterly Overview</vt:lpstr>
      <vt:lpstr>2022 Overview</vt:lpstr>
      <vt:lpstr>2</vt:lpstr>
      <vt:lpstr>Monthly Detail</vt:lpstr>
      <vt:lpstr>3</vt:lpstr>
      <vt:lpstr>October</vt:lpstr>
      <vt:lpstr>September</vt:lpstr>
      <vt:lpstr>August</vt:lpstr>
      <vt:lpstr>People Plan</vt:lpstr>
      <vt:lpstr>Actual vs. Forecast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2024-10-03T21:41:42Z</cp:lastPrinted>
  <dcterms:created xsi:type="dcterms:W3CDTF">2022-12-01T00:32:54Z</dcterms:created>
  <dcterms:modified xsi:type="dcterms:W3CDTF">2024-11-26T22:45:10Z</dcterms:modified>
</cp:coreProperties>
</file>