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OneDrive\Documents\GitHub\finevalgroup\"/>
    </mc:Choice>
  </mc:AlternateContent>
  <xr:revisionPtr revIDLastSave="0" documentId="13_ncr:8001_{D09CA7A6-DB32-4F37-B1FC-3CEA7E26B436}" xr6:coauthVersionLast="47" xr6:coauthVersionMax="47" xr10:uidLastSave="{00000000-0000-0000-0000-000000000000}"/>
  <bookViews>
    <workbookView xWindow="-16320" yWindow="1200" windowWidth="16440" windowHeight="28320" activeTab="3" xr2:uid="{4A5966DC-0FC3-4D3A-A562-812D849944C0}"/>
  </bookViews>
  <sheets>
    <sheet name="1" sheetId="2" r:id="rId1"/>
    <sheet name="2023 Overview" sheetId="15" state="hidden" r:id="rId2"/>
    <sheet name="2024 Overview (Budget)" sheetId="27" state="hidden" r:id="rId3"/>
    <sheet name="Annual Summary" sheetId="5" r:id="rId4"/>
    <sheet name="2025 AOP" sheetId="40" r:id="rId5"/>
    <sheet name="2025 Overview (Accrual Basis)" sheetId="34" r:id="rId6"/>
    <sheet name="2024 Overview (Accrual Basis)" sheetId="32" state="hidden" r:id="rId7"/>
    <sheet name="2024 Overview (Cash Basis)" sheetId="31" state="hidden" r:id="rId8"/>
    <sheet name="2024 Overview (Rolling)" sheetId="25" state="hidden" r:id="rId9"/>
    <sheet name="2024 AOP" sheetId="26" state="hidden" r:id="rId10"/>
    <sheet name="2022 Overview" sheetId="6" state="hidden" r:id="rId11"/>
    <sheet name="DCF" sheetId="33" state="hidden" r:id="rId12"/>
    <sheet name="Quarterly Overview" sheetId="37" r:id="rId13"/>
    <sheet name="2" sheetId="3" r:id="rId14"/>
    <sheet name="Monthly Detail" sheetId="1" r:id="rId15"/>
    <sheet name="Actual vs. Forecast" sheetId="39" r:id="rId16"/>
    <sheet name="People Plan" sheetId="24" r:id="rId17"/>
    <sheet name="3" sheetId="4" r:id="rId18"/>
    <sheet name="Home Builder Revenue Build" sheetId="28" r:id="rId19"/>
    <sheet name="Contractor Revenue Build" sheetId="29" r:id="rId20"/>
    <sheet name="October" sheetId="11" state="hidden" r:id="rId21"/>
    <sheet name="September" sheetId="12" state="hidden" r:id="rId22"/>
    <sheet name="August" sheetId="13" state="hidden" r:id="rId23"/>
    <sheet name="New Sales Forecast" sheetId="30" r:id="rId24"/>
    <sheet name="Assumptions" sheetId="36" r:id="rId25"/>
    <sheet name="Holidays" sheetId="9" state="hidden" r:id="rId26"/>
    <sheet name="December" sheetId="19" state="hidden" r:id="rId27"/>
    <sheet name="November" sheetId="16" state="hidden" r:id="rId28"/>
    <sheet name="River" sheetId="18" state="hidden" r:id="rId29"/>
  </sheets>
  <definedNames>
    <definedName name="_xlnm._FilterDatabase" localSheetId="26" hidden="1">December!$A$1:$K$16</definedName>
    <definedName name="_xlnm._FilterDatabase" localSheetId="27" hidden="1">November!$A$1:$L$25</definedName>
    <definedName name="_xlnm._FilterDatabase" localSheetId="20" hidden="1">October!$A$1:$K$41</definedName>
    <definedName name="MLNK04527a7a692d4c5a962de6ed08306286" localSheetId="15" hidden="1">#REF!</definedName>
    <definedName name="MLNK04527a7a692d4c5a962de6ed08306286" localSheetId="19" hidden="1">#REF!</definedName>
    <definedName name="MLNK04527a7a692d4c5a962de6ed08306286" localSheetId="11" hidden="1">#REF!</definedName>
    <definedName name="MLNK04527a7a692d4c5a962de6ed08306286" localSheetId="23" hidden="1">#REF!</definedName>
    <definedName name="MLNK04527a7a692d4c5a962de6ed08306286" localSheetId="12" hidden="1">#REF!</definedName>
    <definedName name="MLNK04527a7a692d4c5a962de6ed08306286" hidden="1">#REF!</definedName>
    <definedName name="_xlnm.Print_Area" localSheetId="10">'2022 Overview'!$B$2:$P$31</definedName>
    <definedName name="_xlnm.Print_Area" localSheetId="3">'Annual Summary'!$B$3:$Y$53</definedName>
  </definedNames>
  <calcPr calcId="191029"/>
  <pivotCaches>
    <pivotCache cacheId="0" r:id="rId30"/>
    <pivotCache cacheId="1" r:id="rId31"/>
    <pivotCache cacheId="2" r:id="rId32"/>
    <pivotCache cacheId="3" r:id="rId3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04" i="1" l="1"/>
  <c r="AT107" i="1"/>
  <c r="AS108" i="1"/>
  <c r="M7" i="24"/>
  <c r="M6" i="24"/>
  <c r="AR144" i="1"/>
  <c r="W39" i="29"/>
  <c r="W40" i="29" s="1"/>
  <c r="AS133" i="1"/>
  <c r="AR133" i="1"/>
  <c r="AR106" i="1"/>
  <c r="AR107" i="1" s="1"/>
  <c r="AS106" i="1"/>
  <c r="AS107" i="1" s="1"/>
  <c r="AS156" i="1"/>
  <c r="AS158" i="1"/>
  <c r="AS165" i="1"/>
  <c r="AS174" i="1"/>
  <c r="AT156" i="1"/>
  <c r="AT158" i="1"/>
  <c r="AT163" i="1"/>
  <c r="AT164" i="1"/>
  <c r="AT169" i="1"/>
  <c r="AT170" i="1"/>
  <c r="AT171" i="1"/>
  <c r="AT174" i="1"/>
  <c r="AS48" i="1"/>
  <c r="AS78" i="1" s="1"/>
  <c r="AS79" i="1" s="1"/>
  <c r="AS49" i="1"/>
  <c r="AS57" i="1"/>
  <c r="AS61" i="1"/>
  <c r="AS68" i="1"/>
  <c r="AS88" i="1"/>
  <c r="AA60" i="39" s="1"/>
  <c r="AS91" i="1"/>
  <c r="AS111" i="1"/>
  <c r="AS117" i="1"/>
  <c r="AS120" i="1"/>
  <c r="AS125" i="1"/>
  <c r="AS143" i="1"/>
  <c r="AT49" i="1"/>
  <c r="AT52" i="1"/>
  <c r="AT57" i="1" s="1"/>
  <c r="AT53" i="1"/>
  <c r="AT54" i="1"/>
  <c r="AT55" i="1"/>
  <c r="AT56" i="1"/>
  <c r="AT61" i="1"/>
  <c r="AT64" i="1"/>
  <c r="AT68" i="1" s="1"/>
  <c r="AT66" i="1"/>
  <c r="AT67" i="1"/>
  <c r="AT69" i="1"/>
  <c r="AT70" i="1"/>
  <c r="AT71" i="1"/>
  <c r="AT72" i="1"/>
  <c r="AT73" i="1"/>
  <c r="AT75" i="1"/>
  <c r="AT76" i="1"/>
  <c r="AT88" i="1"/>
  <c r="AT91" i="1" s="1"/>
  <c r="AT114" i="1"/>
  <c r="AT115" i="1"/>
  <c r="AT117" i="1"/>
  <c r="AT119" i="1"/>
  <c r="AT120" i="1"/>
  <c r="AT132" i="1"/>
  <c r="AT137" i="1"/>
  <c r="AT138" i="1"/>
  <c r="AT143" i="1" s="1"/>
  <c r="AT144" i="1"/>
  <c r="AS9" i="1"/>
  <c r="AS10" i="1" s="1"/>
  <c r="AS11" i="1"/>
  <c r="AS31" i="1" s="1"/>
  <c r="AS12" i="1"/>
  <c r="AS32" i="1" s="1"/>
  <c r="AS13" i="1"/>
  <c r="AS27" i="1"/>
  <c r="AS28" i="1" s="1"/>
  <c r="AS35" i="1" s="1"/>
  <c r="AS29" i="1"/>
  <c r="AS30" i="1"/>
  <c r="AS42" i="1"/>
  <c r="AT6" i="1"/>
  <c r="AT7" i="1"/>
  <c r="AT9" i="1" s="1"/>
  <c r="AT10" i="1" s="1"/>
  <c r="AT11" i="1"/>
  <c r="AT12" i="1"/>
  <c r="AT26" i="1" s="1"/>
  <c r="AT13" i="1"/>
  <c r="AT23" i="1"/>
  <c r="AT27" i="1" s="1"/>
  <c r="AT28" i="1" s="1"/>
  <c r="AT35" i="1" s="1"/>
  <c r="AT24" i="1"/>
  <c r="AT25" i="1"/>
  <c r="AT40" i="1"/>
  <c r="AT42" i="1" s="1"/>
  <c r="X10" i="29"/>
  <c r="X11" i="29"/>
  <c r="X12" i="29"/>
  <c r="X13" i="29"/>
  <c r="X14" i="29"/>
  <c r="X15" i="29"/>
  <c r="X16" i="29"/>
  <c r="X17" i="29"/>
  <c r="X18" i="29"/>
  <c r="X19" i="29"/>
  <c r="X21" i="29"/>
  <c r="X22" i="29"/>
  <c r="X27" i="29"/>
  <c r="X28" i="29"/>
  <c r="X29" i="29"/>
  <c r="X30" i="29"/>
  <c r="X31" i="29"/>
  <c r="X32" i="29"/>
  <c r="X33" i="29"/>
  <c r="X34" i="29"/>
  <c r="X35" i="29"/>
  <c r="X38" i="29"/>
  <c r="AH17" i="28"/>
  <c r="AI17" i="28" s="1"/>
  <c r="C18" i="28"/>
  <c r="AN45" i="39"/>
  <c r="AA59" i="39"/>
  <c r="AO59" i="39" s="1"/>
  <c r="AA55" i="39"/>
  <c r="AO55" i="39" s="1"/>
  <c r="AA54" i="39"/>
  <c r="AO54" i="39" s="1"/>
  <c r="AA53" i="39"/>
  <c r="AO53" i="39" s="1"/>
  <c r="AA52" i="39"/>
  <c r="AO52" i="39" s="1"/>
  <c r="AA51" i="39"/>
  <c r="AO51" i="39" s="1"/>
  <c r="AA50" i="39"/>
  <c r="AN50" i="39" s="1"/>
  <c r="AA49" i="39"/>
  <c r="AN49" i="39" s="1"/>
  <c r="AA48" i="39"/>
  <c r="AO48" i="39" s="1"/>
  <c r="AA47" i="39"/>
  <c r="AO47" i="39" s="1"/>
  <c r="AA46" i="39"/>
  <c r="AO46" i="39" s="1"/>
  <c r="AA45" i="39"/>
  <c r="AO45" i="39" s="1"/>
  <c r="AA44" i="39"/>
  <c r="AO44" i="39" s="1"/>
  <c r="AA42" i="39"/>
  <c r="AN42" i="39" s="1"/>
  <c r="AA31" i="39"/>
  <c r="AA29" i="39"/>
  <c r="AA28" i="39"/>
  <c r="AA27" i="39"/>
  <c r="AA26" i="39"/>
  <c r="AA25" i="39"/>
  <c r="AA24" i="39"/>
  <c r="AA23" i="39"/>
  <c r="AA22" i="39"/>
  <c r="AA21" i="39"/>
  <c r="AA20" i="39"/>
  <c r="AA19" i="39"/>
  <c r="AA18" i="39"/>
  <c r="W21" i="29"/>
  <c r="W22" i="29"/>
  <c r="W27" i="29"/>
  <c r="W28" i="29"/>
  <c r="W29" i="29"/>
  <c r="W30" i="29"/>
  <c r="W31" i="29"/>
  <c r="W32" i="29"/>
  <c r="W33" i="29"/>
  <c r="W34" i="29"/>
  <c r="W35" i="29"/>
  <c r="AR9" i="1"/>
  <c r="AR10" i="1" s="1"/>
  <c r="AR27" i="1"/>
  <c r="AR28" i="1" s="1"/>
  <c r="AR42" i="1"/>
  <c r="AR48" i="1"/>
  <c r="AR49" i="1"/>
  <c r="AR57" i="1"/>
  <c r="AR61" i="1"/>
  <c r="AR68" i="1"/>
  <c r="AR88" i="1"/>
  <c r="AR91" i="1" s="1"/>
  <c r="AR111" i="1"/>
  <c r="AR117" i="1"/>
  <c r="AR120" i="1"/>
  <c r="AR125" i="1"/>
  <c r="AR143" i="1"/>
  <c r="AR156" i="1"/>
  <c r="AR158" i="1"/>
  <c r="AR165" i="1"/>
  <c r="AR174" i="1"/>
  <c r="AS150" i="1"/>
  <c r="AS159" i="1" l="1"/>
  <c r="AS160" i="1" s="1"/>
  <c r="AN48" i="39"/>
  <c r="AS83" i="1"/>
  <c r="AS93" i="1" s="1"/>
  <c r="AS34" i="1"/>
  <c r="AS82" i="1" s="1"/>
  <c r="AS92" i="1" s="1"/>
  <c r="AT165" i="1"/>
  <c r="AS112" i="1"/>
  <c r="AT172" i="1"/>
  <c r="AS84" i="1"/>
  <c r="AA61" i="39"/>
  <c r="AN61" i="39" s="1"/>
  <c r="AN60" i="39"/>
  <c r="AN53" i="39"/>
  <c r="AS118" i="1"/>
  <c r="AS121" i="1" s="1"/>
  <c r="AN54" i="39"/>
  <c r="AN59" i="39"/>
  <c r="AS85" i="1"/>
  <c r="AN44" i="39"/>
  <c r="AN46" i="39"/>
  <c r="AN52" i="39"/>
  <c r="AO60" i="39"/>
  <c r="AT34" i="1"/>
  <c r="X41" i="29"/>
  <c r="AO42" i="39"/>
  <c r="AO50" i="39"/>
  <c r="AO49" i="39"/>
  <c r="AN47" i="39"/>
  <c r="AN51" i="39"/>
  <c r="AN55" i="39"/>
  <c r="AR118" i="1"/>
  <c r="AR121" i="1" s="1"/>
  <c r="AR78" i="1"/>
  <c r="AR79" i="1" s="1"/>
  <c r="AR85" i="1" s="1"/>
  <c r="AR112" i="1"/>
  <c r="AR34" i="1"/>
  <c r="AR159" i="1"/>
  <c r="AR160" i="1" s="1"/>
  <c r="AA43" i="39"/>
  <c r="AO43" i="39" s="1"/>
  <c r="AN43" i="39" l="1"/>
  <c r="AO61" i="39"/>
  <c r="AA56" i="39"/>
  <c r="AO56" i="39" s="1"/>
  <c r="AA36" i="39"/>
  <c r="AR82" i="1"/>
  <c r="AR92" i="1" s="1"/>
  <c r="AN56" i="39" l="1"/>
  <c r="AN36" i="39"/>
  <c r="AO36" i="39"/>
  <c r="E43" i="34"/>
  <c r="AY47" i="1"/>
  <c r="AQ49" i="1"/>
  <c r="AP49" i="1"/>
  <c r="AO49" i="1"/>
  <c r="AN49" i="1"/>
  <c r="U11" i="30"/>
  <c r="U12" i="30"/>
  <c r="U13" i="30"/>
  <c r="U14" i="30"/>
  <c r="U15" i="30"/>
  <c r="U18" i="30"/>
  <c r="V4" i="30"/>
  <c r="W4" i="30"/>
  <c r="V5" i="30"/>
  <c r="W5" i="30"/>
  <c r="V6" i="30"/>
  <c r="W6" i="30"/>
  <c r="W13" i="30" s="1"/>
  <c r="V7" i="30"/>
  <c r="V14" i="30" s="1"/>
  <c r="W7" i="30"/>
  <c r="W14" i="30" s="1"/>
  <c r="V8" i="30"/>
  <c r="V15" i="30" s="1"/>
  <c r="W8" i="30"/>
  <c r="V11" i="30"/>
  <c r="W11" i="30"/>
  <c r="V12" i="30"/>
  <c r="W12" i="30"/>
  <c r="V13" i="30"/>
  <c r="W15" i="30"/>
  <c r="V17" i="30"/>
  <c r="F25" i="29"/>
  <c r="V39" i="29"/>
  <c r="V4" i="29"/>
  <c r="AQ13" i="1" s="1"/>
  <c r="V10" i="29"/>
  <c r="V11" i="29"/>
  <c r="V12" i="29"/>
  <c r="V38" i="29" s="1"/>
  <c r="V13" i="29"/>
  <c r="V14" i="29"/>
  <c r="V15" i="29"/>
  <c r="V16" i="29"/>
  <c r="V17" i="29"/>
  <c r="V18" i="29"/>
  <c r="V19" i="29"/>
  <c r="V21" i="29"/>
  <c r="V22" i="29"/>
  <c r="V27" i="29"/>
  <c r="V28" i="29"/>
  <c r="V29" i="29"/>
  <c r="V30" i="29"/>
  <c r="V31" i="29"/>
  <c r="V32" i="29"/>
  <c r="V33" i="29"/>
  <c r="V34" i="29"/>
  <c r="V35" i="29"/>
  <c r="AP156" i="1"/>
  <c r="AQ9" i="1"/>
  <c r="AQ10" i="1" s="1"/>
  <c r="AQ27" i="1"/>
  <c r="AQ28" i="1" s="1"/>
  <c r="AQ42" i="1"/>
  <c r="AQ48" i="1"/>
  <c r="AQ57" i="1"/>
  <c r="AQ61" i="1"/>
  <c r="AQ68" i="1"/>
  <c r="AQ88" i="1"/>
  <c r="AQ91" i="1" s="1"/>
  <c r="AQ106" i="1"/>
  <c r="AQ111" i="1"/>
  <c r="AQ117" i="1"/>
  <c r="AQ120" i="1"/>
  <c r="AQ125" i="1"/>
  <c r="AQ133" i="1"/>
  <c r="AQ143" i="1"/>
  <c r="AQ156" i="1"/>
  <c r="AQ158" i="1"/>
  <c r="AQ165" i="1"/>
  <c r="AQ174" i="1"/>
  <c r="N14" i="34"/>
  <c r="M14" i="34"/>
  <c r="L14" i="34"/>
  <c r="K14" i="34"/>
  <c r="J14" i="34"/>
  <c r="I14" i="34"/>
  <c r="H14" i="34"/>
  <c r="G14" i="34"/>
  <c r="F14" i="34"/>
  <c r="E14" i="34"/>
  <c r="D14" i="34"/>
  <c r="C14" i="34"/>
  <c r="D25" i="29"/>
  <c r="AN133" i="1"/>
  <c r="AO133" i="1"/>
  <c r="AP133" i="1"/>
  <c r="AS134" i="1" s="1"/>
  <c r="AP9" i="1"/>
  <c r="AP10" i="1" s="1"/>
  <c r="AP112" i="1" s="1"/>
  <c r="AP13" i="1"/>
  <c r="AP27" i="1"/>
  <c r="AP28" i="1" s="1"/>
  <c r="AP42" i="1"/>
  <c r="AP48" i="1"/>
  <c r="AP57" i="1"/>
  <c r="AP61" i="1"/>
  <c r="AP68" i="1"/>
  <c r="AP88" i="1"/>
  <c r="AP106" i="1"/>
  <c r="AP107" i="1" s="1"/>
  <c r="AP111" i="1"/>
  <c r="AP117" i="1"/>
  <c r="AP120" i="1"/>
  <c r="AP125" i="1"/>
  <c r="AS126" i="1" s="1"/>
  <c r="AT126" i="1" s="1"/>
  <c r="AT124" i="1" s="1"/>
  <c r="AT125" i="1" s="1"/>
  <c r="AP143" i="1"/>
  <c r="AP158" i="1"/>
  <c r="AP165" i="1"/>
  <c r="AP174" i="1"/>
  <c r="BC56" i="1"/>
  <c r="T11" i="30"/>
  <c r="T12" i="30"/>
  <c r="T13" i="30"/>
  <c r="T14" i="30"/>
  <c r="T15" i="30"/>
  <c r="T18" i="30"/>
  <c r="U10" i="29"/>
  <c r="U11" i="29"/>
  <c r="U12" i="29"/>
  <c r="U13" i="29"/>
  <c r="U14" i="29"/>
  <c r="U15" i="29"/>
  <c r="U16" i="29"/>
  <c r="U17" i="29"/>
  <c r="U18" i="29"/>
  <c r="U19" i="29"/>
  <c r="U26" i="29"/>
  <c r="U27" i="29"/>
  <c r="U28" i="29"/>
  <c r="U29" i="29"/>
  <c r="U30" i="29"/>
  <c r="U31" i="29"/>
  <c r="U32" i="29"/>
  <c r="U33" i="29"/>
  <c r="U34" i="29"/>
  <c r="U35" i="29"/>
  <c r="S11" i="30"/>
  <c r="S12" i="30"/>
  <c r="S13" i="30"/>
  <c r="S14" i="30"/>
  <c r="S15" i="30"/>
  <c r="S18" i="30"/>
  <c r="R11" i="30"/>
  <c r="R12" i="30"/>
  <c r="R13" i="30"/>
  <c r="R14" i="30"/>
  <c r="R15" i="30"/>
  <c r="R18" i="30"/>
  <c r="T26" i="29"/>
  <c r="T27" i="29"/>
  <c r="T28" i="29"/>
  <c r="T29" i="29"/>
  <c r="T30" i="29"/>
  <c r="T31" i="29"/>
  <c r="T32" i="29"/>
  <c r="T33" i="29"/>
  <c r="T34" i="29"/>
  <c r="T35" i="29"/>
  <c r="AN144" i="1"/>
  <c r="C25" i="28"/>
  <c r="C33" i="28" s="1"/>
  <c r="BB56" i="1"/>
  <c r="BN56" i="1" s="1"/>
  <c r="BZ56" i="1" s="1"/>
  <c r="BA56" i="1"/>
  <c r="BM56" i="1" s="1"/>
  <c r="BY56" i="1" s="1"/>
  <c r="AZ56" i="1"/>
  <c r="BL56" i="1" s="1"/>
  <c r="BX56" i="1" s="1"/>
  <c r="AY56" i="1"/>
  <c r="BK56" i="1" s="1"/>
  <c r="AX56" i="1"/>
  <c r="BJ56" i="1" s="1"/>
  <c r="AW56" i="1"/>
  <c r="BI56" i="1" s="1"/>
  <c r="AV56" i="1"/>
  <c r="BH56" i="1" s="1"/>
  <c r="AU56" i="1"/>
  <c r="BG56" i="1" s="1"/>
  <c r="BF56" i="1"/>
  <c r="BR56" i="1" s="1"/>
  <c r="BE56" i="1"/>
  <c r="BQ56" i="1" s="1"/>
  <c r="BD56" i="1"/>
  <c r="AO57" i="1"/>
  <c r="AI57" i="1"/>
  <c r="AO174" i="1"/>
  <c r="AO9" i="1"/>
  <c r="AO10" i="1" s="1"/>
  <c r="AO27" i="1"/>
  <c r="AO28" i="1" s="1"/>
  <c r="AO42" i="1"/>
  <c r="AO48" i="1"/>
  <c r="AO61" i="1"/>
  <c r="AO68" i="1"/>
  <c r="AO88" i="1"/>
  <c r="AO91" i="1" s="1"/>
  <c r="AO106" i="1"/>
  <c r="AO107" i="1" s="1"/>
  <c r="D43" i="34" s="1"/>
  <c r="AO111" i="1"/>
  <c r="AO117" i="1"/>
  <c r="AO120" i="1"/>
  <c r="AO125" i="1"/>
  <c r="AO143" i="1"/>
  <c r="AO156" i="1"/>
  <c r="AO158" i="1"/>
  <c r="AO165" i="1"/>
  <c r="AP189" i="1" s="1"/>
  <c r="AP190" i="1" s="1"/>
  <c r="AO31" i="39"/>
  <c r="AO30" i="39"/>
  <c r="AO29" i="39"/>
  <c r="AO28" i="39"/>
  <c r="AO27" i="39"/>
  <c r="AO26" i="39"/>
  <c r="AO25" i="39"/>
  <c r="AO24" i="39"/>
  <c r="AO23" i="39"/>
  <c r="AO22" i="39"/>
  <c r="AO21" i="39"/>
  <c r="AO20" i="39"/>
  <c r="AO19" i="39"/>
  <c r="AO18" i="39"/>
  <c r="AB56" i="39"/>
  <c r="AC56" i="39"/>
  <c r="AD56" i="39"/>
  <c r="AE56" i="39"/>
  <c r="AF56" i="39"/>
  <c r="AG56" i="39"/>
  <c r="AH56" i="39"/>
  <c r="AI56" i="39"/>
  <c r="AJ56" i="39"/>
  <c r="AK56" i="39"/>
  <c r="AL56" i="39"/>
  <c r="AM56" i="39"/>
  <c r="AM36" i="39"/>
  <c r="AL36" i="39"/>
  <c r="AK36" i="39"/>
  <c r="AJ36" i="39"/>
  <c r="AI36" i="39"/>
  <c r="AH36" i="39"/>
  <c r="AG36" i="39"/>
  <c r="AF36" i="39"/>
  <c r="AE36" i="39"/>
  <c r="AD36" i="39"/>
  <c r="AC36" i="39"/>
  <c r="AM35" i="39"/>
  <c r="AL35" i="39"/>
  <c r="AK35" i="39"/>
  <c r="AJ35" i="39"/>
  <c r="AI35" i="39"/>
  <c r="AH35" i="39"/>
  <c r="AG35" i="39"/>
  <c r="AF35" i="39"/>
  <c r="AE35" i="39"/>
  <c r="AD35" i="39"/>
  <c r="AC35" i="39"/>
  <c r="AM34" i="39"/>
  <c r="AL34" i="39"/>
  <c r="AK34" i="39"/>
  <c r="AJ34" i="39"/>
  <c r="AI34" i="39"/>
  <c r="AH34" i="39"/>
  <c r="AG34" i="39"/>
  <c r="AF34" i="39"/>
  <c r="AE34" i="39"/>
  <c r="AD34" i="39"/>
  <c r="AC34" i="39"/>
  <c r="AB35" i="39"/>
  <c r="AB36" i="39"/>
  <c r="AB34" i="39"/>
  <c r="AM17" i="39"/>
  <c r="AL17" i="39"/>
  <c r="AK17" i="39"/>
  <c r="AJ17" i="39"/>
  <c r="AI17" i="39"/>
  <c r="AH17" i="39"/>
  <c r="AG17" i="39"/>
  <c r="AF17" i="39"/>
  <c r="AE17" i="39"/>
  <c r="AD17" i="39"/>
  <c r="AC17" i="39"/>
  <c r="AB17" i="39"/>
  <c r="AM16" i="39"/>
  <c r="AL16" i="39"/>
  <c r="AK16" i="39"/>
  <c r="AJ16" i="39"/>
  <c r="AI16" i="39"/>
  <c r="AH16" i="39"/>
  <c r="AG16" i="39"/>
  <c r="AF16" i="39"/>
  <c r="AE16" i="39"/>
  <c r="AD16" i="39"/>
  <c r="AC16" i="39"/>
  <c r="AB16" i="39"/>
  <c r="W18" i="30" l="1"/>
  <c r="X4" i="29"/>
  <c r="AA17" i="39" s="1"/>
  <c r="AR134" i="1"/>
  <c r="AP159" i="1"/>
  <c r="AP160" i="1" s="1"/>
  <c r="AQ107" i="1"/>
  <c r="AQ189" i="1"/>
  <c r="AQ190" i="1" s="1"/>
  <c r="AQ118" i="1"/>
  <c r="AQ121" i="1" s="1"/>
  <c r="AU49" i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V18" i="30"/>
  <c r="AQ12" i="1"/>
  <c r="AQ32" i="1" s="1"/>
  <c r="V41" i="29"/>
  <c r="AO159" i="1"/>
  <c r="AO160" i="1" s="1"/>
  <c r="AQ159" i="1"/>
  <c r="AQ160" i="1" s="1"/>
  <c r="AQ34" i="1"/>
  <c r="AQ112" i="1"/>
  <c r="AT112" i="1" s="1"/>
  <c r="AT110" i="1" s="1"/>
  <c r="AT111" i="1" s="1"/>
  <c r="AQ78" i="1"/>
  <c r="AQ79" i="1" s="1"/>
  <c r="AQ183" i="1"/>
  <c r="P14" i="34"/>
  <c r="AE37" i="39"/>
  <c r="AE38" i="39" s="1"/>
  <c r="AE39" i="39" s="1"/>
  <c r="AM37" i="39"/>
  <c r="AM38" i="39" s="1"/>
  <c r="AM39" i="39" s="1"/>
  <c r="AF37" i="39"/>
  <c r="AF38" i="39" s="1"/>
  <c r="AF39" i="39" s="1"/>
  <c r="AP34" i="1"/>
  <c r="AP118" i="1"/>
  <c r="AP121" i="1" s="1"/>
  <c r="AP91" i="1"/>
  <c r="AP78" i="1"/>
  <c r="AP79" i="1" s="1"/>
  <c r="AP183" i="1"/>
  <c r="AJ37" i="39"/>
  <c r="AJ38" i="39" s="1"/>
  <c r="AJ39" i="39" s="1"/>
  <c r="AC37" i="39"/>
  <c r="AC38" i="39" s="1"/>
  <c r="AC39" i="39" s="1"/>
  <c r="AK37" i="39"/>
  <c r="AD37" i="39"/>
  <c r="AD38" i="39" s="1"/>
  <c r="AD39" i="39" s="1"/>
  <c r="AG37" i="39"/>
  <c r="AG38" i="39" s="1"/>
  <c r="AG39" i="39" s="1"/>
  <c r="AB37" i="39"/>
  <c r="AB38" i="39" s="1"/>
  <c r="AB39" i="39" s="1"/>
  <c r="AH37" i="39"/>
  <c r="AH38" i="39" s="1"/>
  <c r="AH39" i="39" s="1"/>
  <c r="AL37" i="39"/>
  <c r="AL38" i="39" s="1"/>
  <c r="AL39" i="39" s="1"/>
  <c r="AK38" i="39"/>
  <c r="AK39" i="39" s="1"/>
  <c r="AI37" i="39"/>
  <c r="AI38" i="39" s="1"/>
  <c r="AI39" i="39" s="1"/>
  <c r="BS56" i="1"/>
  <c r="BT56" i="1"/>
  <c r="CC56" i="1"/>
  <c r="BU56" i="1"/>
  <c r="CD56" i="1"/>
  <c r="BV56" i="1"/>
  <c r="CJ56" i="1"/>
  <c r="BO56" i="1"/>
  <c r="BW56" i="1"/>
  <c r="CK56" i="1"/>
  <c r="CL56" i="1"/>
  <c r="BP56" i="1"/>
  <c r="AO78" i="1"/>
  <c r="AO79" i="1" s="1"/>
  <c r="AO118" i="1"/>
  <c r="AO121" i="1" s="1"/>
  <c r="AO112" i="1"/>
  <c r="AO34" i="1"/>
  <c r="AD57" i="39"/>
  <c r="AQ184" i="1" l="1"/>
  <c r="AO17" i="39"/>
  <c r="AN17" i="39"/>
  <c r="F43" i="34"/>
  <c r="AM57" i="39"/>
  <c r="AM58" i="39" s="1"/>
  <c r="AE57" i="39"/>
  <c r="AE58" i="39" s="1"/>
  <c r="AQ82" i="1"/>
  <c r="AQ92" i="1" s="1"/>
  <c r="AQ182" i="1" s="1"/>
  <c r="AQ186" i="1" s="1"/>
  <c r="AQ192" i="1" s="1"/>
  <c r="AP82" i="1"/>
  <c r="AP92" i="1" s="1"/>
  <c r="AP182" i="1" s="1"/>
  <c r="AQ85" i="1"/>
  <c r="AF57" i="39"/>
  <c r="AF58" i="39" s="1"/>
  <c r="AP184" i="1"/>
  <c r="AP85" i="1"/>
  <c r="AG57" i="39"/>
  <c r="AG63" i="39" s="1"/>
  <c r="AJ57" i="39"/>
  <c r="AJ58" i="39" s="1"/>
  <c r="AH57" i="39"/>
  <c r="AH58" i="39" s="1"/>
  <c r="AK57" i="39"/>
  <c r="AK58" i="39" s="1"/>
  <c r="AI57" i="39"/>
  <c r="AI63" i="39" s="1"/>
  <c r="AL57" i="39"/>
  <c r="AL58" i="39" s="1"/>
  <c r="AC57" i="39"/>
  <c r="AC58" i="39" s="1"/>
  <c r="CP56" i="1"/>
  <c r="CE56" i="1"/>
  <c r="CA56" i="1"/>
  <c r="CG56" i="1"/>
  <c r="CV56" i="1"/>
  <c r="CO56" i="1"/>
  <c r="CX56" i="1"/>
  <c r="CB56" i="1"/>
  <c r="CW56" i="1"/>
  <c r="CH56" i="1"/>
  <c r="CF56" i="1"/>
  <c r="CI56" i="1"/>
  <c r="AO85" i="1"/>
  <c r="D44" i="34" s="1"/>
  <c r="AO82" i="1"/>
  <c r="AO92" i="1" s="1"/>
  <c r="AB57" i="39"/>
  <c r="AD58" i="39"/>
  <c r="AD63" i="39"/>
  <c r="AE63" i="39" l="1"/>
  <c r="AM63" i="39"/>
  <c r="AJ63" i="39"/>
  <c r="AC63" i="39"/>
  <c r="AG58" i="39"/>
  <c r="AP186" i="1"/>
  <c r="AP192" i="1" s="1"/>
  <c r="AF63" i="39"/>
  <c r="AI58" i="39"/>
  <c r="AH63" i="39"/>
  <c r="AK63" i="39"/>
  <c r="AL63" i="39"/>
  <c r="DB56" i="1"/>
  <c r="CN56" i="1"/>
  <c r="CU56" i="1"/>
  <c r="CS56" i="1"/>
  <c r="CR56" i="1"/>
  <c r="CM56" i="1"/>
  <c r="CQ56" i="1"/>
  <c r="CT56" i="1"/>
  <c r="DA56" i="1"/>
  <c r="AB63" i="39"/>
  <c r="AB58" i="39"/>
  <c r="DG56" i="1" l="1"/>
  <c r="CZ56" i="1"/>
  <c r="CY56" i="1"/>
  <c r="DD56" i="1"/>
  <c r="DF56" i="1"/>
  <c r="DE56" i="1"/>
  <c r="DC56" i="1"/>
  <c r="S39" i="29"/>
  <c r="S26" i="29"/>
  <c r="S27" i="29"/>
  <c r="S28" i="29"/>
  <c r="S29" i="29"/>
  <c r="S30" i="29"/>
  <c r="S31" i="29"/>
  <c r="S32" i="29"/>
  <c r="S33" i="29"/>
  <c r="S34" i="29"/>
  <c r="S35" i="29"/>
  <c r="F20" i="29"/>
  <c r="AU154" i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AN156" i="1"/>
  <c r="AZ69" i="1"/>
  <c r="BL69" i="1" s="1"/>
  <c r="BX69" i="1" s="1"/>
  <c r="CJ69" i="1" s="1"/>
  <c r="CV69" i="1" s="1"/>
  <c r="AY69" i="1"/>
  <c r="BK69" i="1" s="1"/>
  <c r="BW69" i="1" s="1"/>
  <c r="CI69" i="1" s="1"/>
  <c r="CU69" i="1" s="1"/>
  <c r="DG69" i="1" s="1"/>
  <c r="AX69" i="1"/>
  <c r="BJ69" i="1" s="1"/>
  <c r="BV69" i="1" s="1"/>
  <c r="CH69" i="1" s="1"/>
  <c r="CT69" i="1" s="1"/>
  <c r="DF69" i="1" s="1"/>
  <c r="AW69" i="1"/>
  <c r="BI69" i="1" s="1"/>
  <c r="BU69" i="1" s="1"/>
  <c r="CG69" i="1" s="1"/>
  <c r="CS69" i="1" s="1"/>
  <c r="DE69" i="1" s="1"/>
  <c r="AV69" i="1"/>
  <c r="BH69" i="1" s="1"/>
  <c r="BT69" i="1" s="1"/>
  <c r="CF69" i="1" s="1"/>
  <c r="CR69" i="1" s="1"/>
  <c r="DD69" i="1" s="1"/>
  <c r="AU69" i="1"/>
  <c r="BG69" i="1" s="1"/>
  <c r="BS69" i="1" s="1"/>
  <c r="CE69" i="1" s="1"/>
  <c r="CQ69" i="1" s="1"/>
  <c r="DC69" i="1" s="1"/>
  <c r="BF69" i="1"/>
  <c r="BR69" i="1" s="1"/>
  <c r="CD69" i="1" s="1"/>
  <c r="CP69" i="1" s="1"/>
  <c r="DB69" i="1" s="1"/>
  <c r="BE69" i="1"/>
  <c r="BQ69" i="1" s="1"/>
  <c r="CC69" i="1" s="1"/>
  <c r="CO69" i="1" s="1"/>
  <c r="DA69" i="1" s="1"/>
  <c r="BD69" i="1"/>
  <c r="BP69" i="1" s="1"/>
  <c r="CB69" i="1" s="1"/>
  <c r="CN69" i="1" s="1"/>
  <c r="CZ69" i="1" s="1"/>
  <c r="BC69" i="1"/>
  <c r="BO69" i="1" s="1"/>
  <c r="CA69" i="1" s="1"/>
  <c r="CM69" i="1" s="1"/>
  <c r="CY69" i="1" s="1"/>
  <c r="BB69" i="1"/>
  <c r="BN69" i="1" s="1"/>
  <c r="BZ69" i="1" s="1"/>
  <c r="CL69" i="1" s="1"/>
  <c r="CX69" i="1" s="1"/>
  <c r="BA69" i="1"/>
  <c r="BM69" i="1" s="1"/>
  <c r="BY69" i="1" s="1"/>
  <c r="CK69" i="1" s="1"/>
  <c r="CW69" i="1" s="1"/>
  <c r="AU47" i="1"/>
  <c r="AN68" i="1"/>
  <c r="AN88" i="1"/>
  <c r="AN91" i="1" s="1"/>
  <c r="AN106" i="1"/>
  <c r="AN107" i="1" s="1"/>
  <c r="C43" i="34" s="1"/>
  <c r="AN111" i="1"/>
  <c r="AN117" i="1"/>
  <c r="AN120" i="1"/>
  <c r="AN125" i="1"/>
  <c r="AN143" i="1"/>
  <c r="AN158" i="1"/>
  <c r="AN165" i="1"/>
  <c r="AN9" i="1"/>
  <c r="AN10" i="1" s="1"/>
  <c r="AN112" i="1" s="1"/>
  <c r="AN27" i="1"/>
  <c r="AN28" i="1" s="1"/>
  <c r="AR126" i="1" s="1"/>
  <c r="AN42" i="1"/>
  <c r="AN48" i="1"/>
  <c r="AN57" i="1"/>
  <c r="AN61" i="1"/>
  <c r="AN31" i="39"/>
  <c r="AN29" i="39"/>
  <c r="AN28" i="39"/>
  <c r="AN27" i="39"/>
  <c r="AN26" i="39"/>
  <c r="AN25" i="39"/>
  <c r="AN24" i="39"/>
  <c r="AN23" i="39"/>
  <c r="AN22" i="39"/>
  <c r="AN21" i="39"/>
  <c r="AN20" i="39"/>
  <c r="AN19" i="39"/>
  <c r="AN18" i="39"/>
  <c r="AN30" i="39"/>
  <c r="AV47" i="1" l="1"/>
  <c r="AN159" i="1"/>
  <c r="AN160" i="1"/>
  <c r="AN78" i="1"/>
  <c r="AN79" i="1" s="1"/>
  <c r="AN118" i="1"/>
  <c r="AN121" i="1" s="1"/>
  <c r="AN34" i="1"/>
  <c r="AW47" i="1" l="1"/>
  <c r="AR189" i="1"/>
  <c r="AN85" i="1"/>
  <c r="C44" i="34" s="1"/>
  <c r="AN82" i="1"/>
  <c r="AN92" i="1" s="1"/>
  <c r="AN175" i="1" s="1"/>
  <c r="AO175" i="1" s="1"/>
  <c r="AP175" i="1" s="1"/>
  <c r="G9" i="24"/>
  <c r="C41" i="28"/>
  <c r="C49" i="28" s="1"/>
  <c r="C57" i="28" s="1"/>
  <c r="C66" i="28" s="1"/>
  <c r="AE1" i="24"/>
  <c r="AF1" i="24"/>
  <c r="AG1" i="24"/>
  <c r="AH1" i="24"/>
  <c r="AI1" i="24"/>
  <c r="AJ1" i="24"/>
  <c r="AK1" i="24"/>
  <c r="AL1" i="24"/>
  <c r="AL2" i="24" s="1"/>
  <c r="AM1" i="24"/>
  <c r="AN1" i="24"/>
  <c r="AO1" i="24"/>
  <c r="AP1" i="24"/>
  <c r="AQ1" i="24"/>
  <c r="AR1" i="24"/>
  <c r="AS1" i="24"/>
  <c r="AT1" i="24"/>
  <c r="AU1" i="24"/>
  <c r="AV1" i="24"/>
  <c r="AW1" i="24"/>
  <c r="AX1" i="24"/>
  <c r="AY1" i="24"/>
  <c r="AZ1" i="24"/>
  <c r="BA1" i="24"/>
  <c r="BB1" i="24"/>
  <c r="BC1" i="24"/>
  <c r="BD1" i="24"/>
  <c r="BE1" i="24"/>
  <c r="BF1" i="24"/>
  <c r="BG1" i="24"/>
  <c r="BH1" i="24"/>
  <c r="BI1" i="24"/>
  <c r="BJ1" i="24"/>
  <c r="BK1" i="24"/>
  <c r="BL1" i="24"/>
  <c r="BM1" i="24"/>
  <c r="BN1" i="24"/>
  <c r="BO1" i="24"/>
  <c r="BP1" i="24"/>
  <c r="BQ1" i="24"/>
  <c r="BR1" i="24"/>
  <c r="BR2" i="24" s="1"/>
  <c r="BS1" i="24"/>
  <c r="BT1" i="24"/>
  <c r="BU1" i="24"/>
  <c r="BV1" i="24"/>
  <c r="BW1" i="24"/>
  <c r="BX1" i="24"/>
  <c r="BY1" i="24"/>
  <c r="BZ1" i="24"/>
  <c r="AE2" i="24"/>
  <c r="AF2" i="24"/>
  <c r="AG2" i="24"/>
  <c r="AH2" i="24"/>
  <c r="AI2" i="24"/>
  <c r="AJ2" i="24"/>
  <c r="AK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S2" i="24"/>
  <c r="BT2" i="24"/>
  <c r="BU2" i="24"/>
  <c r="BV2" i="24"/>
  <c r="BW2" i="24"/>
  <c r="BX2" i="24"/>
  <c r="BY2" i="24"/>
  <c r="BZ2" i="24"/>
  <c r="H6" i="24"/>
  <c r="I6" i="24" s="1"/>
  <c r="J6" i="24" s="1"/>
  <c r="H7" i="24"/>
  <c r="I7" i="24" s="1"/>
  <c r="J7" i="24" s="1"/>
  <c r="K7" i="24" s="1"/>
  <c r="L7" i="24" s="1"/>
  <c r="N7" i="24" s="1"/>
  <c r="O7" i="24" s="1"/>
  <c r="P7" i="24" s="1"/>
  <c r="Q7" i="24" s="1"/>
  <c r="R7" i="24" s="1"/>
  <c r="N14" i="32"/>
  <c r="M14" i="32"/>
  <c r="L14" i="32"/>
  <c r="K14" i="32"/>
  <c r="J14" i="32"/>
  <c r="I14" i="32"/>
  <c r="C14" i="32"/>
  <c r="D14" i="32"/>
  <c r="E14" i="32"/>
  <c r="F14" i="32"/>
  <c r="G14" i="32"/>
  <c r="H14" i="32"/>
  <c r="AM144" i="1"/>
  <c r="AL144" i="1"/>
  <c r="R39" i="29"/>
  <c r="F23" i="29"/>
  <c r="AL120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M120" i="1"/>
  <c r="AK120" i="1"/>
  <c r="AJ120" i="1"/>
  <c r="AI120" i="1"/>
  <c r="AH120" i="1"/>
  <c r="AG120" i="1"/>
  <c r="AF120" i="1"/>
  <c r="AE120" i="1"/>
  <c r="AC120" i="1"/>
  <c r="AB120" i="1"/>
  <c r="AD120" i="1"/>
  <c r="AU114" i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BN114" i="1" s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CP114" i="1" s="1"/>
  <c r="CQ114" i="1" s="1"/>
  <c r="CR114" i="1" s="1"/>
  <c r="CS114" i="1" s="1"/>
  <c r="CT114" i="1" s="1"/>
  <c r="CU114" i="1" s="1"/>
  <c r="CV114" i="1" s="1"/>
  <c r="CW114" i="1" s="1"/>
  <c r="CX114" i="1" s="1"/>
  <c r="CY114" i="1" s="1"/>
  <c r="CZ114" i="1" s="1"/>
  <c r="DA114" i="1" s="1"/>
  <c r="DB114" i="1" s="1"/>
  <c r="DC114" i="1" s="1"/>
  <c r="DD114" i="1" s="1"/>
  <c r="DE114" i="1" s="1"/>
  <c r="DF114" i="1" s="1"/>
  <c r="DG114" i="1" s="1"/>
  <c r="AL9" i="1"/>
  <c r="AL10" i="1" s="1"/>
  <c r="AK9" i="1"/>
  <c r="AK10" i="1" s="1"/>
  <c r="AK112" i="1" s="1"/>
  <c r="AJ9" i="1"/>
  <c r="AI9" i="1"/>
  <c r="AH9" i="1"/>
  <c r="AG9" i="1"/>
  <c r="AF9" i="1"/>
  <c r="AE9" i="1"/>
  <c r="AD9" i="1"/>
  <c r="AC9" i="1"/>
  <c r="AB9" i="1"/>
  <c r="AM9" i="1"/>
  <c r="AM10" i="1" s="1"/>
  <c r="AM13" i="1"/>
  <c r="AM27" i="1"/>
  <c r="AM28" i="1" s="1"/>
  <c r="AM42" i="1"/>
  <c r="AM48" i="1"/>
  <c r="AM57" i="1"/>
  <c r="AM61" i="1"/>
  <c r="AM68" i="1"/>
  <c r="AM88" i="1"/>
  <c r="AM91" i="1" s="1"/>
  <c r="AM106" i="1"/>
  <c r="AM111" i="1"/>
  <c r="AM125" i="1"/>
  <c r="AM133" i="1"/>
  <c r="AM143" i="1"/>
  <c r="AM158" i="1"/>
  <c r="AM165" i="1"/>
  <c r="BA60" i="1"/>
  <c r="BM60" i="1" s="1"/>
  <c r="BY60" i="1" s="1"/>
  <c r="CK60" i="1" s="1"/>
  <c r="CW60" i="1" s="1"/>
  <c r="Q11" i="30"/>
  <c r="Q12" i="30"/>
  <c r="Q13" i="30"/>
  <c r="Q14" i="30"/>
  <c r="Q15" i="30"/>
  <c r="Q18" i="30"/>
  <c r="Q39" i="29"/>
  <c r="F24" i="29"/>
  <c r="AZ60" i="1"/>
  <c r="BL60" i="1" s="1"/>
  <c r="BX60" i="1" s="1"/>
  <c r="CJ60" i="1" s="1"/>
  <c r="CV60" i="1" s="1"/>
  <c r="AY60" i="1"/>
  <c r="BK60" i="1" s="1"/>
  <c r="BW60" i="1" s="1"/>
  <c r="CI60" i="1" s="1"/>
  <c r="CU60" i="1" s="1"/>
  <c r="DG60" i="1" s="1"/>
  <c r="AX60" i="1"/>
  <c r="BJ60" i="1" s="1"/>
  <c r="BV60" i="1" s="1"/>
  <c r="CH60" i="1" s="1"/>
  <c r="CT60" i="1" s="1"/>
  <c r="DF60" i="1" s="1"/>
  <c r="AW60" i="1"/>
  <c r="BI60" i="1" s="1"/>
  <c r="BU60" i="1" s="1"/>
  <c r="CG60" i="1" s="1"/>
  <c r="CS60" i="1" s="1"/>
  <c r="DE60" i="1" s="1"/>
  <c r="AV60" i="1"/>
  <c r="BH60" i="1" s="1"/>
  <c r="BT60" i="1" s="1"/>
  <c r="CF60" i="1" s="1"/>
  <c r="CR60" i="1" s="1"/>
  <c r="DD60" i="1" s="1"/>
  <c r="AU60" i="1"/>
  <c r="BG60" i="1" s="1"/>
  <c r="BS60" i="1" s="1"/>
  <c r="CE60" i="1" s="1"/>
  <c r="CQ60" i="1" s="1"/>
  <c r="DC60" i="1" s="1"/>
  <c r="BF60" i="1"/>
  <c r="BR60" i="1" s="1"/>
  <c r="CD60" i="1" s="1"/>
  <c r="CP60" i="1" s="1"/>
  <c r="DB60" i="1" s="1"/>
  <c r="BE60" i="1"/>
  <c r="BQ60" i="1" s="1"/>
  <c r="CC60" i="1" s="1"/>
  <c r="CO60" i="1" s="1"/>
  <c r="DA60" i="1" s="1"/>
  <c r="BD60" i="1"/>
  <c r="BP60" i="1" s="1"/>
  <c r="CB60" i="1" s="1"/>
  <c r="CN60" i="1" s="1"/>
  <c r="CZ60" i="1" s="1"/>
  <c r="BC60" i="1"/>
  <c r="BO60" i="1" s="1"/>
  <c r="CA60" i="1" s="1"/>
  <c r="CM60" i="1" s="1"/>
  <c r="CY60" i="1" s="1"/>
  <c r="BB60" i="1"/>
  <c r="BN60" i="1" s="1"/>
  <c r="BZ60" i="1" s="1"/>
  <c r="CL60" i="1" s="1"/>
  <c r="CX60" i="1" s="1"/>
  <c r="AL27" i="1"/>
  <c r="AL28" i="1" s="1"/>
  <c r="AL42" i="1"/>
  <c r="AL48" i="1"/>
  <c r="AL57" i="1"/>
  <c r="AL61" i="1"/>
  <c r="AL68" i="1"/>
  <c r="AL88" i="1"/>
  <c r="AL91" i="1" s="1"/>
  <c r="AL106" i="1"/>
  <c r="AL111" i="1"/>
  <c r="AL125" i="1"/>
  <c r="AL133" i="1"/>
  <c r="AL143" i="1"/>
  <c r="AL158" i="1"/>
  <c r="AL165" i="1"/>
  <c r="X8" i="28"/>
  <c r="X5" i="28" s="1"/>
  <c r="W8" i="28"/>
  <c r="W5" i="28" s="1"/>
  <c r="S5" i="28"/>
  <c r="V8" i="28"/>
  <c r="V5" i="28" s="1"/>
  <c r="AB133" i="1"/>
  <c r="AC133" i="1"/>
  <c r="AD133" i="1"/>
  <c r="AE133" i="1"/>
  <c r="AF133" i="1"/>
  <c r="AG133" i="1"/>
  <c r="AH133" i="1"/>
  <c r="AI133" i="1"/>
  <c r="AJ133" i="1"/>
  <c r="AK133" i="1"/>
  <c r="AK144" i="1"/>
  <c r="AK27" i="1"/>
  <c r="AK28" i="1" s="1"/>
  <c r="AK42" i="1"/>
  <c r="AK48" i="1"/>
  <c r="AK57" i="1"/>
  <c r="AK61" i="1"/>
  <c r="AK68" i="1"/>
  <c r="AK88" i="1"/>
  <c r="AK91" i="1" s="1"/>
  <c r="AK106" i="1"/>
  <c r="AK111" i="1"/>
  <c r="AK125" i="1"/>
  <c r="AK143" i="1"/>
  <c r="AK158" i="1"/>
  <c r="AK165" i="1"/>
  <c r="P39" i="29"/>
  <c r="F18" i="29"/>
  <c r="F15" i="29"/>
  <c r="R15" i="29" s="1"/>
  <c r="F14" i="29"/>
  <c r="R14" i="29" s="1"/>
  <c r="F16" i="29"/>
  <c r="R16" i="29" s="1"/>
  <c r="D13" i="29"/>
  <c r="F13" i="29"/>
  <c r="R13" i="29" s="1"/>
  <c r="A22" i="29"/>
  <c r="F22" i="29"/>
  <c r="F21" i="29"/>
  <c r="A21" i="29"/>
  <c r="S7" i="24" l="1"/>
  <c r="T7" i="24" s="1"/>
  <c r="U7" i="24" s="1"/>
  <c r="V7" i="24" s="1"/>
  <c r="W7" i="24" s="1"/>
  <c r="X7" i="24" s="1"/>
  <c r="Y7" i="24" s="1"/>
  <c r="Z7" i="24" s="1"/>
  <c r="AA7" i="24" s="1"/>
  <c r="AB7" i="24" s="1"/>
  <c r="AC7" i="24" s="1"/>
  <c r="AD7" i="24" s="1"/>
  <c r="AE7" i="24" s="1"/>
  <c r="AF7" i="24" s="1"/>
  <c r="AG7" i="24" s="1"/>
  <c r="AH7" i="24" s="1"/>
  <c r="AI7" i="24" s="1"/>
  <c r="AJ7" i="24" s="1"/>
  <c r="AK7" i="24" s="1"/>
  <c r="AL7" i="24" s="1"/>
  <c r="AM7" i="24" s="1"/>
  <c r="AN7" i="24" s="1"/>
  <c r="AO7" i="24" s="1"/>
  <c r="AP7" i="24" s="1"/>
  <c r="AQ7" i="24" s="1"/>
  <c r="AR7" i="24" s="1"/>
  <c r="AS7" i="24" s="1"/>
  <c r="AT7" i="24" s="1"/>
  <c r="AU7" i="24" s="1"/>
  <c r="AV7" i="24" s="1"/>
  <c r="AW7" i="24" s="1"/>
  <c r="AX7" i="24" s="1"/>
  <c r="AY7" i="24" s="1"/>
  <c r="AZ7" i="24" s="1"/>
  <c r="BA7" i="24" s="1"/>
  <c r="BB7" i="24" s="1"/>
  <c r="BC7" i="24" s="1"/>
  <c r="BD7" i="24" s="1"/>
  <c r="BE7" i="24" s="1"/>
  <c r="BF7" i="24" s="1"/>
  <c r="BG7" i="24" s="1"/>
  <c r="BH7" i="24" s="1"/>
  <c r="BI7" i="24" s="1"/>
  <c r="BJ7" i="24" s="1"/>
  <c r="BK7" i="24" s="1"/>
  <c r="BL7" i="24" s="1"/>
  <c r="BM7" i="24" s="1"/>
  <c r="BN7" i="24" s="1"/>
  <c r="BO7" i="24" s="1"/>
  <c r="BP7" i="24" s="1"/>
  <c r="BQ7" i="24" s="1"/>
  <c r="BR7" i="24" s="1"/>
  <c r="BS7" i="24" s="1"/>
  <c r="BT7" i="24" s="1"/>
  <c r="BU7" i="24" s="1"/>
  <c r="BV7" i="24" s="1"/>
  <c r="BW7" i="24" s="1"/>
  <c r="BX7" i="24" s="1"/>
  <c r="BY7" i="24" s="1"/>
  <c r="BZ7" i="24" s="1"/>
  <c r="AR190" i="1"/>
  <c r="AK159" i="1"/>
  <c r="AK160" i="1" s="1"/>
  <c r="AL159" i="1"/>
  <c r="AX47" i="1"/>
  <c r="AP126" i="1"/>
  <c r="AQ126" i="1"/>
  <c r="AM159" i="1"/>
  <c r="AP176" i="1"/>
  <c r="AP177" i="1" s="1"/>
  <c r="AP178" i="1" s="1"/>
  <c r="AQ175" i="1"/>
  <c r="R21" i="29"/>
  <c r="T21" i="29"/>
  <c r="U21" i="29"/>
  <c r="S21" i="29"/>
  <c r="R22" i="29"/>
  <c r="U22" i="29"/>
  <c r="T22" i="29"/>
  <c r="S22" i="29"/>
  <c r="AO176" i="1"/>
  <c r="AO177" i="1" s="1"/>
  <c r="AO178" i="1" s="1"/>
  <c r="AM78" i="1"/>
  <c r="AM79" i="1" s="1"/>
  <c r="AM85" i="1" s="1"/>
  <c r="P14" i="32"/>
  <c r="J9" i="24"/>
  <c r="K6" i="24"/>
  <c r="H9" i="24"/>
  <c r="I9" i="24"/>
  <c r="AL78" i="1"/>
  <c r="AL79" i="1" s="1"/>
  <c r="AM118" i="1"/>
  <c r="AM121" i="1" s="1"/>
  <c r="AK78" i="1"/>
  <c r="AK79" i="1" s="1"/>
  <c r="AP134" i="1" s="1"/>
  <c r="AM160" i="1"/>
  <c r="AM34" i="1"/>
  <c r="AM112" i="1"/>
  <c r="AL160" i="1"/>
  <c r="AL118" i="1"/>
  <c r="AL121" i="1" s="1"/>
  <c r="AL34" i="1"/>
  <c r="AL112" i="1"/>
  <c r="AK34" i="1"/>
  <c r="AK118" i="1"/>
  <c r="AK121" i="1" s="1"/>
  <c r="H11" i="37"/>
  <c r="F11" i="37"/>
  <c r="D11" i="37"/>
  <c r="C11" i="37"/>
  <c r="AQ176" i="1" l="1"/>
  <c r="AQ177" i="1" s="1"/>
  <c r="AQ178" i="1" s="1"/>
  <c r="AR175" i="1"/>
  <c r="AQ134" i="1"/>
  <c r="AU153" i="1"/>
  <c r="AL184" i="1"/>
  <c r="AM184" i="1"/>
  <c r="L6" i="24"/>
  <c r="K9" i="24"/>
  <c r="AM82" i="1"/>
  <c r="AM92" i="1" s="1"/>
  <c r="AL85" i="1"/>
  <c r="AL82" i="1"/>
  <c r="AL92" i="1" s="1"/>
  <c r="AK85" i="1"/>
  <c r="AK82" i="1"/>
  <c r="AK92" i="1" s="1"/>
  <c r="AR176" i="1" l="1"/>
  <c r="AR177" i="1" s="1"/>
  <c r="AR178" i="1" s="1"/>
  <c r="AS175" i="1"/>
  <c r="AU156" i="1"/>
  <c r="AV153" i="1"/>
  <c r="L9" i="24"/>
  <c r="AS176" i="1" l="1"/>
  <c r="AS177" i="1" s="1"/>
  <c r="AS178" i="1" s="1"/>
  <c r="AW153" i="1"/>
  <c r="AV156" i="1"/>
  <c r="N6" i="24"/>
  <c r="M9" i="24"/>
  <c r="AT45" i="1" s="1"/>
  <c r="AT46" i="1" s="1"/>
  <c r="AT48" i="1" s="1"/>
  <c r="AT78" i="1" s="1"/>
  <c r="AT79" i="1" s="1"/>
  <c r="AT85" i="1" l="1"/>
  <c r="AT82" i="1"/>
  <c r="AT92" i="1" s="1"/>
  <c r="AT175" i="1" s="1"/>
  <c r="AT176" i="1" s="1"/>
  <c r="AT131" i="1"/>
  <c r="AT133" i="1" s="1"/>
  <c r="AT159" i="1" s="1"/>
  <c r="AT160" i="1" s="1"/>
  <c r="AT83" i="1"/>
  <c r="AW156" i="1"/>
  <c r="AX153" i="1"/>
  <c r="O6" i="24"/>
  <c r="N9" i="24"/>
  <c r="AU45" i="1" s="1"/>
  <c r="J36" i="34" s="1"/>
  <c r="AJ144" i="1"/>
  <c r="O39" i="29"/>
  <c r="AI144" i="1"/>
  <c r="O38" i="29"/>
  <c r="O41" i="29" s="1"/>
  <c r="F19" i="29"/>
  <c r="R19" i="29" s="1"/>
  <c r="F10" i="29"/>
  <c r="R10" i="29" s="1"/>
  <c r="N38" i="29"/>
  <c r="AI12" i="1" s="1"/>
  <c r="AI32" i="1" s="1"/>
  <c r="H2" i="29"/>
  <c r="I2" i="29" s="1"/>
  <c r="J2" i="29" s="1"/>
  <c r="K2" i="29" s="1"/>
  <c r="L2" i="29" s="1"/>
  <c r="M2" i="29" s="1"/>
  <c r="N2" i="29" s="1"/>
  <c r="O2" i="29" s="1"/>
  <c r="P2" i="29" s="1"/>
  <c r="O4" i="29"/>
  <c r="N11" i="30"/>
  <c r="N12" i="30"/>
  <c r="N13" i="30"/>
  <c r="N14" i="30"/>
  <c r="N15" i="30"/>
  <c r="N18" i="30"/>
  <c r="AJ10" i="1"/>
  <c r="AJ27" i="1"/>
  <c r="AJ42" i="1"/>
  <c r="AJ48" i="1"/>
  <c r="AJ57" i="1"/>
  <c r="AJ61" i="1"/>
  <c r="AJ68" i="1"/>
  <c r="AJ88" i="1"/>
  <c r="AJ91" i="1" s="1"/>
  <c r="AJ106" i="1"/>
  <c r="AJ111" i="1"/>
  <c r="AJ125" i="1"/>
  <c r="AJ143" i="1"/>
  <c r="AJ158" i="1"/>
  <c r="AJ165" i="1"/>
  <c r="AI48" i="1"/>
  <c r="H36" i="34"/>
  <c r="AB48" i="1"/>
  <c r="AH48" i="1"/>
  <c r="AG48" i="1"/>
  <c r="AF48" i="1"/>
  <c r="AE48" i="1"/>
  <c r="AD48" i="1"/>
  <c r="AC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F17" i="29"/>
  <c r="R17" i="29" s="1"/>
  <c r="N39" i="29"/>
  <c r="N4" i="29"/>
  <c r="AI10" i="1"/>
  <c r="AI27" i="1"/>
  <c r="AI28" i="1" s="1"/>
  <c r="AI42" i="1"/>
  <c r="AI61" i="1"/>
  <c r="AI68" i="1"/>
  <c r="AI88" i="1"/>
  <c r="AI91" i="1" s="1"/>
  <c r="AI106" i="1"/>
  <c r="AI111" i="1"/>
  <c r="AI125" i="1"/>
  <c r="AI143" i="1"/>
  <c r="AI158" i="1"/>
  <c r="AI165" i="1"/>
  <c r="AF144" i="1"/>
  <c r="AT84" i="1" l="1"/>
  <c r="AT93" i="1"/>
  <c r="AT177" i="1"/>
  <c r="AU46" i="1"/>
  <c r="AU48" i="1" s="1"/>
  <c r="AU50" i="1"/>
  <c r="AI159" i="1"/>
  <c r="AI160" i="1" s="1"/>
  <c r="AJ159" i="1"/>
  <c r="AX156" i="1"/>
  <c r="AY153" i="1"/>
  <c r="AI78" i="1"/>
  <c r="AI79" i="1" s="1"/>
  <c r="AI85" i="1" s="1"/>
  <c r="P6" i="24"/>
  <c r="O9" i="24"/>
  <c r="AV45" i="1" s="1"/>
  <c r="AU119" i="1"/>
  <c r="AJ78" i="1"/>
  <c r="AJ79" i="1" s="1"/>
  <c r="AO134" i="1" s="1"/>
  <c r="AJ28" i="1"/>
  <c r="AJ34" i="1" s="1"/>
  <c r="AJ118" i="1"/>
  <c r="AJ121" i="1" s="1"/>
  <c r="Q2" i="29"/>
  <c r="P17" i="29"/>
  <c r="P19" i="29"/>
  <c r="P15" i="29"/>
  <c r="AJ112" i="1"/>
  <c r="AJ160" i="1"/>
  <c r="AI13" i="1"/>
  <c r="J16" i="32" s="1"/>
  <c r="C36" i="34"/>
  <c r="C37" i="34"/>
  <c r="H37" i="34"/>
  <c r="G37" i="34"/>
  <c r="D36" i="34"/>
  <c r="I37" i="34"/>
  <c r="E36" i="34"/>
  <c r="J37" i="34"/>
  <c r="F36" i="34"/>
  <c r="G36" i="34"/>
  <c r="D37" i="34"/>
  <c r="E37" i="34"/>
  <c r="I36" i="34"/>
  <c r="F37" i="34"/>
  <c r="AI118" i="1"/>
  <c r="AI121" i="1" s="1"/>
  <c r="AI34" i="1"/>
  <c r="AI112" i="1"/>
  <c r="AF68" i="1"/>
  <c r="AH27" i="1"/>
  <c r="AH28" i="1" s="1"/>
  <c r="AH10" i="1"/>
  <c r="AH112" i="1" s="1"/>
  <c r="AH12" i="1"/>
  <c r="AH42" i="1"/>
  <c r="AH57" i="1"/>
  <c r="AH61" i="1"/>
  <c r="AH68" i="1"/>
  <c r="AH88" i="1"/>
  <c r="AH91" i="1" s="1"/>
  <c r="AH106" i="1"/>
  <c r="AH111" i="1"/>
  <c r="AI183" i="1" s="1"/>
  <c r="AH125" i="1"/>
  <c r="AH143" i="1"/>
  <c r="AH158" i="1"/>
  <c r="AH165" i="1"/>
  <c r="K41" i="29"/>
  <c r="K39" i="29"/>
  <c r="L11" i="30"/>
  <c r="L12" i="30"/>
  <c r="L13" i="30"/>
  <c r="L14" i="30"/>
  <c r="L15" i="30"/>
  <c r="L18" i="30"/>
  <c r="C12" i="32"/>
  <c r="DH1" i="28"/>
  <c r="DH2" i="28" s="1"/>
  <c r="CW1" i="28"/>
  <c r="CW2" i="28" s="1"/>
  <c r="CX1" i="28"/>
  <c r="CY1" i="28"/>
  <c r="CY2" i="28" s="1"/>
  <c r="CZ1" i="28"/>
  <c r="DA1" i="28"/>
  <c r="DB1" i="28"/>
  <c r="DB2" i="28" s="1"/>
  <c r="DC1" i="28"/>
  <c r="DC2" i="28" s="1"/>
  <c r="DD1" i="28"/>
  <c r="DD2" i="28" s="1"/>
  <c r="DE1" i="28"/>
  <c r="DF1" i="28"/>
  <c r="DG1" i="28"/>
  <c r="CX2" i="28"/>
  <c r="CZ2" i="28"/>
  <c r="DA2" i="28"/>
  <c r="DE2" i="28"/>
  <c r="DF2" i="28"/>
  <c r="DG2" i="28"/>
  <c r="CG62" i="28"/>
  <c r="CF62" i="28"/>
  <c r="CF65" i="28" s="1"/>
  <c r="CE62" i="28"/>
  <c r="CE65" i="28" s="1"/>
  <c r="CD62" i="28"/>
  <c r="CD65" i="28" s="1"/>
  <c r="CC62" i="28"/>
  <c r="CC65" i="28" s="1"/>
  <c r="CB62" i="28"/>
  <c r="CA62" i="28"/>
  <c r="BZ62" i="28"/>
  <c r="BY62" i="28"/>
  <c r="BX62" i="28"/>
  <c r="BX65" i="28" s="1"/>
  <c r="BW62" i="28"/>
  <c r="BW65" i="28" s="1"/>
  <c r="BV62" i="28"/>
  <c r="BV65" i="28" s="1"/>
  <c r="BU62" i="28"/>
  <c r="BU65" i="28" s="1"/>
  <c r="BT62" i="28"/>
  <c r="BS62" i="28"/>
  <c r="BR62" i="28"/>
  <c r="BR65" i="28" s="1"/>
  <c r="BQ62" i="28"/>
  <c r="BP62" i="28"/>
  <c r="BP65" i="28" s="1"/>
  <c r="BO62" i="28"/>
  <c r="BO65" i="28" s="1"/>
  <c r="BN62" i="28"/>
  <c r="BN65" i="28" s="1"/>
  <c r="BM62" i="28"/>
  <c r="BM65" i="28" s="1"/>
  <c r="BL62" i="28"/>
  <c r="BK62" i="28"/>
  <c r="BJ62" i="28"/>
  <c r="BI62" i="28"/>
  <c r="BH62" i="28"/>
  <c r="BH65" i="28" s="1"/>
  <c r="BG62" i="28"/>
  <c r="BG65" i="28" s="1"/>
  <c r="BF62" i="28"/>
  <c r="BF65" i="28" s="1"/>
  <c r="BE62" i="28"/>
  <c r="BE65" i="28" s="1"/>
  <c r="BD62" i="28"/>
  <c r="BC62" i="28"/>
  <c r="BB62" i="28"/>
  <c r="BA62" i="28"/>
  <c r="AZ62" i="28"/>
  <c r="AZ65" i="28" s="1"/>
  <c r="AY62" i="28"/>
  <c r="AY65" i="28" s="1"/>
  <c r="AX62" i="28"/>
  <c r="AX65" i="28" s="1"/>
  <c r="AW62" i="28"/>
  <c r="AW65" i="28" s="1"/>
  <c r="AV62" i="28"/>
  <c r="AU62" i="28"/>
  <c r="AU65" i="28" s="1"/>
  <c r="AT62" i="28"/>
  <c r="AT65" i="28" s="1"/>
  <c r="AS62" i="28"/>
  <c r="AR62" i="28"/>
  <c r="AR65" i="28" s="1"/>
  <c r="AQ62" i="28"/>
  <c r="AQ65" i="28" s="1"/>
  <c r="AP62" i="28"/>
  <c r="AP65" i="28" s="1"/>
  <c r="AO62" i="28"/>
  <c r="AO65" i="28" s="1"/>
  <c r="AN62" i="28"/>
  <c r="AM62" i="28"/>
  <c r="AL62" i="28"/>
  <c r="AK62" i="28"/>
  <c r="AJ62" i="28"/>
  <c r="AJ65" i="28" s="1"/>
  <c r="AI62" i="28"/>
  <c r="AI65" i="28" s="1"/>
  <c r="AH62" i="28"/>
  <c r="AH65" i="28" s="1"/>
  <c r="AG62" i="28"/>
  <c r="AG65" i="28" s="1"/>
  <c r="AF62" i="28"/>
  <c r="AE62" i="28"/>
  <c r="AD62" i="28"/>
  <c r="AC62" i="28"/>
  <c r="AB62" i="28"/>
  <c r="AB65" i="28" s="1"/>
  <c r="AA62" i="28"/>
  <c r="AA65" i="28" s="1"/>
  <c r="Z62" i="28"/>
  <c r="Z65" i="28" s="1"/>
  <c r="Y62" i="28"/>
  <c r="Y65" i="28" s="1"/>
  <c r="X62" i="28"/>
  <c r="W62" i="28"/>
  <c r="V62" i="28"/>
  <c r="U62" i="28"/>
  <c r="T62" i="28"/>
  <c r="T65" i="28" s="1"/>
  <c r="S62" i="28"/>
  <c r="S65" i="28" s="1"/>
  <c r="R62" i="28"/>
  <c r="R65" i="28" s="1"/>
  <c r="Q62" i="28"/>
  <c r="Q65" i="28" s="1"/>
  <c r="P62" i="28"/>
  <c r="O62" i="28"/>
  <c r="N62" i="28"/>
  <c r="M62" i="28"/>
  <c r="L62" i="28"/>
  <c r="L65" i="28" s="1"/>
  <c r="K62" i="28"/>
  <c r="K65" i="28" s="1"/>
  <c r="J62" i="28"/>
  <c r="J65" i="28" s="1"/>
  <c r="I62" i="28"/>
  <c r="I65" i="28" s="1"/>
  <c r="H62" i="28"/>
  <c r="G62" i="28"/>
  <c r="F62" i="28"/>
  <c r="F65" i="28" s="1"/>
  <c r="F66" i="28" s="1"/>
  <c r="C67" i="28"/>
  <c r="C13" i="32"/>
  <c r="D13" i="32"/>
  <c r="E13" i="32"/>
  <c r="F13" i="32"/>
  <c r="G13" i="32"/>
  <c r="H13" i="32"/>
  <c r="H12" i="32"/>
  <c r="G12" i="32"/>
  <c r="F12" i="32"/>
  <c r="E12" i="32"/>
  <c r="D12" i="32"/>
  <c r="AZ53" i="28"/>
  <c r="AY53" i="28"/>
  <c r="AX53" i="28"/>
  <c r="AW53" i="28"/>
  <c r="AV53" i="28"/>
  <c r="AU53" i="28"/>
  <c r="AT53" i="28"/>
  <c r="AS53" i="28"/>
  <c r="AR53" i="28"/>
  <c r="AQ53" i="28"/>
  <c r="AP53" i="28"/>
  <c r="AO53" i="28"/>
  <c r="AN53" i="28"/>
  <c r="AM53" i="28"/>
  <c r="AL53" i="28"/>
  <c r="AK53" i="28"/>
  <c r="AJ53" i="28"/>
  <c r="AI53" i="28"/>
  <c r="AH53" i="28"/>
  <c r="AG53" i="28"/>
  <c r="AF53" i="28"/>
  <c r="AE53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AU45" i="28"/>
  <c r="AT45" i="28"/>
  <c r="AS45" i="28"/>
  <c r="AR45" i="28"/>
  <c r="AQ45" i="28"/>
  <c r="AP45" i="28"/>
  <c r="AO45" i="28"/>
  <c r="AN45" i="28"/>
  <c r="AM45" i="28"/>
  <c r="AL45" i="28"/>
  <c r="AK45" i="28"/>
  <c r="AJ45" i="28"/>
  <c r="AI45" i="28"/>
  <c r="AH45" i="28"/>
  <c r="AG45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AO37" i="28"/>
  <c r="AN37" i="28"/>
  <c r="AM37" i="28"/>
  <c r="AL37" i="28"/>
  <c r="AK37" i="28"/>
  <c r="AJ37" i="28"/>
  <c r="AI37" i="28"/>
  <c r="AH37" i="28"/>
  <c r="AG37" i="28"/>
  <c r="AF37" i="28"/>
  <c r="AE37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F29" i="28"/>
  <c r="F21" i="28"/>
  <c r="F13" i="28"/>
  <c r="C34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G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C58" i="28"/>
  <c r="C50" i="28"/>
  <c r="C42" i="28"/>
  <c r="C26" i="28"/>
  <c r="Z21" i="28" s="1"/>
  <c r="AA21" i="28" s="1"/>
  <c r="AB21" i="28" s="1"/>
  <c r="AC21" i="28" s="1"/>
  <c r="AD21" i="28" s="1"/>
  <c r="P13" i="28"/>
  <c r="Q13" i="28" s="1"/>
  <c r="R13" i="28" s="1"/>
  <c r="S13" i="28" s="1"/>
  <c r="O13" i="28"/>
  <c r="N13" i="28"/>
  <c r="M13" i="28"/>
  <c r="L13" i="28"/>
  <c r="K13" i="28"/>
  <c r="J13" i="28"/>
  <c r="I13" i="28"/>
  <c r="H13" i="28"/>
  <c r="G13" i="28"/>
  <c r="AU67" i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DG67" i="1" s="1"/>
  <c r="AG68" i="1"/>
  <c r="AC68" i="1"/>
  <c r="AD68" i="1"/>
  <c r="AE68" i="1"/>
  <c r="AG27" i="1"/>
  <c r="AG28" i="1" s="1"/>
  <c r="AG10" i="1"/>
  <c r="AG112" i="1" s="1"/>
  <c r="AG12" i="1"/>
  <c r="AG42" i="1"/>
  <c r="AG57" i="1"/>
  <c r="AG61" i="1"/>
  <c r="AG88" i="1"/>
  <c r="AG91" i="1" s="1"/>
  <c r="AG106" i="1"/>
  <c r="AG111" i="1"/>
  <c r="AG125" i="1"/>
  <c r="AG143" i="1"/>
  <c r="AG158" i="1"/>
  <c r="AG165" i="1"/>
  <c r="K36" i="34" l="1"/>
  <c r="AV46" i="1"/>
  <c r="AV48" i="1" s="1"/>
  <c r="AV50" i="1"/>
  <c r="AH159" i="1"/>
  <c r="AG159" i="1"/>
  <c r="CH62" i="28"/>
  <c r="CH67" i="28" s="1"/>
  <c r="H24" i="28"/>
  <c r="H26" i="28"/>
  <c r="H22" i="28"/>
  <c r="P24" i="28"/>
  <c r="P26" i="28"/>
  <c r="P22" i="28"/>
  <c r="X24" i="28"/>
  <c r="X22" i="28"/>
  <c r="X26" i="28"/>
  <c r="O24" i="28"/>
  <c r="O22" i="28"/>
  <c r="O26" i="28"/>
  <c r="Q26" i="28"/>
  <c r="Q22" i="28"/>
  <c r="F22" i="28"/>
  <c r="F26" i="28"/>
  <c r="W24" i="28"/>
  <c r="W22" i="28"/>
  <c r="W26" i="28"/>
  <c r="I26" i="28"/>
  <c r="I22" i="28"/>
  <c r="Z24" i="28"/>
  <c r="Z26" i="28"/>
  <c r="Z22" i="28"/>
  <c r="S26" i="28"/>
  <c r="S22" i="28"/>
  <c r="AA26" i="28"/>
  <c r="AA22" i="28"/>
  <c r="G22" i="28"/>
  <c r="G26" i="28"/>
  <c r="R24" i="28"/>
  <c r="R26" i="28"/>
  <c r="R22" i="28"/>
  <c r="AB24" i="28"/>
  <c r="AB26" i="28"/>
  <c r="AB22" i="28"/>
  <c r="M26" i="28"/>
  <c r="M22" i="28"/>
  <c r="U22" i="28"/>
  <c r="U26" i="28"/>
  <c r="AC22" i="28"/>
  <c r="AC26" i="28"/>
  <c r="Y26" i="28"/>
  <c r="Y22" i="28"/>
  <c r="J24" i="28"/>
  <c r="J26" i="28"/>
  <c r="J22" i="28"/>
  <c r="K26" i="28"/>
  <c r="K22" i="28"/>
  <c r="L24" i="28"/>
  <c r="L26" i="28"/>
  <c r="L22" i="28"/>
  <c r="T24" i="28"/>
  <c r="T26" i="28"/>
  <c r="T22" i="28"/>
  <c r="N22" i="28"/>
  <c r="N26" i="28"/>
  <c r="V22" i="28"/>
  <c r="V26" i="28"/>
  <c r="AD22" i="28"/>
  <c r="AD26" i="28"/>
  <c r="T13" i="28"/>
  <c r="U13" i="28" s="1"/>
  <c r="V13" i="28" s="1"/>
  <c r="V16" i="28" s="1"/>
  <c r="AO126" i="1"/>
  <c r="AY156" i="1"/>
  <c r="AZ153" i="1"/>
  <c r="AL126" i="1"/>
  <c r="AM126" i="1"/>
  <c r="K37" i="34"/>
  <c r="AN126" i="1"/>
  <c r="AJ184" i="1"/>
  <c r="AK184" i="1"/>
  <c r="AJ85" i="1"/>
  <c r="AN134" i="1"/>
  <c r="CH65" i="28"/>
  <c r="CI62" i="28"/>
  <c r="CI63" i="28" s="1"/>
  <c r="V67" i="28"/>
  <c r="V63" i="28"/>
  <c r="AE67" i="28"/>
  <c r="AE63" i="28"/>
  <c r="BS67" i="28"/>
  <c r="BS63" i="28"/>
  <c r="H63" i="28"/>
  <c r="H67" i="28"/>
  <c r="P63" i="28"/>
  <c r="P67" i="28"/>
  <c r="AN63" i="28"/>
  <c r="AN67" i="28"/>
  <c r="BL63" i="28"/>
  <c r="BL67" i="28"/>
  <c r="CB63" i="28"/>
  <c r="CB67" i="28"/>
  <c r="M63" i="28"/>
  <c r="M67" i="28"/>
  <c r="U63" i="28"/>
  <c r="U67" i="28"/>
  <c r="AC63" i="28"/>
  <c r="AC67" i="28"/>
  <c r="AK63" i="28"/>
  <c r="AK67" i="28"/>
  <c r="AS63" i="28"/>
  <c r="AS67" i="28"/>
  <c r="BA63" i="28"/>
  <c r="BA67" i="28"/>
  <c r="BI63" i="28"/>
  <c r="BI67" i="28"/>
  <c r="BQ63" i="28"/>
  <c r="BQ67" i="28"/>
  <c r="BY63" i="28"/>
  <c r="BY67" i="28"/>
  <c r="CG63" i="28"/>
  <c r="CG67" i="28"/>
  <c r="AL67" i="28"/>
  <c r="AL63" i="28"/>
  <c r="W67" i="28"/>
  <c r="W63" i="28"/>
  <c r="AD67" i="28"/>
  <c r="AD63" i="28"/>
  <c r="BJ67" i="28"/>
  <c r="BJ63" i="28"/>
  <c r="BZ67" i="28"/>
  <c r="BZ63" i="28"/>
  <c r="O67" i="28"/>
  <c r="O63" i="28"/>
  <c r="BK67" i="28"/>
  <c r="BK63" i="28"/>
  <c r="AV63" i="28"/>
  <c r="AV67" i="28"/>
  <c r="BB67" i="28"/>
  <c r="BB63" i="28"/>
  <c r="X63" i="28"/>
  <c r="X67" i="28"/>
  <c r="BD63" i="28"/>
  <c r="BD67" i="28"/>
  <c r="BT63" i="28"/>
  <c r="BT67" i="28"/>
  <c r="I63" i="28"/>
  <c r="I67" i="28"/>
  <c r="Q67" i="28"/>
  <c r="Q63" i="28"/>
  <c r="Y67" i="28"/>
  <c r="Y63" i="28"/>
  <c r="AG63" i="28"/>
  <c r="AG67" i="28"/>
  <c r="AO67" i="28"/>
  <c r="AO63" i="28"/>
  <c r="AW63" i="28"/>
  <c r="AW67" i="28"/>
  <c r="BE67" i="28"/>
  <c r="BE63" i="28"/>
  <c r="BM63" i="28"/>
  <c r="BM67" i="28"/>
  <c r="BU67" i="28"/>
  <c r="BU63" i="28"/>
  <c r="CC63" i="28"/>
  <c r="CC67" i="28"/>
  <c r="M65" i="28"/>
  <c r="U65" i="28"/>
  <c r="AC65" i="28"/>
  <c r="AK65" i="28"/>
  <c r="AS65" i="28"/>
  <c r="BA65" i="28"/>
  <c r="BI65" i="28"/>
  <c r="BQ65" i="28"/>
  <c r="BY65" i="28"/>
  <c r="CG65" i="28"/>
  <c r="N67" i="28"/>
  <c r="N63" i="28"/>
  <c r="G67" i="28"/>
  <c r="G63" i="28"/>
  <c r="BC67" i="28"/>
  <c r="BC63" i="28"/>
  <c r="AF63" i="28"/>
  <c r="AF67" i="28"/>
  <c r="J63" i="28"/>
  <c r="J67" i="28"/>
  <c r="R63" i="28"/>
  <c r="R67" i="28"/>
  <c r="Z63" i="28"/>
  <c r="Z67" i="28"/>
  <c r="AH63" i="28"/>
  <c r="AH67" i="28"/>
  <c r="AP63" i="28"/>
  <c r="AP67" i="28"/>
  <c r="AX63" i="28"/>
  <c r="AX67" i="28"/>
  <c r="BF63" i="28"/>
  <c r="BF67" i="28"/>
  <c r="BN63" i="28"/>
  <c r="BN67" i="28"/>
  <c r="BV63" i="28"/>
  <c r="BV67" i="28"/>
  <c r="CD63" i="28"/>
  <c r="CD67" i="28"/>
  <c r="N65" i="28"/>
  <c r="V65" i="28"/>
  <c r="AD65" i="28"/>
  <c r="AL65" i="28"/>
  <c r="BB65" i="28"/>
  <c r="BJ65" i="28"/>
  <c r="BZ65" i="28"/>
  <c r="AT67" i="28"/>
  <c r="AT63" i="28"/>
  <c r="BR67" i="28"/>
  <c r="BR63" i="28"/>
  <c r="AM67" i="28"/>
  <c r="AM63" i="28"/>
  <c r="CA67" i="28"/>
  <c r="CA63" i="28"/>
  <c r="K63" i="28"/>
  <c r="K67" i="28"/>
  <c r="S63" i="28"/>
  <c r="S67" i="28"/>
  <c r="AA63" i="28"/>
  <c r="AA67" i="28"/>
  <c r="AI63" i="28"/>
  <c r="AI67" i="28"/>
  <c r="AQ63" i="28"/>
  <c r="AQ67" i="28"/>
  <c r="AY63" i="28"/>
  <c r="AY67" i="28"/>
  <c r="BG63" i="28"/>
  <c r="BG67" i="28"/>
  <c r="BO63" i="28"/>
  <c r="BO67" i="28"/>
  <c r="BW63" i="28"/>
  <c r="BW67" i="28"/>
  <c r="CE63" i="28"/>
  <c r="CE67" i="28"/>
  <c r="G65" i="28"/>
  <c r="G66" i="28" s="1"/>
  <c r="O65" i="28"/>
  <c r="W65" i="28"/>
  <c r="AE65" i="28"/>
  <c r="AM65" i="28"/>
  <c r="BC65" i="28"/>
  <c r="BK65" i="28"/>
  <c r="BS65" i="28"/>
  <c r="CA65" i="28"/>
  <c r="F67" i="28"/>
  <c r="F68" i="28" s="1"/>
  <c r="F63" i="28"/>
  <c r="F64" i="28" s="1"/>
  <c r="G64" i="28" s="1"/>
  <c r="AU67" i="28"/>
  <c r="AU63" i="28"/>
  <c r="CI67" i="28"/>
  <c r="L63" i="28"/>
  <c r="L67" i="28"/>
  <c r="T63" i="28"/>
  <c r="T67" i="28"/>
  <c r="AB63" i="28"/>
  <c r="AB67" i="28"/>
  <c r="AJ63" i="28"/>
  <c r="AJ67" i="28"/>
  <c r="AR63" i="28"/>
  <c r="AR67" i="28"/>
  <c r="AZ63" i="28"/>
  <c r="AZ67" i="28"/>
  <c r="BH63" i="28"/>
  <c r="BH67" i="28"/>
  <c r="BP63" i="28"/>
  <c r="BP67" i="28"/>
  <c r="BX63" i="28"/>
  <c r="BX67" i="28"/>
  <c r="CF63" i="28"/>
  <c r="CF67" i="28"/>
  <c r="H65" i="28"/>
  <c r="P65" i="28"/>
  <c r="X65" i="28"/>
  <c r="AF65" i="28"/>
  <c r="AN65" i="28"/>
  <c r="AV65" i="28"/>
  <c r="BD65" i="28"/>
  <c r="BL65" i="28"/>
  <c r="BT65" i="28"/>
  <c r="CB65" i="28"/>
  <c r="T58" i="28"/>
  <c r="T54" i="28"/>
  <c r="BA53" i="28"/>
  <c r="BA56" i="28" s="1"/>
  <c r="AZ58" i="28"/>
  <c r="AZ54" i="28"/>
  <c r="AC54" i="28"/>
  <c r="AC58" i="28"/>
  <c r="AS54" i="28"/>
  <c r="AS58" i="28"/>
  <c r="F58" i="28"/>
  <c r="F59" i="28" s="1"/>
  <c r="F54" i="28"/>
  <c r="F55" i="28" s="1"/>
  <c r="N58" i="28"/>
  <c r="N54" i="28"/>
  <c r="V58" i="28"/>
  <c r="V54" i="28"/>
  <c r="AD58" i="28"/>
  <c r="AD54" i="28"/>
  <c r="AL58" i="28"/>
  <c r="AL54" i="28"/>
  <c r="AT58" i="28"/>
  <c r="AT54" i="28"/>
  <c r="AB58" i="28"/>
  <c r="AB54" i="28"/>
  <c r="AM58" i="28"/>
  <c r="AM54" i="28"/>
  <c r="L58" i="28"/>
  <c r="L54" i="28"/>
  <c r="AR54" i="28"/>
  <c r="AR58" i="28"/>
  <c r="U54" i="28"/>
  <c r="U58" i="28"/>
  <c r="AK54" i="28"/>
  <c r="AK58" i="28"/>
  <c r="AE58" i="28"/>
  <c r="AE54" i="28"/>
  <c r="W58" i="28"/>
  <c r="W54" i="28"/>
  <c r="H58" i="28"/>
  <c r="H54" i="28"/>
  <c r="X58" i="28"/>
  <c r="X54" i="28"/>
  <c r="AF58" i="28"/>
  <c r="AF54" i="28"/>
  <c r="AN58" i="28"/>
  <c r="AN54" i="28"/>
  <c r="I58" i="28"/>
  <c r="I54" i="28"/>
  <c r="Q58" i="28"/>
  <c r="Q54" i="28"/>
  <c r="Y58" i="28"/>
  <c r="Y54" i="28"/>
  <c r="AG58" i="28"/>
  <c r="AG54" i="28"/>
  <c r="AO58" i="28"/>
  <c r="AO54" i="28"/>
  <c r="AW58" i="28"/>
  <c r="AW54" i="28"/>
  <c r="J58" i="28"/>
  <c r="J54" i="28"/>
  <c r="R58" i="28"/>
  <c r="R54" i="28"/>
  <c r="Z58" i="28"/>
  <c r="Z54" i="28"/>
  <c r="AH58" i="28"/>
  <c r="AH54" i="28"/>
  <c r="AP58" i="28"/>
  <c r="AP54" i="28"/>
  <c r="AX58" i="28"/>
  <c r="AX54" i="28"/>
  <c r="AJ54" i="28"/>
  <c r="AJ58" i="28"/>
  <c r="M58" i="28"/>
  <c r="M54" i="28"/>
  <c r="G58" i="28"/>
  <c r="G54" i="28"/>
  <c r="O58" i="28"/>
  <c r="O54" i="28"/>
  <c r="AU58" i="28"/>
  <c r="AU54" i="28"/>
  <c r="P58" i="28"/>
  <c r="P54" i="28"/>
  <c r="AV58" i="28"/>
  <c r="AV54" i="28"/>
  <c r="K56" i="28"/>
  <c r="K54" i="28"/>
  <c r="K58" i="28"/>
  <c r="S56" i="28"/>
  <c r="S54" i="28"/>
  <c r="S58" i="28"/>
  <c r="AA56" i="28"/>
  <c r="AA54" i="28"/>
  <c r="AA58" i="28"/>
  <c r="AI56" i="28"/>
  <c r="AI54" i="28"/>
  <c r="AI58" i="28"/>
  <c r="AQ56" i="28"/>
  <c r="AQ54" i="28"/>
  <c r="AQ58" i="28"/>
  <c r="AY56" i="28"/>
  <c r="AY54" i="28"/>
  <c r="AY58" i="28"/>
  <c r="AC50" i="28"/>
  <c r="AC46" i="28"/>
  <c r="N46" i="28"/>
  <c r="N50" i="28"/>
  <c r="AL50" i="28"/>
  <c r="AL46" i="28"/>
  <c r="AE46" i="28"/>
  <c r="AE50" i="28"/>
  <c r="H46" i="28"/>
  <c r="H50" i="28"/>
  <c r="P46" i="28"/>
  <c r="P50" i="28"/>
  <c r="X46" i="28"/>
  <c r="X50" i="28"/>
  <c r="AF46" i="28"/>
  <c r="AF50" i="28"/>
  <c r="AN46" i="28"/>
  <c r="AN50" i="28"/>
  <c r="AK50" i="28"/>
  <c r="AK46" i="28"/>
  <c r="F46" i="28"/>
  <c r="F50" i="28"/>
  <c r="F51" i="28" s="1"/>
  <c r="AT46" i="28"/>
  <c r="AT50" i="28"/>
  <c r="G46" i="28"/>
  <c r="G50" i="28"/>
  <c r="W46" i="28"/>
  <c r="W50" i="28"/>
  <c r="Y46" i="28"/>
  <c r="Y50" i="28"/>
  <c r="AG46" i="28"/>
  <c r="AG50" i="28"/>
  <c r="AO46" i="28"/>
  <c r="AO50" i="28"/>
  <c r="U48" i="28"/>
  <c r="U50" i="28"/>
  <c r="U46" i="28"/>
  <c r="V50" i="28"/>
  <c r="V46" i="28"/>
  <c r="O46" i="28"/>
  <c r="O50" i="28"/>
  <c r="AV45" i="28"/>
  <c r="AU46" i="28"/>
  <c r="AU50" i="28"/>
  <c r="J46" i="28"/>
  <c r="J50" i="28"/>
  <c r="Z50" i="28"/>
  <c r="Z46" i="28"/>
  <c r="AP50" i="28"/>
  <c r="AP46" i="28"/>
  <c r="M48" i="28"/>
  <c r="M50" i="28"/>
  <c r="M46" i="28"/>
  <c r="AS50" i="28"/>
  <c r="AS46" i="28"/>
  <c r="AD50" i="28"/>
  <c r="AD46" i="28"/>
  <c r="AM46" i="28"/>
  <c r="AM50" i="28"/>
  <c r="Q46" i="28"/>
  <c r="Q50" i="28"/>
  <c r="AQ50" i="28"/>
  <c r="AQ46" i="28"/>
  <c r="I46" i="28"/>
  <c r="I50" i="28"/>
  <c r="R50" i="28"/>
  <c r="R46" i="28"/>
  <c r="AH46" i="28"/>
  <c r="AH50" i="28"/>
  <c r="K50" i="28"/>
  <c r="K46" i="28"/>
  <c r="S50" i="28"/>
  <c r="S46" i="28"/>
  <c r="AA50" i="28"/>
  <c r="AA46" i="28"/>
  <c r="AI50" i="28"/>
  <c r="AI46" i="28"/>
  <c r="L50" i="28"/>
  <c r="L46" i="28"/>
  <c r="T50" i="28"/>
  <c r="T46" i="28"/>
  <c r="AB50" i="28"/>
  <c r="AB46" i="28"/>
  <c r="AJ50" i="28"/>
  <c r="AJ46" i="28"/>
  <c r="AR50" i="28"/>
  <c r="AR46" i="28"/>
  <c r="AC38" i="28"/>
  <c r="AC42" i="28"/>
  <c r="L40" i="28"/>
  <c r="L38" i="28"/>
  <c r="L42" i="28"/>
  <c r="T38" i="28"/>
  <c r="T42" i="28"/>
  <c r="AB38" i="28"/>
  <c r="AB42" i="28"/>
  <c r="AJ38" i="28"/>
  <c r="AJ42" i="28"/>
  <c r="N38" i="28"/>
  <c r="N42" i="28"/>
  <c r="M38" i="28"/>
  <c r="M42" i="28"/>
  <c r="G40" i="28"/>
  <c r="G38" i="28"/>
  <c r="G42" i="28"/>
  <c r="W40" i="28"/>
  <c r="W38" i="28"/>
  <c r="W42" i="28"/>
  <c r="AE40" i="28"/>
  <c r="AE38" i="28"/>
  <c r="AE42" i="28"/>
  <c r="H42" i="28"/>
  <c r="H38" i="28"/>
  <c r="P42" i="28"/>
  <c r="P38" i="28"/>
  <c r="X40" i="28"/>
  <c r="X42" i="28"/>
  <c r="X38" i="28"/>
  <c r="AF42" i="28"/>
  <c r="AF38" i="28"/>
  <c r="AN42" i="28"/>
  <c r="AN38" i="28"/>
  <c r="U38" i="28"/>
  <c r="U42" i="28"/>
  <c r="F38" i="28"/>
  <c r="F42" i="28"/>
  <c r="V38" i="28"/>
  <c r="V42" i="28"/>
  <c r="AD38" i="28"/>
  <c r="AD42" i="28"/>
  <c r="AL38" i="28"/>
  <c r="AL42" i="28"/>
  <c r="O38" i="28"/>
  <c r="O42" i="28"/>
  <c r="AM38" i="28"/>
  <c r="AM42" i="28"/>
  <c r="I38" i="28"/>
  <c r="I42" i="28"/>
  <c r="Q42" i="28"/>
  <c r="Q38" i="28"/>
  <c r="Y38" i="28"/>
  <c r="Y42" i="28"/>
  <c r="AG40" i="28"/>
  <c r="AG38" i="28"/>
  <c r="AG42" i="28"/>
  <c r="AP37" i="28"/>
  <c r="AO42" i="28"/>
  <c r="AO38" i="28"/>
  <c r="J40" i="28"/>
  <c r="J38" i="28"/>
  <c r="J42" i="28"/>
  <c r="R38" i="28"/>
  <c r="R42" i="28"/>
  <c r="Z42" i="28"/>
  <c r="Z38" i="28"/>
  <c r="AH38" i="28"/>
  <c r="AH42" i="28"/>
  <c r="AK38" i="28"/>
  <c r="AK42" i="28"/>
  <c r="K40" i="28"/>
  <c r="K38" i="28"/>
  <c r="K42" i="28"/>
  <c r="S42" i="28"/>
  <c r="S38" i="28"/>
  <c r="AA40" i="28"/>
  <c r="AA42" i="28"/>
  <c r="AA38" i="28"/>
  <c r="AI42" i="28"/>
  <c r="AI38" i="28"/>
  <c r="J32" i="28"/>
  <c r="J34" i="28"/>
  <c r="J30" i="28"/>
  <c r="I32" i="28"/>
  <c r="I34" i="28"/>
  <c r="I30" i="28"/>
  <c r="Q32" i="28"/>
  <c r="Q34" i="28"/>
  <c r="Q30" i="28"/>
  <c r="D15" i="32"/>
  <c r="R32" i="28"/>
  <c r="R34" i="28"/>
  <c r="R30" i="28"/>
  <c r="S32" i="28"/>
  <c r="S34" i="28"/>
  <c r="S30" i="28"/>
  <c r="M30" i="28"/>
  <c r="M34" i="28"/>
  <c r="U30" i="28"/>
  <c r="U34" i="28"/>
  <c r="H15" i="32"/>
  <c r="L30" i="28"/>
  <c r="L34" i="28"/>
  <c r="N32" i="28"/>
  <c r="N34" i="28"/>
  <c r="N30" i="28"/>
  <c r="V34" i="28"/>
  <c r="V30" i="28"/>
  <c r="G15" i="32"/>
  <c r="F34" i="28"/>
  <c r="F30" i="28"/>
  <c r="K32" i="28"/>
  <c r="K34" i="28"/>
  <c r="K30" i="28"/>
  <c r="T34" i="28"/>
  <c r="T30" i="28"/>
  <c r="G32" i="28"/>
  <c r="G34" i="28"/>
  <c r="G30" i="28"/>
  <c r="O32" i="28"/>
  <c r="O30" i="28"/>
  <c r="O34" i="28"/>
  <c r="F15" i="32"/>
  <c r="C15" i="32"/>
  <c r="H32" i="28"/>
  <c r="H34" i="28"/>
  <c r="H30" i="28"/>
  <c r="P32" i="28"/>
  <c r="P34" i="28"/>
  <c r="P30" i="28"/>
  <c r="E15" i="32"/>
  <c r="Q6" i="24"/>
  <c r="P9" i="24"/>
  <c r="AW45" i="1" s="1"/>
  <c r="AU120" i="1"/>
  <c r="AV119" i="1"/>
  <c r="AG78" i="1"/>
  <c r="AG79" i="1" s="1"/>
  <c r="AH78" i="1"/>
  <c r="P38" i="29"/>
  <c r="P41" i="29" s="1"/>
  <c r="W13" i="28"/>
  <c r="X13" i="28" s="1"/>
  <c r="AH32" i="1"/>
  <c r="R2" i="29"/>
  <c r="Q21" i="29"/>
  <c r="Q13" i="29"/>
  <c r="H18" i="28"/>
  <c r="H14" i="28"/>
  <c r="P18" i="28"/>
  <c r="P14" i="28"/>
  <c r="I14" i="28"/>
  <c r="I18" i="28"/>
  <c r="R18" i="28"/>
  <c r="R14" i="28"/>
  <c r="K18" i="28"/>
  <c r="K14" i="28"/>
  <c r="Q16" i="28"/>
  <c r="Q18" i="28"/>
  <c r="Q14" i="28"/>
  <c r="S14" i="28"/>
  <c r="S18" i="28"/>
  <c r="L14" i="28"/>
  <c r="L18" i="28"/>
  <c r="F16" i="28"/>
  <c r="F17" i="28" s="1"/>
  <c r="F14" i="28"/>
  <c r="F15" i="28" s="1"/>
  <c r="F18" i="28"/>
  <c r="F19" i="28" s="1"/>
  <c r="M14" i="28"/>
  <c r="M18" i="28"/>
  <c r="N14" i="28"/>
  <c r="N18" i="28"/>
  <c r="J14" i="28"/>
  <c r="J18" i="28"/>
  <c r="G14" i="28"/>
  <c r="G18" i="28"/>
  <c r="O18" i="28"/>
  <c r="O14" i="28"/>
  <c r="AJ82" i="1"/>
  <c r="AJ92" i="1" s="1"/>
  <c r="AJ189" i="1"/>
  <c r="AJ190" i="1" s="1"/>
  <c r="AG34" i="1"/>
  <c r="AH189" i="1"/>
  <c r="AH190" i="1" s="1"/>
  <c r="AI189" i="1"/>
  <c r="AI190" i="1" s="1"/>
  <c r="AI82" i="1"/>
  <c r="AI92" i="1" s="1"/>
  <c r="AH160" i="1"/>
  <c r="AH183" i="1"/>
  <c r="AH34" i="1"/>
  <c r="AH118" i="1"/>
  <c r="AH121" i="1" s="1"/>
  <c r="T40" i="28"/>
  <c r="P40" i="28"/>
  <c r="O40" i="28"/>
  <c r="I24" i="28"/>
  <c r="G24" i="28"/>
  <c r="AB56" i="28"/>
  <c r="AC56" i="28"/>
  <c r="AF40" i="28"/>
  <c r="U24" i="28"/>
  <c r="Y24" i="28"/>
  <c r="AC24" i="28"/>
  <c r="M24" i="28"/>
  <c r="Q24" i="28"/>
  <c r="U56" i="28"/>
  <c r="Q40" i="28"/>
  <c r="R40" i="28"/>
  <c r="K24" i="28"/>
  <c r="S24" i="28"/>
  <c r="AA24" i="28"/>
  <c r="F24" i="28"/>
  <c r="N24" i="28"/>
  <c r="V24" i="28"/>
  <c r="AD24" i="28"/>
  <c r="Y40" i="28"/>
  <c r="I40" i="28"/>
  <c r="Z40" i="28"/>
  <c r="BG45" i="28"/>
  <c r="L56" i="28"/>
  <c r="M56" i="28"/>
  <c r="AK56" i="28"/>
  <c r="AR56" i="28"/>
  <c r="AS56" i="28"/>
  <c r="H56" i="28"/>
  <c r="AN56" i="28"/>
  <c r="O56" i="28"/>
  <c r="AE56" i="28"/>
  <c r="AU56" i="28"/>
  <c r="G56" i="28"/>
  <c r="W56" i="28"/>
  <c r="AM56" i="28"/>
  <c r="X56" i="28"/>
  <c r="P56" i="28"/>
  <c r="AF56" i="28"/>
  <c r="AV56" i="28"/>
  <c r="T56" i="28"/>
  <c r="AJ56" i="28"/>
  <c r="AZ56" i="28"/>
  <c r="BM53" i="28"/>
  <c r="F56" i="28"/>
  <c r="F57" i="28" s="1"/>
  <c r="N56" i="28"/>
  <c r="V56" i="28"/>
  <c r="AD56" i="28"/>
  <c r="AL56" i="28"/>
  <c r="AT56" i="28"/>
  <c r="I56" i="28"/>
  <c r="Q56" i="28"/>
  <c r="Y56" i="28"/>
  <c r="AG56" i="28"/>
  <c r="AO56" i="28"/>
  <c r="AW56" i="28"/>
  <c r="J56" i="28"/>
  <c r="R56" i="28"/>
  <c r="Z56" i="28"/>
  <c r="AH56" i="28"/>
  <c r="AP56" i="28"/>
  <c r="AX56" i="28"/>
  <c r="F48" i="28"/>
  <c r="F49" i="28" s="1"/>
  <c r="H40" i="28"/>
  <c r="S40" i="28"/>
  <c r="AB40" i="28"/>
  <c r="AH40" i="28"/>
  <c r="M40" i="28"/>
  <c r="U40" i="28"/>
  <c r="AC40" i="28"/>
  <c r="N40" i="28"/>
  <c r="V40" i="28"/>
  <c r="AD40" i="28"/>
  <c r="F40" i="28"/>
  <c r="T32" i="28"/>
  <c r="L32" i="28"/>
  <c r="F32" i="28"/>
  <c r="M32" i="28"/>
  <c r="U32" i="28"/>
  <c r="V32" i="28"/>
  <c r="W29" i="28"/>
  <c r="AE21" i="28"/>
  <c r="G16" i="28"/>
  <c r="P16" i="28"/>
  <c r="J16" i="28"/>
  <c r="R16" i="28"/>
  <c r="H16" i="28"/>
  <c r="N16" i="28"/>
  <c r="L16" i="28"/>
  <c r="O16" i="28"/>
  <c r="I16" i="28"/>
  <c r="K16" i="28"/>
  <c r="S16" i="28"/>
  <c r="T16" i="28"/>
  <c r="M16" i="28"/>
  <c r="AG160" i="1"/>
  <c r="AG118" i="1"/>
  <c r="AG121" i="1" s="1"/>
  <c r="AF143" i="1"/>
  <c r="AE143" i="1"/>
  <c r="AD143" i="1"/>
  <c r="AC143" i="1"/>
  <c r="AB143" i="1"/>
  <c r="A12" i="29"/>
  <c r="AF27" i="1"/>
  <c r="AE27" i="1"/>
  <c r="AD27" i="1"/>
  <c r="AC27" i="1"/>
  <c r="AB27" i="1"/>
  <c r="E11" i="5"/>
  <c r="AW46" i="1" l="1"/>
  <c r="AW50" i="1"/>
  <c r="W14" i="28"/>
  <c r="W18" i="28"/>
  <c r="W16" i="28"/>
  <c r="CH63" i="28"/>
  <c r="T18" i="28"/>
  <c r="T71" i="28" s="1"/>
  <c r="V14" i="28"/>
  <c r="U18" i="28"/>
  <c r="U71" i="28" s="1"/>
  <c r="T14" i="28"/>
  <c r="V18" i="28"/>
  <c r="U14" i="28"/>
  <c r="U72" i="28" s="1"/>
  <c r="U16" i="28"/>
  <c r="U73" i="28" s="1"/>
  <c r="AE22" i="28"/>
  <c r="AE26" i="28"/>
  <c r="AZ156" i="1"/>
  <c r="BA153" i="1"/>
  <c r="AH184" i="1"/>
  <c r="AI184" i="1"/>
  <c r="G11" i="5"/>
  <c r="CI65" i="28"/>
  <c r="CJ62" i="28"/>
  <c r="H66" i="28"/>
  <c r="I66" i="28" s="1"/>
  <c r="J66" i="28" s="1"/>
  <c r="K66" i="28" s="1"/>
  <c r="L66" i="28" s="1"/>
  <c r="M66" i="28" s="1"/>
  <c r="N66" i="28" s="1"/>
  <c r="O66" i="28" s="1"/>
  <c r="P66" i="28" s="1"/>
  <c r="Q66" i="28" s="1"/>
  <c r="R66" i="28" s="1"/>
  <c r="S66" i="28" s="1"/>
  <c r="T66" i="28" s="1"/>
  <c r="U66" i="28" s="1"/>
  <c r="V66" i="28" s="1"/>
  <c r="W66" i="28" s="1"/>
  <c r="X66" i="28" s="1"/>
  <c r="Y66" i="28" s="1"/>
  <c r="Z66" i="28" s="1"/>
  <c r="AA66" i="28" s="1"/>
  <c r="AB66" i="28" s="1"/>
  <c r="AC66" i="28" s="1"/>
  <c r="AD66" i="28" s="1"/>
  <c r="AE66" i="28" s="1"/>
  <c r="AF66" i="28" s="1"/>
  <c r="AG66" i="28" s="1"/>
  <c r="AH66" i="28" s="1"/>
  <c r="AI66" i="28" s="1"/>
  <c r="AJ66" i="28" s="1"/>
  <c r="AK66" i="28" s="1"/>
  <c r="AL66" i="28" s="1"/>
  <c r="AM66" i="28" s="1"/>
  <c r="AN66" i="28" s="1"/>
  <c r="AO66" i="28" s="1"/>
  <c r="AP66" i="28" s="1"/>
  <c r="AQ66" i="28" s="1"/>
  <c r="AR66" i="28" s="1"/>
  <c r="AS66" i="28" s="1"/>
  <c r="AT66" i="28" s="1"/>
  <c r="AU66" i="28" s="1"/>
  <c r="AV66" i="28" s="1"/>
  <c r="AW66" i="28" s="1"/>
  <c r="AX66" i="28" s="1"/>
  <c r="AY66" i="28" s="1"/>
  <c r="AZ66" i="28" s="1"/>
  <c r="BA66" i="28" s="1"/>
  <c r="BB66" i="28" s="1"/>
  <c r="BC66" i="28" s="1"/>
  <c r="BD66" i="28" s="1"/>
  <c r="BE66" i="28" s="1"/>
  <c r="BF66" i="28" s="1"/>
  <c r="BG66" i="28" s="1"/>
  <c r="BH66" i="28" s="1"/>
  <c r="BI66" i="28" s="1"/>
  <c r="BJ66" i="28" s="1"/>
  <c r="BK66" i="28" s="1"/>
  <c r="BL66" i="28" s="1"/>
  <c r="BM66" i="28" s="1"/>
  <c r="BN66" i="28" s="1"/>
  <c r="BO66" i="28" s="1"/>
  <c r="BP66" i="28" s="1"/>
  <c r="BQ66" i="28" s="1"/>
  <c r="BR66" i="28" s="1"/>
  <c r="BS66" i="28" s="1"/>
  <c r="BT66" i="28" s="1"/>
  <c r="BU66" i="28" s="1"/>
  <c r="BV66" i="28" s="1"/>
  <c r="BW66" i="28" s="1"/>
  <c r="BX66" i="28" s="1"/>
  <c r="BY66" i="28" s="1"/>
  <c r="BZ66" i="28" s="1"/>
  <c r="CA66" i="28" s="1"/>
  <c r="CB66" i="28" s="1"/>
  <c r="CC66" i="28" s="1"/>
  <c r="CD66" i="28" s="1"/>
  <c r="CE66" i="28" s="1"/>
  <c r="CF66" i="28" s="1"/>
  <c r="CG66" i="28" s="1"/>
  <c r="CH66" i="28" s="1"/>
  <c r="H64" i="28"/>
  <c r="I64" i="28" s="1"/>
  <c r="J64" i="28" s="1"/>
  <c r="K64" i="28" s="1"/>
  <c r="L64" i="28" s="1"/>
  <c r="M64" i="28" s="1"/>
  <c r="N64" i="28" s="1"/>
  <c r="O64" i="28" s="1"/>
  <c r="P64" i="28" s="1"/>
  <c r="Q64" i="28" s="1"/>
  <c r="R64" i="28" s="1"/>
  <c r="S64" i="28" s="1"/>
  <c r="T64" i="28" s="1"/>
  <c r="U64" i="28" s="1"/>
  <c r="V64" i="28" s="1"/>
  <c r="W64" i="28" s="1"/>
  <c r="X64" i="28" s="1"/>
  <c r="Y64" i="28" s="1"/>
  <c r="Z64" i="28" s="1"/>
  <c r="AA64" i="28" s="1"/>
  <c r="AB64" i="28" s="1"/>
  <c r="AC64" i="28" s="1"/>
  <c r="AD64" i="28" s="1"/>
  <c r="AE64" i="28" s="1"/>
  <c r="AF64" i="28" s="1"/>
  <c r="AG64" i="28" s="1"/>
  <c r="AH64" i="28" s="1"/>
  <c r="AI64" i="28" s="1"/>
  <c r="AJ64" i="28" s="1"/>
  <c r="AK64" i="28" s="1"/>
  <c r="AL64" i="28" s="1"/>
  <c r="AM64" i="28" s="1"/>
  <c r="AN64" i="28" s="1"/>
  <c r="AO64" i="28" s="1"/>
  <c r="AP64" i="28" s="1"/>
  <c r="AQ64" i="28" s="1"/>
  <c r="AR64" i="28" s="1"/>
  <c r="AS64" i="28" s="1"/>
  <c r="AT64" i="28" s="1"/>
  <c r="AU64" i="28" s="1"/>
  <c r="AV64" i="28" s="1"/>
  <c r="AW64" i="28" s="1"/>
  <c r="AX64" i="28" s="1"/>
  <c r="AY64" i="28" s="1"/>
  <c r="AZ64" i="28" s="1"/>
  <c r="BA64" i="28" s="1"/>
  <c r="BB64" i="28" s="1"/>
  <c r="BC64" i="28" s="1"/>
  <c r="BD64" i="28" s="1"/>
  <c r="BE64" i="28" s="1"/>
  <c r="BF64" i="28" s="1"/>
  <c r="BG64" i="28" s="1"/>
  <c r="BH64" i="28" s="1"/>
  <c r="BI64" i="28" s="1"/>
  <c r="BJ64" i="28" s="1"/>
  <c r="BK64" i="28" s="1"/>
  <c r="BL64" i="28" s="1"/>
  <c r="BM64" i="28" s="1"/>
  <c r="BN64" i="28" s="1"/>
  <c r="BO64" i="28" s="1"/>
  <c r="BP64" i="28" s="1"/>
  <c r="BQ64" i="28" s="1"/>
  <c r="BR64" i="28" s="1"/>
  <c r="BS64" i="28" s="1"/>
  <c r="BT64" i="28" s="1"/>
  <c r="BU64" i="28" s="1"/>
  <c r="BV64" i="28" s="1"/>
  <c r="BW64" i="28" s="1"/>
  <c r="BX64" i="28" s="1"/>
  <c r="BY64" i="28" s="1"/>
  <c r="BZ64" i="28" s="1"/>
  <c r="CA64" i="28" s="1"/>
  <c r="CB64" i="28" s="1"/>
  <c r="CC64" i="28" s="1"/>
  <c r="CD64" i="28" s="1"/>
  <c r="CE64" i="28" s="1"/>
  <c r="CF64" i="28" s="1"/>
  <c r="CG64" i="28" s="1"/>
  <c r="CH64" i="28" s="1"/>
  <c r="CI64" i="28" s="1"/>
  <c r="G68" i="28"/>
  <c r="H68" i="28" s="1"/>
  <c r="I68" i="28" s="1"/>
  <c r="J68" i="28" s="1"/>
  <c r="K68" i="28" s="1"/>
  <c r="L68" i="28" s="1"/>
  <c r="M68" i="28" s="1"/>
  <c r="N68" i="28" s="1"/>
  <c r="O68" i="28" s="1"/>
  <c r="P68" i="28" s="1"/>
  <c r="Q68" i="28" s="1"/>
  <c r="R68" i="28" s="1"/>
  <c r="S68" i="28" s="1"/>
  <c r="T68" i="28" s="1"/>
  <c r="U68" i="28" s="1"/>
  <c r="V68" i="28" s="1"/>
  <c r="W68" i="28" s="1"/>
  <c r="X68" i="28" s="1"/>
  <c r="Y68" i="28" s="1"/>
  <c r="Z68" i="28" s="1"/>
  <c r="AA68" i="28" s="1"/>
  <c r="AB68" i="28" s="1"/>
  <c r="AC68" i="28" s="1"/>
  <c r="AD68" i="28" s="1"/>
  <c r="AE68" i="28" s="1"/>
  <c r="AF68" i="28" s="1"/>
  <c r="AG68" i="28" s="1"/>
  <c r="AH68" i="28" s="1"/>
  <c r="AI68" i="28" s="1"/>
  <c r="AJ68" i="28" s="1"/>
  <c r="AK68" i="28" s="1"/>
  <c r="AL68" i="28" s="1"/>
  <c r="AM68" i="28" s="1"/>
  <c r="AN68" i="28" s="1"/>
  <c r="AO68" i="28" s="1"/>
  <c r="AP68" i="28" s="1"/>
  <c r="AQ68" i="28" s="1"/>
  <c r="AR68" i="28" s="1"/>
  <c r="AS68" i="28" s="1"/>
  <c r="AT68" i="28" s="1"/>
  <c r="AU68" i="28" s="1"/>
  <c r="AV68" i="28" s="1"/>
  <c r="AW68" i="28" s="1"/>
  <c r="AX68" i="28" s="1"/>
  <c r="AY68" i="28" s="1"/>
  <c r="AZ68" i="28" s="1"/>
  <c r="BA68" i="28" s="1"/>
  <c r="BB68" i="28" s="1"/>
  <c r="BC68" i="28" s="1"/>
  <c r="BD68" i="28" s="1"/>
  <c r="BE68" i="28" s="1"/>
  <c r="BF68" i="28" s="1"/>
  <c r="BG68" i="28" s="1"/>
  <c r="BH68" i="28" s="1"/>
  <c r="BI68" i="28" s="1"/>
  <c r="BJ68" i="28" s="1"/>
  <c r="BK68" i="28" s="1"/>
  <c r="BL68" i="28" s="1"/>
  <c r="BM68" i="28" s="1"/>
  <c r="BN68" i="28" s="1"/>
  <c r="BO68" i="28" s="1"/>
  <c r="BP68" i="28" s="1"/>
  <c r="BQ68" i="28" s="1"/>
  <c r="BR68" i="28" s="1"/>
  <c r="BS68" i="28" s="1"/>
  <c r="BT68" i="28" s="1"/>
  <c r="BU68" i="28" s="1"/>
  <c r="BV68" i="28" s="1"/>
  <c r="BW68" i="28" s="1"/>
  <c r="BX68" i="28" s="1"/>
  <c r="BY68" i="28" s="1"/>
  <c r="BZ68" i="28" s="1"/>
  <c r="CA68" i="28" s="1"/>
  <c r="CB68" i="28" s="1"/>
  <c r="CC68" i="28" s="1"/>
  <c r="CD68" i="28" s="1"/>
  <c r="CE68" i="28" s="1"/>
  <c r="CF68" i="28" s="1"/>
  <c r="CG68" i="28" s="1"/>
  <c r="CH68" i="28" s="1"/>
  <c r="CI68" i="28" s="1"/>
  <c r="BM58" i="28"/>
  <c r="BM54" i="28"/>
  <c r="BB53" i="28"/>
  <c r="BA54" i="28"/>
  <c r="BA58" i="28"/>
  <c r="BH45" i="28"/>
  <c r="BG50" i="28"/>
  <c r="BG46" i="28"/>
  <c r="AW45" i="28"/>
  <c r="AV46" i="28"/>
  <c r="AV50" i="28"/>
  <c r="AQ37" i="28"/>
  <c r="AP42" i="28"/>
  <c r="AP38" i="28"/>
  <c r="W34" i="28"/>
  <c r="W30" i="28"/>
  <c r="L36" i="34"/>
  <c r="L37" i="34"/>
  <c r="R6" i="24"/>
  <c r="S6" i="24" s="1"/>
  <c r="Q9" i="24"/>
  <c r="AX45" i="1" s="1"/>
  <c r="AV120" i="1"/>
  <c r="AW119" i="1"/>
  <c r="AK12" i="1"/>
  <c r="AK32" i="1" s="1"/>
  <c r="AG85" i="1"/>
  <c r="AH79" i="1"/>
  <c r="X18" i="28"/>
  <c r="X14" i="28"/>
  <c r="S2" i="29"/>
  <c r="G15" i="28"/>
  <c r="H15" i="28" s="1"/>
  <c r="I15" i="28" s="1"/>
  <c r="J15" i="28" s="1"/>
  <c r="K15" i="28" s="1"/>
  <c r="L15" i="28" s="1"/>
  <c r="M15" i="28" s="1"/>
  <c r="N15" i="28" s="1"/>
  <c r="O15" i="28" s="1"/>
  <c r="P15" i="28" s="1"/>
  <c r="Q15" i="28" s="1"/>
  <c r="R15" i="28" s="1"/>
  <c r="S15" i="28" s="1"/>
  <c r="AI182" i="1"/>
  <c r="M72" i="28"/>
  <c r="M73" i="28"/>
  <c r="I72" i="28"/>
  <c r="F47" i="28"/>
  <c r="G47" i="28" s="1"/>
  <c r="F72" i="28"/>
  <c r="K72" i="28"/>
  <c r="F33" i="28"/>
  <c r="G33" i="28" s="1"/>
  <c r="H33" i="28" s="1"/>
  <c r="I33" i="28" s="1"/>
  <c r="F73" i="28"/>
  <c r="AF21" i="28"/>
  <c r="AE24" i="28"/>
  <c r="BN53" i="28"/>
  <c r="BM56" i="28"/>
  <c r="Q72" i="28"/>
  <c r="Q48" i="28"/>
  <c r="Q73" i="28" s="1"/>
  <c r="S48" i="28"/>
  <c r="S73" i="28" s="1"/>
  <c r="I48" i="28"/>
  <c r="I73" i="28" s="1"/>
  <c r="H48" i="28"/>
  <c r="H73" i="28" s="1"/>
  <c r="H72" i="28"/>
  <c r="O48" i="28"/>
  <c r="O73" i="28" s="1"/>
  <c r="O72" i="28"/>
  <c r="V71" i="28"/>
  <c r="V48" i="28"/>
  <c r="V73" i="28" s="1"/>
  <c r="L48" i="28"/>
  <c r="L73" i="28" s="1"/>
  <c r="L72" i="28"/>
  <c r="K48" i="28"/>
  <c r="K73" i="28" s="1"/>
  <c r="G48" i="28"/>
  <c r="G51" i="28"/>
  <c r="R48" i="28"/>
  <c r="R73" i="28" s="1"/>
  <c r="P48" i="28"/>
  <c r="P73" i="28" s="1"/>
  <c r="P72" i="28"/>
  <c r="J72" i="28"/>
  <c r="J48" i="28"/>
  <c r="J73" i="28" s="1"/>
  <c r="T48" i="28"/>
  <c r="T73" i="28" s="1"/>
  <c r="N72" i="28"/>
  <c r="N48" i="28"/>
  <c r="N73" i="28" s="1"/>
  <c r="AI40" i="28"/>
  <c r="X29" i="28"/>
  <c r="W32" i="28"/>
  <c r="G17" i="28"/>
  <c r="H17" i="28" s="1"/>
  <c r="I17" i="28" s="1"/>
  <c r="J17" i="28" s="1"/>
  <c r="K17" i="28" s="1"/>
  <c r="L17" i="28" s="1"/>
  <c r="M17" i="28" s="1"/>
  <c r="N17" i="28" s="1"/>
  <c r="O17" i="28" s="1"/>
  <c r="P17" i="28" s="1"/>
  <c r="Q17" i="28" s="1"/>
  <c r="R17" i="28" s="1"/>
  <c r="S17" i="28" s="1"/>
  <c r="T17" i="28" s="1"/>
  <c r="U17" i="28" s="1"/>
  <c r="V17" i="28" s="1"/>
  <c r="F35" i="28"/>
  <c r="G35" i="28" s="1"/>
  <c r="H35" i="28" s="1"/>
  <c r="I35" i="28" s="1"/>
  <c r="G19" i="28"/>
  <c r="H19" i="28" s="1"/>
  <c r="I19" i="28" s="1"/>
  <c r="J19" i="28" s="1"/>
  <c r="K19" i="28" s="1"/>
  <c r="L19" i="28" s="1"/>
  <c r="M19" i="28" s="1"/>
  <c r="N19" i="28" s="1"/>
  <c r="O19" i="28" s="1"/>
  <c r="P19" i="28" s="1"/>
  <c r="Q19" i="28" s="1"/>
  <c r="R19" i="28" s="1"/>
  <c r="S19" i="28" s="1"/>
  <c r="F31" i="28"/>
  <c r="G31" i="28" s="1"/>
  <c r="H31" i="28" s="1"/>
  <c r="I31" i="28" s="1"/>
  <c r="Y13" i="28"/>
  <c r="X16" i="28"/>
  <c r="AG82" i="1"/>
  <c r="AG92" i="1" s="1"/>
  <c r="H11" i="5"/>
  <c r="N10" i="34"/>
  <c r="M10" i="34"/>
  <c r="L10" i="34"/>
  <c r="K10" i="34"/>
  <c r="J10" i="34"/>
  <c r="I10" i="34"/>
  <c r="H10" i="34"/>
  <c r="G10" i="34"/>
  <c r="F10" i="34"/>
  <c r="E10" i="34"/>
  <c r="D10" i="34"/>
  <c r="C10" i="34"/>
  <c r="AF28" i="1"/>
  <c r="AF10" i="1"/>
  <c r="AF112" i="1" s="1"/>
  <c r="AF42" i="1"/>
  <c r="G23" i="31" s="1"/>
  <c r="AF57" i="1"/>
  <c r="AF61" i="1"/>
  <c r="AF88" i="1"/>
  <c r="AF91" i="1" s="1"/>
  <c r="AF106" i="1"/>
  <c r="AF111" i="1"/>
  <c r="AF125" i="1"/>
  <c r="AK126" i="1" s="1"/>
  <c r="AF158" i="1"/>
  <c r="AF165" i="1"/>
  <c r="H23" i="31"/>
  <c r="D58" i="5"/>
  <c r="D61" i="5" s="1"/>
  <c r="D63" i="5" s="1"/>
  <c r="K69" i="5"/>
  <c r="J69" i="5"/>
  <c r="I69" i="5"/>
  <c r="H69" i="5"/>
  <c r="G69" i="5"/>
  <c r="F69" i="5"/>
  <c r="E69" i="5"/>
  <c r="D69" i="5"/>
  <c r="K68" i="5"/>
  <c r="K70" i="5" s="1"/>
  <c r="J68" i="5"/>
  <c r="J70" i="5" s="1"/>
  <c r="I68" i="5"/>
  <c r="I70" i="5" s="1"/>
  <c r="H68" i="5"/>
  <c r="G68" i="5"/>
  <c r="G70" i="5" s="1"/>
  <c r="F68" i="5"/>
  <c r="F70" i="5" s="1"/>
  <c r="E68" i="5"/>
  <c r="E70" i="5" s="1"/>
  <c r="D68" i="5"/>
  <c r="D70" i="5" s="1"/>
  <c r="K65" i="5"/>
  <c r="J65" i="5"/>
  <c r="I65" i="5"/>
  <c r="H65" i="5"/>
  <c r="G65" i="5"/>
  <c r="F65" i="5"/>
  <c r="E65" i="5"/>
  <c r="D65" i="5"/>
  <c r="K64" i="5"/>
  <c r="K66" i="5" s="1"/>
  <c r="J64" i="5"/>
  <c r="I64" i="5"/>
  <c r="H64" i="5"/>
  <c r="H66" i="5" s="1"/>
  <c r="G64" i="5"/>
  <c r="G66" i="5" s="1"/>
  <c r="F64" i="5"/>
  <c r="F66" i="5" s="1"/>
  <c r="E64" i="5"/>
  <c r="E66" i="5" s="1"/>
  <c r="D64" i="5"/>
  <c r="D66" i="5" s="1"/>
  <c r="K62" i="5"/>
  <c r="J62" i="5"/>
  <c r="I62" i="5"/>
  <c r="H62" i="5"/>
  <c r="G62" i="5"/>
  <c r="F62" i="5"/>
  <c r="E62" i="5"/>
  <c r="D62" i="5"/>
  <c r="K59" i="5"/>
  <c r="J59" i="5"/>
  <c r="I59" i="5"/>
  <c r="H59" i="5"/>
  <c r="G59" i="5"/>
  <c r="F59" i="5"/>
  <c r="E59" i="5"/>
  <c r="D59" i="5"/>
  <c r="X96" i="5"/>
  <c r="T93" i="5"/>
  <c r="K93" i="5"/>
  <c r="J93" i="5"/>
  <c r="I93" i="5"/>
  <c r="H93" i="5"/>
  <c r="G93" i="5"/>
  <c r="F93" i="5"/>
  <c r="E93" i="5"/>
  <c r="D93" i="5"/>
  <c r="N87" i="5"/>
  <c r="R83" i="5"/>
  <c r="E80" i="5"/>
  <c r="F80" i="5" s="1"/>
  <c r="G80" i="5" s="1"/>
  <c r="H80" i="5" s="1"/>
  <c r="I80" i="5" s="1"/>
  <c r="J80" i="5" s="1"/>
  <c r="K80" i="5" s="1"/>
  <c r="NG7" i="33"/>
  <c r="NG9" i="33" s="1"/>
  <c r="NG17" i="33" s="1"/>
  <c r="NF7" i="33"/>
  <c r="NF9" i="33" s="1"/>
  <c r="NF17" i="33" s="1"/>
  <c r="NE7" i="33"/>
  <c r="NE9" i="33" s="1"/>
  <c r="NE17" i="33" s="1"/>
  <c r="ND7" i="33"/>
  <c r="ND9" i="33" s="1"/>
  <c r="ND17" i="33" s="1"/>
  <c r="NC7" i="33"/>
  <c r="NC9" i="33" s="1"/>
  <c r="NC17" i="33" s="1"/>
  <c r="NB7" i="33"/>
  <c r="NB9" i="33" s="1"/>
  <c r="NB17" i="33" s="1"/>
  <c r="NA7" i="33"/>
  <c r="NA9" i="33" s="1"/>
  <c r="NA17" i="33" s="1"/>
  <c r="MZ7" i="33"/>
  <c r="MZ9" i="33" s="1"/>
  <c r="MZ17" i="33" s="1"/>
  <c r="MY7" i="33"/>
  <c r="MY9" i="33" s="1"/>
  <c r="MY17" i="33" s="1"/>
  <c r="MX7" i="33"/>
  <c r="MX9" i="33" s="1"/>
  <c r="MX17" i="33" s="1"/>
  <c r="MW7" i="33"/>
  <c r="MW9" i="33" s="1"/>
  <c r="MW17" i="33" s="1"/>
  <c r="MV7" i="33"/>
  <c r="MV9" i="33" s="1"/>
  <c r="MV17" i="33" s="1"/>
  <c r="MU7" i="33"/>
  <c r="MU9" i="33" s="1"/>
  <c r="MU17" i="33" s="1"/>
  <c r="MT7" i="33"/>
  <c r="MT9" i="33" s="1"/>
  <c r="MT17" i="33" s="1"/>
  <c r="MS7" i="33"/>
  <c r="MS9" i="33" s="1"/>
  <c r="MS17" i="33" s="1"/>
  <c r="MR7" i="33"/>
  <c r="MR9" i="33" s="1"/>
  <c r="MR17" i="33" s="1"/>
  <c r="MQ7" i="33"/>
  <c r="MQ9" i="33" s="1"/>
  <c r="MQ17" i="33" s="1"/>
  <c r="MP7" i="33"/>
  <c r="MP9" i="33" s="1"/>
  <c r="MP17" i="33" s="1"/>
  <c r="MO7" i="33"/>
  <c r="MO9" i="33" s="1"/>
  <c r="MO17" i="33" s="1"/>
  <c r="MN7" i="33"/>
  <c r="MN9" i="33" s="1"/>
  <c r="MN17" i="33" s="1"/>
  <c r="MM7" i="33"/>
  <c r="MM9" i="33" s="1"/>
  <c r="MM17" i="33" s="1"/>
  <c r="ML7" i="33"/>
  <c r="ML9" i="33" s="1"/>
  <c r="ML17" i="33" s="1"/>
  <c r="MK7" i="33"/>
  <c r="MK9" i="33" s="1"/>
  <c r="MK17" i="33" s="1"/>
  <c r="MJ7" i="33"/>
  <c r="MJ9" i="33" s="1"/>
  <c r="MJ17" i="33" s="1"/>
  <c r="MI7" i="33"/>
  <c r="MI9" i="33" s="1"/>
  <c r="MI17" i="33" s="1"/>
  <c r="MH7" i="33"/>
  <c r="MH9" i="33" s="1"/>
  <c r="MH17" i="33" s="1"/>
  <c r="MG7" i="33"/>
  <c r="MG9" i="33" s="1"/>
  <c r="MG17" i="33" s="1"/>
  <c r="MF7" i="33"/>
  <c r="MF9" i="33" s="1"/>
  <c r="MF17" i="33" s="1"/>
  <c r="ME7" i="33"/>
  <c r="ME9" i="33" s="1"/>
  <c r="ME17" i="33" s="1"/>
  <c r="MD7" i="33"/>
  <c r="MD9" i="33" s="1"/>
  <c r="MD17" i="33" s="1"/>
  <c r="MC7" i="33"/>
  <c r="MC9" i="33" s="1"/>
  <c r="MC17" i="33" s="1"/>
  <c r="MB7" i="33"/>
  <c r="MB9" i="33" s="1"/>
  <c r="MB17" i="33" s="1"/>
  <c r="MA7" i="33"/>
  <c r="MA9" i="33" s="1"/>
  <c r="MA17" i="33" s="1"/>
  <c r="LZ7" i="33"/>
  <c r="LZ9" i="33" s="1"/>
  <c r="LZ17" i="33" s="1"/>
  <c r="LY7" i="33"/>
  <c r="LY9" i="33" s="1"/>
  <c r="LY17" i="33" s="1"/>
  <c r="LX7" i="33"/>
  <c r="LX9" i="33" s="1"/>
  <c r="LX17" i="33" s="1"/>
  <c r="LW7" i="33"/>
  <c r="LW9" i="33" s="1"/>
  <c r="LW17" i="33" s="1"/>
  <c r="LV7" i="33"/>
  <c r="LV9" i="33" s="1"/>
  <c r="LV17" i="33" s="1"/>
  <c r="LU7" i="33"/>
  <c r="LU9" i="33" s="1"/>
  <c r="LU17" i="33" s="1"/>
  <c r="LT7" i="33"/>
  <c r="LT9" i="33" s="1"/>
  <c r="LT17" i="33" s="1"/>
  <c r="LS7" i="33"/>
  <c r="LS9" i="33" s="1"/>
  <c r="LS17" i="33" s="1"/>
  <c r="LR7" i="33"/>
  <c r="LR9" i="33" s="1"/>
  <c r="LR17" i="33" s="1"/>
  <c r="LQ7" i="33"/>
  <c r="LQ9" i="33" s="1"/>
  <c r="LQ17" i="33" s="1"/>
  <c r="LP7" i="33"/>
  <c r="LP9" i="33" s="1"/>
  <c r="LP17" i="33" s="1"/>
  <c r="LO7" i="33"/>
  <c r="LO9" i="33" s="1"/>
  <c r="LO17" i="33" s="1"/>
  <c r="LN7" i="33"/>
  <c r="LN9" i="33" s="1"/>
  <c r="LN17" i="33" s="1"/>
  <c r="LM7" i="33"/>
  <c r="LM9" i="33" s="1"/>
  <c r="LM17" i="33" s="1"/>
  <c r="LL7" i="33"/>
  <c r="LL9" i="33" s="1"/>
  <c r="LL17" i="33" s="1"/>
  <c r="LK7" i="33"/>
  <c r="LK9" i="33" s="1"/>
  <c r="LK17" i="33" s="1"/>
  <c r="LJ7" i="33"/>
  <c r="LJ9" i="33" s="1"/>
  <c r="LJ17" i="33" s="1"/>
  <c r="LI7" i="33"/>
  <c r="LI9" i="33" s="1"/>
  <c r="LI17" i="33" s="1"/>
  <c r="LH7" i="33"/>
  <c r="LH9" i="33" s="1"/>
  <c r="LH17" i="33" s="1"/>
  <c r="LG7" i="33"/>
  <c r="LG9" i="33" s="1"/>
  <c r="LG17" i="33" s="1"/>
  <c r="LF7" i="33"/>
  <c r="LF9" i="33" s="1"/>
  <c r="LF17" i="33" s="1"/>
  <c r="LE7" i="33"/>
  <c r="LE9" i="33" s="1"/>
  <c r="LE17" i="33" s="1"/>
  <c r="LD7" i="33"/>
  <c r="LD9" i="33" s="1"/>
  <c r="LD17" i="33" s="1"/>
  <c r="LC7" i="33"/>
  <c r="LC9" i="33" s="1"/>
  <c r="LC17" i="33" s="1"/>
  <c r="LB7" i="33"/>
  <c r="LB9" i="33" s="1"/>
  <c r="LB17" i="33" s="1"/>
  <c r="LA7" i="33"/>
  <c r="LA9" i="33" s="1"/>
  <c r="LA17" i="33" s="1"/>
  <c r="KZ7" i="33"/>
  <c r="KZ9" i="33" s="1"/>
  <c r="KZ17" i="33" s="1"/>
  <c r="KY7" i="33"/>
  <c r="KY9" i="33" s="1"/>
  <c r="KY17" i="33" s="1"/>
  <c r="KX7" i="33"/>
  <c r="KX9" i="33" s="1"/>
  <c r="KX17" i="33" s="1"/>
  <c r="KW7" i="33"/>
  <c r="KW9" i="33" s="1"/>
  <c r="KW17" i="33" s="1"/>
  <c r="KV7" i="33"/>
  <c r="KV9" i="33" s="1"/>
  <c r="KV17" i="33" s="1"/>
  <c r="KU7" i="33"/>
  <c r="KU9" i="33" s="1"/>
  <c r="KU17" i="33" s="1"/>
  <c r="KT7" i="33"/>
  <c r="KT9" i="33" s="1"/>
  <c r="KT17" i="33" s="1"/>
  <c r="KS7" i="33"/>
  <c r="KS9" i="33" s="1"/>
  <c r="KS17" i="33" s="1"/>
  <c r="KR7" i="33"/>
  <c r="KR9" i="33" s="1"/>
  <c r="KR17" i="33" s="1"/>
  <c r="KQ7" i="33"/>
  <c r="KQ9" i="33" s="1"/>
  <c r="KQ17" i="33" s="1"/>
  <c r="KP7" i="33"/>
  <c r="KP9" i="33" s="1"/>
  <c r="KP17" i="33" s="1"/>
  <c r="KO7" i="33"/>
  <c r="KO9" i="33" s="1"/>
  <c r="KO17" i="33" s="1"/>
  <c r="KN7" i="33"/>
  <c r="KN9" i="33" s="1"/>
  <c r="KN17" i="33" s="1"/>
  <c r="KM7" i="33"/>
  <c r="KM9" i="33" s="1"/>
  <c r="KM17" i="33" s="1"/>
  <c r="KL7" i="33"/>
  <c r="KL9" i="33" s="1"/>
  <c r="KL17" i="33" s="1"/>
  <c r="KK7" i="33"/>
  <c r="KK9" i="33" s="1"/>
  <c r="KK17" i="33" s="1"/>
  <c r="KJ7" i="33"/>
  <c r="KJ9" i="33" s="1"/>
  <c r="KJ17" i="33" s="1"/>
  <c r="KI7" i="33"/>
  <c r="KI9" i="33" s="1"/>
  <c r="KI17" i="33" s="1"/>
  <c r="KH7" i="33"/>
  <c r="KH9" i="33" s="1"/>
  <c r="KH17" i="33" s="1"/>
  <c r="KG7" i="33"/>
  <c r="KG9" i="33" s="1"/>
  <c r="KG17" i="33" s="1"/>
  <c r="KF7" i="33"/>
  <c r="KF9" i="33" s="1"/>
  <c r="KF17" i="33" s="1"/>
  <c r="KE7" i="33"/>
  <c r="KE9" i="33" s="1"/>
  <c r="KE17" i="33" s="1"/>
  <c r="KD7" i="33"/>
  <c r="KD9" i="33" s="1"/>
  <c r="KD17" i="33" s="1"/>
  <c r="KC7" i="33"/>
  <c r="KC9" i="33" s="1"/>
  <c r="KC17" i="33" s="1"/>
  <c r="KB7" i="33"/>
  <c r="KB9" i="33" s="1"/>
  <c r="KB17" i="33" s="1"/>
  <c r="KA7" i="33"/>
  <c r="KA9" i="33" s="1"/>
  <c r="KA17" i="33" s="1"/>
  <c r="JZ7" i="33"/>
  <c r="JZ9" i="33" s="1"/>
  <c r="JZ17" i="33" s="1"/>
  <c r="JY7" i="33"/>
  <c r="JY9" i="33" s="1"/>
  <c r="JY17" i="33" s="1"/>
  <c r="JX7" i="33"/>
  <c r="JX9" i="33" s="1"/>
  <c r="JX17" i="33" s="1"/>
  <c r="JW7" i="33"/>
  <c r="JW9" i="33" s="1"/>
  <c r="JW17" i="33" s="1"/>
  <c r="JV7" i="33"/>
  <c r="JV9" i="33" s="1"/>
  <c r="JV17" i="33" s="1"/>
  <c r="JU7" i="33"/>
  <c r="JU9" i="33" s="1"/>
  <c r="JU17" i="33" s="1"/>
  <c r="JT7" i="33"/>
  <c r="JT9" i="33" s="1"/>
  <c r="JT17" i="33" s="1"/>
  <c r="JS7" i="33"/>
  <c r="JS9" i="33" s="1"/>
  <c r="JS17" i="33" s="1"/>
  <c r="JR7" i="33"/>
  <c r="JR9" i="33" s="1"/>
  <c r="JR17" i="33" s="1"/>
  <c r="JQ7" i="33"/>
  <c r="JQ9" i="33" s="1"/>
  <c r="JQ17" i="33" s="1"/>
  <c r="JP7" i="33"/>
  <c r="JP9" i="33" s="1"/>
  <c r="JP17" i="33" s="1"/>
  <c r="JO7" i="33"/>
  <c r="JO9" i="33" s="1"/>
  <c r="JO17" i="33" s="1"/>
  <c r="JN7" i="33"/>
  <c r="JN9" i="33" s="1"/>
  <c r="JN17" i="33" s="1"/>
  <c r="JM7" i="33"/>
  <c r="JM9" i="33" s="1"/>
  <c r="JM17" i="33" s="1"/>
  <c r="JL7" i="33"/>
  <c r="JL9" i="33" s="1"/>
  <c r="JL17" i="33" s="1"/>
  <c r="JK7" i="33"/>
  <c r="JK9" i="33" s="1"/>
  <c r="JK17" i="33" s="1"/>
  <c r="JJ7" i="33"/>
  <c r="JJ9" i="33" s="1"/>
  <c r="JJ17" i="33" s="1"/>
  <c r="JI7" i="33"/>
  <c r="JI9" i="33" s="1"/>
  <c r="JI17" i="33" s="1"/>
  <c r="JH7" i="33"/>
  <c r="JH9" i="33" s="1"/>
  <c r="JH17" i="33" s="1"/>
  <c r="JG7" i="33"/>
  <c r="JG9" i="33" s="1"/>
  <c r="JG17" i="33" s="1"/>
  <c r="JF7" i="33"/>
  <c r="JF9" i="33" s="1"/>
  <c r="JF17" i="33" s="1"/>
  <c r="JE7" i="33"/>
  <c r="JE9" i="33" s="1"/>
  <c r="JE17" i="33" s="1"/>
  <c r="JD7" i="33"/>
  <c r="JD9" i="33" s="1"/>
  <c r="JD17" i="33" s="1"/>
  <c r="JC7" i="33"/>
  <c r="JC9" i="33" s="1"/>
  <c r="JC17" i="33" s="1"/>
  <c r="JB7" i="33"/>
  <c r="JB9" i="33" s="1"/>
  <c r="JB17" i="33" s="1"/>
  <c r="JA7" i="33"/>
  <c r="JA9" i="33" s="1"/>
  <c r="JA17" i="33" s="1"/>
  <c r="IZ7" i="33"/>
  <c r="IZ9" i="33" s="1"/>
  <c r="IZ17" i="33" s="1"/>
  <c r="IY7" i="33"/>
  <c r="IY9" i="33" s="1"/>
  <c r="IY17" i="33" s="1"/>
  <c r="IX7" i="33"/>
  <c r="IX9" i="33" s="1"/>
  <c r="IX17" i="33" s="1"/>
  <c r="IW7" i="33"/>
  <c r="IW9" i="33" s="1"/>
  <c r="IW17" i="33" s="1"/>
  <c r="IV7" i="33"/>
  <c r="IV9" i="33" s="1"/>
  <c r="IV17" i="33" s="1"/>
  <c r="IU7" i="33"/>
  <c r="IU9" i="33" s="1"/>
  <c r="IU17" i="33" s="1"/>
  <c r="IT7" i="33"/>
  <c r="IT9" i="33" s="1"/>
  <c r="IT17" i="33" s="1"/>
  <c r="IS7" i="33"/>
  <c r="IS9" i="33" s="1"/>
  <c r="IS17" i="33" s="1"/>
  <c r="IR7" i="33"/>
  <c r="IR9" i="33" s="1"/>
  <c r="IR17" i="33" s="1"/>
  <c r="IQ7" i="33"/>
  <c r="IQ9" i="33" s="1"/>
  <c r="IQ17" i="33" s="1"/>
  <c r="IP7" i="33"/>
  <c r="IP9" i="33" s="1"/>
  <c r="IP17" i="33" s="1"/>
  <c r="IO7" i="33"/>
  <c r="IO9" i="33" s="1"/>
  <c r="IO17" i="33" s="1"/>
  <c r="IN7" i="33"/>
  <c r="IN9" i="33" s="1"/>
  <c r="IN17" i="33" s="1"/>
  <c r="IM7" i="33"/>
  <c r="IM9" i="33" s="1"/>
  <c r="IM17" i="33" s="1"/>
  <c r="IL7" i="33"/>
  <c r="IL9" i="33" s="1"/>
  <c r="IL17" i="33" s="1"/>
  <c r="IK7" i="33"/>
  <c r="IK9" i="33" s="1"/>
  <c r="IK17" i="33" s="1"/>
  <c r="IJ7" i="33"/>
  <c r="IJ9" i="33" s="1"/>
  <c r="IJ17" i="33" s="1"/>
  <c r="II7" i="33"/>
  <c r="II9" i="33" s="1"/>
  <c r="II17" i="33" s="1"/>
  <c r="IH7" i="33"/>
  <c r="IH9" i="33" s="1"/>
  <c r="IH17" i="33" s="1"/>
  <c r="IG7" i="33"/>
  <c r="IG9" i="33" s="1"/>
  <c r="IG17" i="33" s="1"/>
  <c r="IF7" i="33"/>
  <c r="IF9" i="33" s="1"/>
  <c r="IF17" i="33" s="1"/>
  <c r="IE7" i="33"/>
  <c r="IE9" i="33" s="1"/>
  <c r="IE17" i="33" s="1"/>
  <c r="ID7" i="33"/>
  <c r="ID9" i="33" s="1"/>
  <c r="ID17" i="33" s="1"/>
  <c r="IC7" i="33"/>
  <c r="IC9" i="33" s="1"/>
  <c r="IC17" i="33" s="1"/>
  <c r="IB7" i="33"/>
  <c r="IB9" i="33" s="1"/>
  <c r="IB17" i="33" s="1"/>
  <c r="IA7" i="33"/>
  <c r="IA9" i="33" s="1"/>
  <c r="IA17" i="33" s="1"/>
  <c r="HZ7" i="33"/>
  <c r="HZ9" i="33" s="1"/>
  <c r="HZ17" i="33" s="1"/>
  <c r="HY7" i="33"/>
  <c r="HY9" i="33" s="1"/>
  <c r="HY17" i="33" s="1"/>
  <c r="HX7" i="33"/>
  <c r="HX9" i="33" s="1"/>
  <c r="HX17" i="33" s="1"/>
  <c r="HW7" i="33"/>
  <c r="HW9" i="33" s="1"/>
  <c r="HW17" i="33" s="1"/>
  <c r="HV7" i="33"/>
  <c r="HV9" i="33" s="1"/>
  <c r="HV17" i="33" s="1"/>
  <c r="HU7" i="33"/>
  <c r="HU9" i="33" s="1"/>
  <c r="HU17" i="33" s="1"/>
  <c r="HT7" i="33"/>
  <c r="HT9" i="33" s="1"/>
  <c r="HT17" i="33" s="1"/>
  <c r="HS7" i="33"/>
  <c r="HS9" i="33" s="1"/>
  <c r="HS17" i="33" s="1"/>
  <c r="HR7" i="33"/>
  <c r="HR9" i="33" s="1"/>
  <c r="HR17" i="33" s="1"/>
  <c r="HQ7" i="33"/>
  <c r="HQ9" i="33" s="1"/>
  <c r="HQ17" i="33" s="1"/>
  <c r="HP7" i="33"/>
  <c r="HP9" i="33" s="1"/>
  <c r="HP17" i="33" s="1"/>
  <c r="HO7" i="33"/>
  <c r="HO9" i="33" s="1"/>
  <c r="HO17" i="33" s="1"/>
  <c r="HN7" i="33"/>
  <c r="HN9" i="33" s="1"/>
  <c r="HN17" i="33" s="1"/>
  <c r="HM7" i="33"/>
  <c r="HM9" i="33" s="1"/>
  <c r="HM17" i="33" s="1"/>
  <c r="HL7" i="33"/>
  <c r="HL9" i="33" s="1"/>
  <c r="HL17" i="33" s="1"/>
  <c r="HK7" i="33"/>
  <c r="HK9" i="33" s="1"/>
  <c r="HK17" i="33" s="1"/>
  <c r="HJ7" i="33"/>
  <c r="HJ9" i="33" s="1"/>
  <c r="HJ17" i="33" s="1"/>
  <c r="HI7" i="33"/>
  <c r="HI9" i="33" s="1"/>
  <c r="HI17" i="33" s="1"/>
  <c r="HH7" i="33"/>
  <c r="HH9" i="33" s="1"/>
  <c r="HH17" i="33" s="1"/>
  <c r="HG7" i="33"/>
  <c r="HG9" i="33" s="1"/>
  <c r="HG17" i="33" s="1"/>
  <c r="HF7" i="33"/>
  <c r="HF9" i="33" s="1"/>
  <c r="HF17" i="33" s="1"/>
  <c r="HE7" i="33"/>
  <c r="HE9" i="33" s="1"/>
  <c r="HE17" i="33" s="1"/>
  <c r="HD7" i="33"/>
  <c r="HD9" i="33" s="1"/>
  <c r="HD17" i="33" s="1"/>
  <c r="HC7" i="33"/>
  <c r="HC9" i="33" s="1"/>
  <c r="HC17" i="33" s="1"/>
  <c r="HB7" i="33"/>
  <c r="HB9" i="33" s="1"/>
  <c r="HB17" i="33" s="1"/>
  <c r="HA7" i="33"/>
  <c r="HA9" i="33" s="1"/>
  <c r="HA17" i="33" s="1"/>
  <c r="GZ7" i="33"/>
  <c r="GZ9" i="33" s="1"/>
  <c r="GZ17" i="33" s="1"/>
  <c r="GY7" i="33"/>
  <c r="GY9" i="33" s="1"/>
  <c r="GY17" i="33" s="1"/>
  <c r="GX7" i="33"/>
  <c r="GX9" i="33" s="1"/>
  <c r="GX17" i="33" s="1"/>
  <c r="GW7" i="33"/>
  <c r="GW9" i="33" s="1"/>
  <c r="GW17" i="33" s="1"/>
  <c r="GV7" i="33"/>
  <c r="GV9" i="33" s="1"/>
  <c r="GV17" i="33" s="1"/>
  <c r="GU7" i="33"/>
  <c r="GU9" i="33" s="1"/>
  <c r="GU17" i="33" s="1"/>
  <c r="GT7" i="33"/>
  <c r="GT9" i="33" s="1"/>
  <c r="GT17" i="33" s="1"/>
  <c r="GS7" i="33"/>
  <c r="GS9" i="33" s="1"/>
  <c r="GS17" i="33" s="1"/>
  <c r="GR7" i="33"/>
  <c r="GR9" i="33" s="1"/>
  <c r="GR17" i="33" s="1"/>
  <c r="GQ7" i="33"/>
  <c r="GQ9" i="33" s="1"/>
  <c r="GQ17" i="33" s="1"/>
  <c r="GP7" i="33"/>
  <c r="GP9" i="33" s="1"/>
  <c r="GP17" i="33" s="1"/>
  <c r="GO7" i="33"/>
  <c r="GO9" i="33" s="1"/>
  <c r="GO17" i="33" s="1"/>
  <c r="GN7" i="33"/>
  <c r="GN9" i="33" s="1"/>
  <c r="GN17" i="33" s="1"/>
  <c r="GM7" i="33"/>
  <c r="GM9" i="33" s="1"/>
  <c r="GM17" i="33" s="1"/>
  <c r="GL7" i="33"/>
  <c r="GL9" i="33" s="1"/>
  <c r="GL17" i="33" s="1"/>
  <c r="GK7" i="33"/>
  <c r="GK9" i="33" s="1"/>
  <c r="GK17" i="33" s="1"/>
  <c r="GJ7" i="33"/>
  <c r="GJ9" i="33" s="1"/>
  <c r="GJ17" i="33" s="1"/>
  <c r="GI7" i="33"/>
  <c r="GI9" i="33" s="1"/>
  <c r="GI17" i="33" s="1"/>
  <c r="GH7" i="33"/>
  <c r="GH9" i="33" s="1"/>
  <c r="GH17" i="33" s="1"/>
  <c r="GG7" i="33"/>
  <c r="GG9" i="33" s="1"/>
  <c r="GG17" i="33" s="1"/>
  <c r="GF7" i="33"/>
  <c r="GF9" i="33" s="1"/>
  <c r="GF17" i="33" s="1"/>
  <c r="GE7" i="33"/>
  <c r="GE9" i="33" s="1"/>
  <c r="GE17" i="33" s="1"/>
  <c r="GD7" i="33"/>
  <c r="GD9" i="33" s="1"/>
  <c r="GD17" i="33" s="1"/>
  <c r="GC7" i="33"/>
  <c r="GC9" i="33" s="1"/>
  <c r="GC17" i="33" s="1"/>
  <c r="GB7" i="33"/>
  <c r="GB9" i="33" s="1"/>
  <c r="GB17" i="33" s="1"/>
  <c r="GA7" i="33"/>
  <c r="GA9" i="33" s="1"/>
  <c r="GA17" i="33" s="1"/>
  <c r="FZ7" i="33"/>
  <c r="FZ9" i="33" s="1"/>
  <c r="FZ17" i="33" s="1"/>
  <c r="FY7" i="33"/>
  <c r="FY9" i="33" s="1"/>
  <c r="FY17" i="33" s="1"/>
  <c r="FX7" i="33"/>
  <c r="FX9" i="33" s="1"/>
  <c r="FX17" i="33" s="1"/>
  <c r="FW7" i="33"/>
  <c r="FW9" i="33" s="1"/>
  <c r="FW17" i="33" s="1"/>
  <c r="FV7" i="33"/>
  <c r="FV9" i="33" s="1"/>
  <c r="FV17" i="33" s="1"/>
  <c r="FU7" i="33"/>
  <c r="FU9" i="33" s="1"/>
  <c r="FU17" i="33" s="1"/>
  <c r="FT7" i="33"/>
  <c r="FT9" i="33" s="1"/>
  <c r="FT17" i="33" s="1"/>
  <c r="FS7" i="33"/>
  <c r="FS9" i="33" s="1"/>
  <c r="FS17" i="33" s="1"/>
  <c r="FR7" i="33"/>
  <c r="FR9" i="33" s="1"/>
  <c r="FR17" i="33" s="1"/>
  <c r="FQ7" i="33"/>
  <c r="FQ9" i="33" s="1"/>
  <c r="FQ17" i="33" s="1"/>
  <c r="FP7" i="33"/>
  <c r="FP9" i="33" s="1"/>
  <c r="FP17" i="33" s="1"/>
  <c r="FO7" i="33"/>
  <c r="FO9" i="33" s="1"/>
  <c r="FO17" i="33" s="1"/>
  <c r="FN7" i="33"/>
  <c r="FN9" i="33" s="1"/>
  <c r="FN17" i="33" s="1"/>
  <c r="FM7" i="33"/>
  <c r="FM9" i="33" s="1"/>
  <c r="FM17" i="33" s="1"/>
  <c r="FL7" i="33"/>
  <c r="FL9" i="33" s="1"/>
  <c r="FL17" i="33" s="1"/>
  <c r="FK7" i="33"/>
  <c r="FK9" i="33" s="1"/>
  <c r="FK17" i="33" s="1"/>
  <c r="FJ7" i="33"/>
  <c r="FJ9" i="33" s="1"/>
  <c r="FJ17" i="33" s="1"/>
  <c r="FI7" i="33"/>
  <c r="FI9" i="33" s="1"/>
  <c r="FI17" i="33" s="1"/>
  <c r="FH7" i="33"/>
  <c r="FH9" i="33" s="1"/>
  <c r="FH17" i="33" s="1"/>
  <c r="FG7" i="33"/>
  <c r="FG9" i="33" s="1"/>
  <c r="FG17" i="33" s="1"/>
  <c r="FF7" i="33"/>
  <c r="FF9" i="33" s="1"/>
  <c r="FF17" i="33" s="1"/>
  <c r="FE7" i="33"/>
  <c r="FE9" i="33" s="1"/>
  <c r="FE17" i="33" s="1"/>
  <c r="FD7" i="33"/>
  <c r="FD9" i="33" s="1"/>
  <c r="FD17" i="33" s="1"/>
  <c r="FC7" i="33"/>
  <c r="FC9" i="33" s="1"/>
  <c r="FC17" i="33" s="1"/>
  <c r="FB7" i="33"/>
  <c r="FB9" i="33" s="1"/>
  <c r="FB17" i="33" s="1"/>
  <c r="FA7" i="33"/>
  <c r="FA9" i="33" s="1"/>
  <c r="FA17" i="33" s="1"/>
  <c r="EZ7" i="33"/>
  <c r="EZ9" i="33" s="1"/>
  <c r="EZ17" i="33" s="1"/>
  <c r="EY7" i="33"/>
  <c r="EY9" i="33" s="1"/>
  <c r="EY17" i="33" s="1"/>
  <c r="EX7" i="33"/>
  <c r="EX9" i="33" s="1"/>
  <c r="EX17" i="33" s="1"/>
  <c r="EW7" i="33"/>
  <c r="EW9" i="33" s="1"/>
  <c r="EW17" i="33" s="1"/>
  <c r="EV7" i="33"/>
  <c r="EV9" i="33" s="1"/>
  <c r="EV17" i="33" s="1"/>
  <c r="EU7" i="33"/>
  <c r="EU9" i="33" s="1"/>
  <c r="EU17" i="33" s="1"/>
  <c r="ET7" i="33"/>
  <c r="ET9" i="33" s="1"/>
  <c r="ET17" i="33" s="1"/>
  <c r="ES7" i="33"/>
  <c r="ES9" i="33" s="1"/>
  <c r="ES17" i="33" s="1"/>
  <c r="ER7" i="33"/>
  <c r="ER9" i="33" s="1"/>
  <c r="ER17" i="33" s="1"/>
  <c r="EQ7" i="33"/>
  <c r="EQ9" i="33" s="1"/>
  <c r="EQ17" i="33" s="1"/>
  <c r="EP7" i="33"/>
  <c r="EP9" i="33" s="1"/>
  <c r="EP17" i="33" s="1"/>
  <c r="EO7" i="33"/>
  <c r="EO9" i="33" s="1"/>
  <c r="EO17" i="33" s="1"/>
  <c r="EN7" i="33"/>
  <c r="EN9" i="33" s="1"/>
  <c r="EN17" i="33" s="1"/>
  <c r="EM7" i="33"/>
  <c r="EM9" i="33" s="1"/>
  <c r="EM17" i="33" s="1"/>
  <c r="EL7" i="33"/>
  <c r="EL9" i="33" s="1"/>
  <c r="EL17" i="33" s="1"/>
  <c r="EK7" i="33"/>
  <c r="EK9" i="33" s="1"/>
  <c r="EK17" i="33" s="1"/>
  <c r="EJ7" i="33"/>
  <c r="EJ9" i="33" s="1"/>
  <c r="EJ17" i="33" s="1"/>
  <c r="EI7" i="33"/>
  <c r="EI9" i="33" s="1"/>
  <c r="EI17" i="33" s="1"/>
  <c r="EH7" i="33"/>
  <c r="EH9" i="33" s="1"/>
  <c r="EH17" i="33" s="1"/>
  <c r="EG7" i="33"/>
  <c r="EG9" i="33" s="1"/>
  <c r="EG17" i="33" s="1"/>
  <c r="EF7" i="33"/>
  <c r="EF9" i="33" s="1"/>
  <c r="EF17" i="33" s="1"/>
  <c r="EE7" i="33"/>
  <c r="EE9" i="33" s="1"/>
  <c r="EE17" i="33" s="1"/>
  <c r="ED7" i="33"/>
  <c r="ED9" i="33" s="1"/>
  <c r="ED17" i="33" s="1"/>
  <c r="EC7" i="33"/>
  <c r="EC9" i="33" s="1"/>
  <c r="EC17" i="33" s="1"/>
  <c r="EB7" i="33"/>
  <c r="EB9" i="33" s="1"/>
  <c r="EB17" i="33" s="1"/>
  <c r="EA7" i="33"/>
  <c r="EA9" i="33" s="1"/>
  <c r="EA17" i="33" s="1"/>
  <c r="DZ7" i="33"/>
  <c r="DZ9" i="33" s="1"/>
  <c r="DZ17" i="33" s="1"/>
  <c r="DY7" i="33"/>
  <c r="DY9" i="33" s="1"/>
  <c r="DY17" i="33" s="1"/>
  <c r="DX7" i="33"/>
  <c r="DX9" i="33" s="1"/>
  <c r="DX17" i="33" s="1"/>
  <c r="DW7" i="33"/>
  <c r="DW9" i="33" s="1"/>
  <c r="DW17" i="33" s="1"/>
  <c r="DV7" i="33"/>
  <c r="DV9" i="33" s="1"/>
  <c r="DV17" i="33" s="1"/>
  <c r="DU7" i="33"/>
  <c r="DU9" i="33" s="1"/>
  <c r="DU17" i="33" s="1"/>
  <c r="DT7" i="33"/>
  <c r="DT9" i="33" s="1"/>
  <c r="DT17" i="33" s="1"/>
  <c r="DS7" i="33"/>
  <c r="DS9" i="33" s="1"/>
  <c r="DS17" i="33" s="1"/>
  <c r="DR7" i="33"/>
  <c r="DR9" i="33" s="1"/>
  <c r="DR17" i="33" s="1"/>
  <c r="DQ7" i="33"/>
  <c r="DQ9" i="33" s="1"/>
  <c r="DQ17" i="33" s="1"/>
  <c r="DP7" i="33"/>
  <c r="DP9" i="33" s="1"/>
  <c r="DP17" i="33" s="1"/>
  <c r="DO7" i="33"/>
  <c r="DO9" i="33" s="1"/>
  <c r="DO17" i="33" s="1"/>
  <c r="DN7" i="33"/>
  <c r="DN9" i="33" s="1"/>
  <c r="DN17" i="33" s="1"/>
  <c r="DM7" i="33"/>
  <c r="DM9" i="33" s="1"/>
  <c r="DM17" i="33" s="1"/>
  <c r="DL7" i="33"/>
  <c r="DL9" i="33" s="1"/>
  <c r="DL17" i="33" s="1"/>
  <c r="DK7" i="33"/>
  <c r="DK9" i="33" s="1"/>
  <c r="DK17" i="33" s="1"/>
  <c r="DJ7" i="33"/>
  <c r="DJ9" i="33" s="1"/>
  <c r="DJ17" i="33" s="1"/>
  <c r="DI7" i="33"/>
  <c r="DI9" i="33" s="1"/>
  <c r="DI17" i="33" s="1"/>
  <c r="DH7" i="33"/>
  <c r="DH9" i="33" s="1"/>
  <c r="DH17" i="33" s="1"/>
  <c r="DG7" i="33"/>
  <c r="DG9" i="33" s="1"/>
  <c r="DG17" i="33" s="1"/>
  <c r="DF7" i="33"/>
  <c r="DF9" i="33" s="1"/>
  <c r="DF17" i="33" s="1"/>
  <c r="DE7" i="33"/>
  <c r="DE9" i="33" s="1"/>
  <c r="DE17" i="33" s="1"/>
  <c r="DD7" i="33"/>
  <c r="DD9" i="33" s="1"/>
  <c r="DD17" i="33" s="1"/>
  <c r="DC7" i="33"/>
  <c r="DC9" i="33" s="1"/>
  <c r="DC17" i="33" s="1"/>
  <c r="DB7" i="33"/>
  <c r="DB9" i="33" s="1"/>
  <c r="DB17" i="33" s="1"/>
  <c r="DA7" i="33"/>
  <c r="DA9" i="33" s="1"/>
  <c r="DA17" i="33" s="1"/>
  <c r="CZ7" i="33"/>
  <c r="CZ9" i="33" s="1"/>
  <c r="CZ17" i="33" s="1"/>
  <c r="CY7" i="33"/>
  <c r="CY9" i="33" s="1"/>
  <c r="CY17" i="33" s="1"/>
  <c r="CX7" i="33"/>
  <c r="CX9" i="33" s="1"/>
  <c r="CX17" i="33" s="1"/>
  <c r="CW7" i="33"/>
  <c r="CW9" i="33" s="1"/>
  <c r="CW17" i="33" s="1"/>
  <c r="CV7" i="33"/>
  <c r="CV9" i="33" s="1"/>
  <c r="CV17" i="33" s="1"/>
  <c r="CU7" i="33"/>
  <c r="CU9" i="33" s="1"/>
  <c r="CU17" i="33" s="1"/>
  <c r="CT7" i="33"/>
  <c r="CT9" i="33" s="1"/>
  <c r="CT17" i="33" s="1"/>
  <c r="CS7" i="33"/>
  <c r="CS9" i="33" s="1"/>
  <c r="CS17" i="33" s="1"/>
  <c r="CR7" i="33"/>
  <c r="CR9" i="33" s="1"/>
  <c r="CR17" i="33" s="1"/>
  <c r="CQ7" i="33"/>
  <c r="CQ9" i="33" s="1"/>
  <c r="CQ17" i="33" s="1"/>
  <c r="CP7" i="33"/>
  <c r="CP9" i="33" s="1"/>
  <c r="CP17" i="33" s="1"/>
  <c r="CO7" i="33"/>
  <c r="CO9" i="33" s="1"/>
  <c r="CO17" i="33" s="1"/>
  <c r="CN7" i="33"/>
  <c r="CN9" i="33" s="1"/>
  <c r="CN17" i="33" s="1"/>
  <c r="CM7" i="33"/>
  <c r="CM9" i="33" s="1"/>
  <c r="CM17" i="33" s="1"/>
  <c r="CL7" i="33"/>
  <c r="CL9" i="33" s="1"/>
  <c r="CL17" i="33" s="1"/>
  <c r="CK7" i="33"/>
  <c r="CK9" i="33" s="1"/>
  <c r="CK17" i="33" s="1"/>
  <c r="CJ7" i="33"/>
  <c r="CJ9" i="33" s="1"/>
  <c r="CJ17" i="33" s="1"/>
  <c r="CI7" i="33"/>
  <c r="CI9" i="33" s="1"/>
  <c r="CI17" i="33" s="1"/>
  <c r="CH7" i="33"/>
  <c r="CH9" i="33" s="1"/>
  <c r="CH17" i="33" s="1"/>
  <c r="CG7" i="33"/>
  <c r="CG9" i="33" s="1"/>
  <c r="CG17" i="33" s="1"/>
  <c r="CF7" i="33"/>
  <c r="CF9" i="33" s="1"/>
  <c r="CF17" i="33" s="1"/>
  <c r="CE7" i="33"/>
  <c r="CE9" i="33" s="1"/>
  <c r="CE17" i="33" s="1"/>
  <c r="CD7" i="33"/>
  <c r="CD9" i="33" s="1"/>
  <c r="CD17" i="33" s="1"/>
  <c r="CC7" i="33"/>
  <c r="CC9" i="33" s="1"/>
  <c r="CC17" i="33" s="1"/>
  <c r="CB7" i="33"/>
  <c r="CB9" i="33" s="1"/>
  <c r="CB17" i="33" s="1"/>
  <c r="CA7" i="33"/>
  <c r="CA9" i="33" s="1"/>
  <c r="CA17" i="33" s="1"/>
  <c r="BZ7" i="33"/>
  <c r="BZ9" i="33" s="1"/>
  <c r="BZ17" i="33" s="1"/>
  <c r="BY7" i="33"/>
  <c r="BY9" i="33" s="1"/>
  <c r="BY17" i="33" s="1"/>
  <c r="BX7" i="33"/>
  <c r="BX9" i="33" s="1"/>
  <c r="BX17" i="33" s="1"/>
  <c r="BW7" i="33"/>
  <c r="BW9" i="33" s="1"/>
  <c r="BW17" i="33" s="1"/>
  <c r="BV7" i="33"/>
  <c r="BV9" i="33" s="1"/>
  <c r="BV17" i="33" s="1"/>
  <c r="BU7" i="33"/>
  <c r="BU9" i="33" s="1"/>
  <c r="BU17" i="33" s="1"/>
  <c r="BT7" i="33"/>
  <c r="BT9" i="33" s="1"/>
  <c r="BT17" i="33" s="1"/>
  <c r="BS7" i="33"/>
  <c r="BS9" i="33" s="1"/>
  <c r="BS17" i="33" s="1"/>
  <c r="BR7" i="33"/>
  <c r="BR9" i="33" s="1"/>
  <c r="BR17" i="33" s="1"/>
  <c r="BQ7" i="33"/>
  <c r="BQ9" i="33" s="1"/>
  <c r="BQ17" i="33" s="1"/>
  <c r="BP7" i="33"/>
  <c r="BP9" i="33" s="1"/>
  <c r="BP17" i="33" s="1"/>
  <c r="BO7" i="33"/>
  <c r="BO9" i="33" s="1"/>
  <c r="BO17" i="33" s="1"/>
  <c r="BN7" i="33"/>
  <c r="BN9" i="33" s="1"/>
  <c r="BN17" i="33" s="1"/>
  <c r="BM7" i="33"/>
  <c r="BM9" i="33" s="1"/>
  <c r="BM17" i="33" s="1"/>
  <c r="BL7" i="33"/>
  <c r="BL9" i="33" s="1"/>
  <c r="BL17" i="33" s="1"/>
  <c r="BK7" i="33"/>
  <c r="BK9" i="33" s="1"/>
  <c r="BK17" i="33" s="1"/>
  <c r="BJ7" i="33"/>
  <c r="BJ9" i="33" s="1"/>
  <c r="BJ17" i="33" s="1"/>
  <c r="BI7" i="33"/>
  <c r="BI9" i="33" s="1"/>
  <c r="BI17" i="33" s="1"/>
  <c r="BH7" i="33"/>
  <c r="BH9" i="33" s="1"/>
  <c r="BH17" i="33" s="1"/>
  <c r="BG7" i="33"/>
  <c r="BG9" i="33" s="1"/>
  <c r="BG17" i="33" s="1"/>
  <c r="BF7" i="33"/>
  <c r="BF9" i="33" s="1"/>
  <c r="BF17" i="33" s="1"/>
  <c r="BE7" i="33"/>
  <c r="BE9" i="33" s="1"/>
  <c r="BE17" i="33" s="1"/>
  <c r="BD7" i="33"/>
  <c r="BD9" i="33" s="1"/>
  <c r="BD17" i="33" s="1"/>
  <c r="BC7" i="33"/>
  <c r="BC9" i="33" s="1"/>
  <c r="BC17" i="33" s="1"/>
  <c r="BB7" i="33"/>
  <c r="BB9" i="33" s="1"/>
  <c r="BB17" i="33" s="1"/>
  <c r="BA7" i="33"/>
  <c r="BA9" i="33" s="1"/>
  <c r="BA17" i="33" s="1"/>
  <c r="AZ7" i="33"/>
  <c r="AZ9" i="33" s="1"/>
  <c r="AZ17" i="33" s="1"/>
  <c r="AY7" i="33"/>
  <c r="AY9" i="33" s="1"/>
  <c r="AY17" i="33" s="1"/>
  <c r="AX7" i="33"/>
  <c r="AX9" i="33" s="1"/>
  <c r="AX17" i="33" s="1"/>
  <c r="AW7" i="33"/>
  <c r="AW9" i="33" s="1"/>
  <c r="AW17" i="33" s="1"/>
  <c r="AV7" i="33"/>
  <c r="AV9" i="33" s="1"/>
  <c r="AV17" i="33" s="1"/>
  <c r="AU7" i="33"/>
  <c r="AU9" i="33" s="1"/>
  <c r="AU17" i="33" s="1"/>
  <c r="AT7" i="33"/>
  <c r="AT9" i="33" s="1"/>
  <c r="AT17" i="33" s="1"/>
  <c r="AS7" i="33"/>
  <c r="AS9" i="33" s="1"/>
  <c r="AS17" i="33" s="1"/>
  <c r="AR7" i="33"/>
  <c r="AR9" i="33" s="1"/>
  <c r="AR17" i="33" s="1"/>
  <c r="AQ7" i="33"/>
  <c r="AQ9" i="33" s="1"/>
  <c r="AQ17" i="33" s="1"/>
  <c r="AP7" i="33"/>
  <c r="AP9" i="33" s="1"/>
  <c r="AP17" i="33" s="1"/>
  <c r="AO7" i="33"/>
  <c r="AO9" i="33" s="1"/>
  <c r="AO17" i="33" s="1"/>
  <c r="AN7" i="33"/>
  <c r="AN9" i="33" s="1"/>
  <c r="AN17" i="33" s="1"/>
  <c r="AM7" i="33"/>
  <c r="AM9" i="33" s="1"/>
  <c r="AM17" i="33" s="1"/>
  <c r="AL7" i="33"/>
  <c r="AL9" i="33" s="1"/>
  <c r="AL17" i="33" s="1"/>
  <c r="AK7" i="33"/>
  <c r="AK9" i="33" s="1"/>
  <c r="AK17" i="33" s="1"/>
  <c r="AJ7" i="33"/>
  <c r="AJ9" i="33" s="1"/>
  <c r="AJ17" i="33" s="1"/>
  <c r="AI7" i="33"/>
  <c r="AI9" i="33" s="1"/>
  <c r="AI17" i="33" s="1"/>
  <c r="AH7" i="33"/>
  <c r="AH9" i="33" s="1"/>
  <c r="AH17" i="33" s="1"/>
  <c r="AG7" i="33"/>
  <c r="AG9" i="33" s="1"/>
  <c r="AG17" i="33" s="1"/>
  <c r="AF7" i="33"/>
  <c r="AF9" i="33" s="1"/>
  <c r="AF17" i="33" s="1"/>
  <c r="AE7" i="33"/>
  <c r="AE9" i="33" s="1"/>
  <c r="AE17" i="33" s="1"/>
  <c r="AD7" i="33"/>
  <c r="AD9" i="33" s="1"/>
  <c r="AD17" i="33" s="1"/>
  <c r="AC7" i="33"/>
  <c r="AC9" i="33" s="1"/>
  <c r="AC17" i="33" s="1"/>
  <c r="AB7" i="33"/>
  <c r="AB9" i="33" s="1"/>
  <c r="AB17" i="33" s="1"/>
  <c r="AA7" i="33"/>
  <c r="AA9" i="33" s="1"/>
  <c r="AA17" i="33" s="1"/>
  <c r="Z7" i="33"/>
  <c r="Z9" i="33" s="1"/>
  <c r="Z17" i="33" s="1"/>
  <c r="Y7" i="33"/>
  <c r="Y9" i="33" s="1"/>
  <c r="Y17" i="33" s="1"/>
  <c r="X7" i="33"/>
  <c r="X9" i="33" s="1"/>
  <c r="X17" i="33" s="1"/>
  <c r="W7" i="33"/>
  <c r="W9" i="33" s="1"/>
  <c r="W17" i="33" s="1"/>
  <c r="V7" i="33"/>
  <c r="V9" i="33" s="1"/>
  <c r="V17" i="33" s="1"/>
  <c r="U7" i="33"/>
  <c r="U9" i="33" s="1"/>
  <c r="U17" i="33" s="1"/>
  <c r="T7" i="33"/>
  <c r="T9" i="33" s="1"/>
  <c r="T17" i="33" s="1"/>
  <c r="S7" i="33"/>
  <c r="S9" i="33" s="1"/>
  <c r="S17" i="33" s="1"/>
  <c r="R7" i="33"/>
  <c r="R9" i="33" s="1"/>
  <c r="R17" i="33" s="1"/>
  <c r="Q7" i="33"/>
  <c r="Q9" i="33" s="1"/>
  <c r="Q17" i="33" s="1"/>
  <c r="P7" i="33"/>
  <c r="P9" i="33" s="1"/>
  <c r="P17" i="33" s="1"/>
  <c r="O7" i="33"/>
  <c r="O9" i="33" s="1"/>
  <c r="O17" i="33" s="1"/>
  <c r="N7" i="33"/>
  <c r="N9" i="33" s="1"/>
  <c r="N17" i="33" s="1"/>
  <c r="M7" i="33"/>
  <c r="M9" i="33" s="1"/>
  <c r="M17" i="33" s="1"/>
  <c r="L7" i="33"/>
  <c r="L9" i="33" s="1"/>
  <c r="L17" i="33" s="1"/>
  <c r="K7" i="33"/>
  <c r="K9" i="33" s="1"/>
  <c r="K17" i="33" s="1"/>
  <c r="J7" i="33"/>
  <c r="J9" i="33" s="1"/>
  <c r="J17" i="33" s="1"/>
  <c r="I7" i="33"/>
  <c r="I9" i="33" s="1"/>
  <c r="I17" i="33" s="1"/>
  <c r="H7" i="33"/>
  <c r="H9" i="33" s="1"/>
  <c r="H17" i="33" s="1"/>
  <c r="G7" i="33"/>
  <c r="G9" i="33" s="1"/>
  <c r="G17" i="33" s="1"/>
  <c r="F7" i="33"/>
  <c r="F9" i="33" s="1"/>
  <c r="F17" i="33" s="1"/>
  <c r="E7" i="33"/>
  <c r="E9" i="33" s="1"/>
  <c r="E17" i="33" s="1"/>
  <c r="D7" i="33"/>
  <c r="D9" i="33" s="1"/>
  <c r="D17" i="33" s="1"/>
  <c r="NG1" i="33"/>
  <c r="NF1" i="33"/>
  <c r="NE1" i="33"/>
  <c r="ND1" i="33"/>
  <c r="NC1" i="33"/>
  <c r="NB1" i="33"/>
  <c r="NA1" i="33"/>
  <c r="MZ1" i="33"/>
  <c r="MY1" i="33"/>
  <c r="MX1" i="33"/>
  <c r="MW1" i="33"/>
  <c r="MV1" i="33"/>
  <c r="MU1" i="33"/>
  <c r="MT1" i="33"/>
  <c r="MS1" i="33"/>
  <c r="MR1" i="33"/>
  <c r="MQ1" i="33"/>
  <c r="MP1" i="33"/>
  <c r="MO1" i="33"/>
  <c r="MN1" i="33"/>
  <c r="MM1" i="33"/>
  <c r="ML1" i="33"/>
  <c r="MK1" i="33"/>
  <c r="MJ1" i="33"/>
  <c r="MI1" i="33"/>
  <c r="MH1" i="33"/>
  <c r="MG1" i="33"/>
  <c r="MF1" i="33"/>
  <c r="ME1" i="33"/>
  <c r="MD1" i="33"/>
  <c r="MC1" i="33"/>
  <c r="MB1" i="33"/>
  <c r="MA1" i="33"/>
  <c r="LZ1" i="33"/>
  <c r="LY1" i="33"/>
  <c r="LX1" i="33"/>
  <c r="LW1" i="33"/>
  <c r="LV1" i="33"/>
  <c r="LU1" i="33"/>
  <c r="LT1" i="33"/>
  <c r="LS1" i="33"/>
  <c r="LR1" i="33"/>
  <c r="LQ1" i="33"/>
  <c r="LP1" i="33"/>
  <c r="LO1" i="33"/>
  <c r="LN1" i="33"/>
  <c r="LM1" i="33"/>
  <c r="LL1" i="33"/>
  <c r="LK1" i="33"/>
  <c r="LJ1" i="33"/>
  <c r="LI1" i="33"/>
  <c r="LH1" i="33"/>
  <c r="LG1" i="33"/>
  <c r="LF1" i="33"/>
  <c r="LE1" i="33"/>
  <c r="LD1" i="33"/>
  <c r="LC1" i="33"/>
  <c r="LB1" i="33"/>
  <c r="LA1" i="33"/>
  <c r="KZ1" i="33"/>
  <c r="KY1" i="33"/>
  <c r="KX1" i="33"/>
  <c r="KW1" i="33"/>
  <c r="KV1" i="33"/>
  <c r="KU1" i="33"/>
  <c r="KT1" i="33"/>
  <c r="KS1" i="33"/>
  <c r="KR1" i="33"/>
  <c r="KQ1" i="33"/>
  <c r="KP1" i="33"/>
  <c r="KO1" i="33"/>
  <c r="KN1" i="33"/>
  <c r="KM1" i="33"/>
  <c r="KL1" i="33"/>
  <c r="KK1" i="33"/>
  <c r="KJ1" i="33"/>
  <c r="KI1" i="33"/>
  <c r="KH1" i="33"/>
  <c r="KG1" i="33"/>
  <c r="KF1" i="33"/>
  <c r="KE1" i="33"/>
  <c r="KD1" i="33"/>
  <c r="KC1" i="33"/>
  <c r="KB1" i="33"/>
  <c r="KA1" i="33"/>
  <c r="JZ1" i="33"/>
  <c r="JY1" i="33"/>
  <c r="JX1" i="33"/>
  <c r="JW1" i="33"/>
  <c r="JV1" i="33"/>
  <c r="JU1" i="33"/>
  <c r="JT1" i="33"/>
  <c r="JS1" i="33"/>
  <c r="JR1" i="33"/>
  <c r="JQ1" i="33"/>
  <c r="JP1" i="33"/>
  <c r="JO1" i="33"/>
  <c r="JN1" i="33"/>
  <c r="JM1" i="33"/>
  <c r="JL1" i="33"/>
  <c r="JK1" i="33"/>
  <c r="JJ1" i="33"/>
  <c r="JI1" i="33"/>
  <c r="JH1" i="33"/>
  <c r="JG1" i="33"/>
  <c r="JF1" i="33"/>
  <c r="JE1" i="33"/>
  <c r="JD1" i="33"/>
  <c r="JC1" i="33"/>
  <c r="JB1" i="33"/>
  <c r="JA1" i="33"/>
  <c r="IZ1" i="33"/>
  <c r="IY1" i="33"/>
  <c r="IX1" i="33"/>
  <c r="IW1" i="33"/>
  <c r="IV1" i="33"/>
  <c r="IU1" i="33"/>
  <c r="IT1" i="33"/>
  <c r="IS1" i="33"/>
  <c r="IR1" i="33"/>
  <c r="IQ1" i="33"/>
  <c r="IP1" i="33"/>
  <c r="IO1" i="33"/>
  <c r="IN1" i="33"/>
  <c r="IM1" i="33"/>
  <c r="IL1" i="33"/>
  <c r="IK1" i="33"/>
  <c r="IJ1" i="33"/>
  <c r="II1" i="33"/>
  <c r="IH1" i="33"/>
  <c r="IG1" i="33"/>
  <c r="IF1" i="33"/>
  <c r="IE1" i="33"/>
  <c r="ID1" i="33"/>
  <c r="IC1" i="33"/>
  <c r="IB1" i="33"/>
  <c r="IA1" i="33"/>
  <c r="HZ1" i="33"/>
  <c r="HY1" i="33"/>
  <c r="HX1" i="33"/>
  <c r="HW1" i="33"/>
  <c r="HV1" i="33"/>
  <c r="HU1" i="33"/>
  <c r="HT1" i="33"/>
  <c r="HS1" i="33"/>
  <c r="HR1" i="33"/>
  <c r="HQ1" i="33"/>
  <c r="HP1" i="33"/>
  <c r="HO1" i="33"/>
  <c r="HN1" i="33"/>
  <c r="HM1" i="33"/>
  <c r="HL1" i="33"/>
  <c r="HK1" i="33"/>
  <c r="HJ1" i="33"/>
  <c r="HI1" i="33"/>
  <c r="HH1" i="33"/>
  <c r="HG1" i="33"/>
  <c r="HF1" i="33"/>
  <c r="HE1" i="33"/>
  <c r="HD1" i="33"/>
  <c r="HC1" i="33"/>
  <c r="HB1" i="33"/>
  <c r="HA1" i="33"/>
  <c r="GZ1" i="33"/>
  <c r="GY1" i="33"/>
  <c r="GX1" i="33"/>
  <c r="GW1" i="33"/>
  <c r="GV1" i="33"/>
  <c r="GU1" i="33"/>
  <c r="GT1" i="33"/>
  <c r="GS1" i="33"/>
  <c r="GR1" i="33"/>
  <c r="GQ1" i="33"/>
  <c r="GP1" i="33"/>
  <c r="GO1" i="33"/>
  <c r="GN1" i="33"/>
  <c r="GM1" i="33"/>
  <c r="GL1" i="33"/>
  <c r="GK1" i="33"/>
  <c r="GJ1" i="33"/>
  <c r="GI1" i="33"/>
  <c r="GH1" i="33"/>
  <c r="GG1" i="33"/>
  <c r="GF1" i="33"/>
  <c r="GE1" i="33"/>
  <c r="GD1" i="33"/>
  <c r="GC1" i="33"/>
  <c r="GB1" i="33"/>
  <c r="GA1" i="33"/>
  <c r="FZ1" i="33"/>
  <c r="FY1" i="33"/>
  <c r="FX1" i="33"/>
  <c r="FW1" i="33"/>
  <c r="FV1" i="33"/>
  <c r="FU1" i="33"/>
  <c r="FT1" i="33"/>
  <c r="FS1" i="33"/>
  <c r="FR1" i="33"/>
  <c r="FQ1" i="33"/>
  <c r="FP1" i="33"/>
  <c r="FO1" i="33"/>
  <c r="FN1" i="33"/>
  <c r="FM1" i="33"/>
  <c r="FL1" i="33"/>
  <c r="FK1" i="33"/>
  <c r="FJ1" i="33"/>
  <c r="FI1" i="33"/>
  <c r="FH1" i="33"/>
  <c r="FG1" i="33"/>
  <c r="FF1" i="33"/>
  <c r="FE1" i="33"/>
  <c r="FD1" i="33"/>
  <c r="FC1" i="33"/>
  <c r="FB1" i="33"/>
  <c r="FA1" i="33"/>
  <c r="EZ1" i="33"/>
  <c r="EY1" i="33"/>
  <c r="EX1" i="33"/>
  <c r="EW1" i="33"/>
  <c r="EV1" i="33"/>
  <c r="EU1" i="33"/>
  <c r="ET1" i="33"/>
  <c r="ES1" i="33"/>
  <c r="ER1" i="33"/>
  <c r="EQ1" i="33"/>
  <c r="EP1" i="33"/>
  <c r="EO1" i="33"/>
  <c r="EN1" i="33"/>
  <c r="EM1" i="33"/>
  <c r="EL1" i="33"/>
  <c r="EK1" i="33"/>
  <c r="EJ1" i="33"/>
  <c r="EI1" i="33"/>
  <c r="EH1" i="33"/>
  <c r="EG1" i="33"/>
  <c r="EF1" i="33"/>
  <c r="EE1" i="33"/>
  <c r="ED1" i="33"/>
  <c r="EC1" i="33"/>
  <c r="EB1" i="33"/>
  <c r="EA1" i="33"/>
  <c r="DZ1" i="33"/>
  <c r="DY1" i="33"/>
  <c r="DX1" i="33"/>
  <c r="DW1" i="33"/>
  <c r="DV1" i="33"/>
  <c r="DU1" i="33"/>
  <c r="DT1" i="33"/>
  <c r="DS1" i="33"/>
  <c r="DR1" i="33"/>
  <c r="DQ1" i="33"/>
  <c r="DP1" i="33"/>
  <c r="DO1" i="33"/>
  <c r="DN1" i="33"/>
  <c r="DM1" i="33"/>
  <c r="DL1" i="33"/>
  <c r="DK1" i="33"/>
  <c r="DJ1" i="33"/>
  <c r="DI1" i="33"/>
  <c r="DH1" i="33"/>
  <c r="DG1" i="33"/>
  <c r="DF1" i="33"/>
  <c r="DE1" i="33"/>
  <c r="DD1" i="33"/>
  <c r="DC1" i="33"/>
  <c r="DB1" i="33"/>
  <c r="DA1" i="33"/>
  <c r="CZ1" i="33"/>
  <c r="CY1" i="33"/>
  <c r="CX1" i="33"/>
  <c r="CW1" i="33"/>
  <c r="CV1" i="33"/>
  <c r="CU1" i="33"/>
  <c r="CT1" i="33"/>
  <c r="CS1" i="33"/>
  <c r="CR1" i="33"/>
  <c r="CQ1" i="33"/>
  <c r="CP1" i="33"/>
  <c r="CO1" i="33"/>
  <c r="CN1" i="33"/>
  <c r="CM1" i="33"/>
  <c r="CL1" i="33"/>
  <c r="CK1" i="33"/>
  <c r="CJ1" i="33"/>
  <c r="CI1" i="33"/>
  <c r="CH1" i="33"/>
  <c r="CG1" i="33"/>
  <c r="CF1" i="33"/>
  <c r="CE1" i="33"/>
  <c r="CD1" i="33"/>
  <c r="CC1" i="33"/>
  <c r="CB1" i="33"/>
  <c r="CA1" i="33"/>
  <c r="BZ1" i="33"/>
  <c r="BY1" i="33"/>
  <c r="BX1" i="33"/>
  <c r="BW1" i="33"/>
  <c r="BV1" i="33"/>
  <c r="BU1" i="33"/>
  <c r="BT1" i="33"/>
  <c r="BS1" i="33"/>
  <c r="BR1" i="33"/>
  <c r="BQ1" i="33"/>
  <c r="BP1" i="33"/>
  <c r="BO1" i="33"/>
  <c r="BN1" i="33"/>
  <c r="BM1" i="33"/>
  <c r="BL1" i="33"/>
  <c r="BK1" i="33"/>
  <c r="BJ1" i="33"/>
  <c r="BI1" i="33"/>
  <c r="BH1" i="33"/>
  <c r="BG1" i="33"/>
  <c r="BF1" i="33"/>
  <c r="BE1" i="33"/>
  <c r="BD1" i="33"/>
  <c r="BC1" i="33"/>
  <c r="BB1" i="33"/>
  <c r="BA1" i="33"/>
  <c r="AZ1" i="33"/>
  <c r="AY1" i="33"/>
  <c r="AX1" i="33"/>
  <c r="AW1" i="33"/>
  <c r="AV1" i="33"/>
  <c r="AU1" i="33"/>
  <c r="AT1" i="33"/>
  <c r="AS1" i="33"/>
  <c r="AR1" i="33"/>
  <c r="AQ1" i="33"/>
  <c r="AP1" i="33"/>
  <c r="AO1" i="33"/>
  <c r="AN1" i="33"/>
  <c r="AM1" i="33"/>
  <c r="AL1" i="33"/>
  <c r="AK1" i="33"/>
  <c r="AJ1" i="33"/>
  <c r="AI1" i="33"/>
  <c r="AH1" i="33"/>
  <c r="AG1" i="33"/>
  <c r="AF1" i="33"/>
  <c r="AE1" i="33"/>
  <c r="AD1" i="33"/>
  <c r="AC1" i="33"/>
  <c r="AB1" i="33"/>
  <c r="AA1" i="33"/>
  <c r="Z1" i="33"/>
  <c r="Y1" i="33"/>
  <c r="X1" i="33"/>
  <c r="W1" i="33"/>
  <c r="V1" i="33"/>
  <c r="U1" i="33"/>
  <c r="T1" i="33"/>
  <c r="S1" i="33"/>
  <c r="R1" i="33"/>
  <c r="Q1" i="33"/>
  <c r="P1" i="33"/>
  <c r="O1" i="33"/>
  <c r="N1" i="33"/>
  <c r="M1" i="33"/>
  <c r="L1" i="33"/>
  <c r="K1" i="33"/>
  <c r="J1" i="33"/>
  <c r="I1" i="33"/>
  <c r="H1" i="33"/>
  <c r="G1" i="33"/>
  <c r="F1" i="33"/>
  <c r="E1" i="33"/>
  <c r="D1" i="33"/>
  <c r="E56" i="5"/>
  <c r="F56" i="5" s="1"/>
  <c r="G56" i="5" s="1"/>
  <c r="H56" i="5" s="1"/>
  <c r="I56" i="5" s="1"/>
  <c r="J56" i="5" s="1"/>
  <c r="K56" i="5" s="1"/>
  <c r="AX46" i="1" l="1"/>
  <c r="AX48" i="1" s="1"/>
  <c r="AX50" i="1"/>
  <c r="T15" i="28"/>
  <c r="U15" i="28" s="1"/>
  <c r="V15" i="28" s="1"/>
  <c r="T19" i="28"/>
  <c r="U19" i="28" s="1"/>
  <c r="V19" i="28" s="1"/>
  <c r="AF159" i="1"/>
  <c r="AF22" i="28"/>
  <c r="AF26" i="28"/>
  <c r="CI66" i="28"/>
  <c r="BA156" i="1"/>
  <c r="BB153" i="1"/>
  <c r="AF78" i="1"/>
  <c r="AF79" i="1" s="1"/>
  <c r="AI186" i="1"/>
  <c r="AI192" i="1" s="1"/>
  <c r="AW48" i="1"/>
  <c r="CJ67" i="28"/>
  <c r="CJ68" i="28" s="1"/>
  <c r="CJ63" i="28"/>
  <c r="CJ64" i="28" s="1"/>
  <c r="CJ65" i="28"/>
  <c r="CJ66" i="28" s="1"/>
  <c r="CK62" i="28"/>
  <c r="BN58" i="28"/>
  <c r="BN54" i="28"/>
  <c r="BC53" i="28"/>
  <c r="BB58" i="28"/>
  <c r="BB54" i="28"/>
  <c r="BB56" i="28"/>
  <c r="AX45" i="28"/>
  <c r="AW46" i="28"/>
  <c r="AW50" i="28"/>
  <c r="BI45" i="28"/>
  <c r="BH50" i="28"/>
  <c r="BH46" i="28"/>
  <c r="AR37" i="28"/>
  <c r="AQ42" i="28"/>
  <c r="AQ38" i="28"/>
  <c r="X30" i="28"/>
  <c r="X34" i="28"/>
  <c r="X71" i="28" s="1"/>
  <c r="M37" i="34"/>
  <c r="M36" i="34"/>
  <c r="R9" i="24"/>
  <c r="AY45" i="1" s="1"/>
  <c r="AX119" i="1"/>
  <c r="AW120" i="1"/>
  <c r="AH85" i="1"/>
  <c r="AM134" i="1"/>
  <c r="AH82" i="1"/>
  <c r="AH92" i="1" s="1"/>
  <c r="AH182" i="1" s="1"/>
  <c r="AH186" i="1" s="1"/>
  <c r="AH192" i="1" s="1"/>
  <c r="AL134" i="1"/>
  <c r="T2" i="29"/>
  <c r="S13" i="29"/>
  <c r="Y18" i="28"/>
  <c r="Y14" i="28"/>
  <c r="G49" i="28"/>
  <c r="H49" i="28" s="1"/>
  <c r="I49" i="28" s="1"/>
  <c r="J49" i="28" s="1"/>
  <c r="K49" i="28" s="1"/>
  <c r="L49" i="28" s="1"/>
  <c r="M49" i="28" s="1"/>
  <c r="N49" i="28" s="1"/>
  <c r="O49" i="28" s="1"/>
  <c r="P49" i="28" s="1"/>
  <c r="Q49" i="28" s="1"/>
  <c r="R49" i="28" s="1"/>
  <c r="S49" i="28" s="1"/>
  <c r="T49" i="28" s="1"/>
  <c r="U49" i="28" s="1"/>
  <c r="V49" i="28" s="1"/>
  <c r="G73" i="28"/>
  <c r="G72" i="28"/>
  <c r="AG21" i="28"/>
  <c r="AF24" i="28"/>
  <c r="BO53" i="28"/>
  <c r="BN56" i="28"/>
  <c r="H47" i="28"/>
  <c r="I47" i="28" s="1"/>
  <c r="J47" i="28" s="1"/>
  <c r="K47" i="28" s="1"/>
  <c r="L47" i="28" s="1"/>
  <c r="M47" i="28" s="1"/>
  <c r="N47" i="28" s="1"/>
  <c r="O47" i="28" s="1"/>
  <c r="P47" i="28" s="1"/>
  <c r="Q47" i="28" s="1"/>
  <c r="R47" i="28" s="1"/>
  <c r="S47" i="28" s="1"/>
  <c r="T47" i="28" s="1"/>
  <c r="U47" i="28" s="1"/>
  <c r="V47" i="28" s="1"/>
  <c r="W71" i="28"/>
  <c r="W48" i="28"/>
  <c r="W73" i="28" s="1"/>
  <c r="H51" i="28"/>
  <c r="I51" i="28" s="1"/>
  <c r="J51" i="28" s="1"/>
  <c r="K51" i="28" s="1"/>
  <c r="L51" i="28" s="1"/>
  <c r="M51" i="28" s="1"/>
  <c r="N51" i="28" s="1"/>
  <c r="O51" i="28" s="1"/>
  <c r="P51" i="28" s="1"/>
  <c r="Q51" i="28" s="1"/>
  <c r="R51" i="28" s="1"/>
  <c r="S51" i="28" s="1"/>
  <c r="T51" i="28" s="1"/>
  <c r="U51" i="28" s="1"/>
  <c r="V51" i="28" s="1"/>
  <c r="X48" i="28"/>
  <c r="AJ40" i="28"/>
  <c r="Y29" i="28"/>
  <c r="X32" i="28"/>
  <c r="J31" i="28"/>
  <c r="K31" i="28" s="1"/>
  <c r="L31" i="28" s="1"/>
  <c r="M31" i="28" s="1"/>
  <c r="N31" i="28" s="1"/>
  <c r="O31" i="28" s="1"/>
  <c r="P31" i="28" s="1"/>
  <c r="Q31" i="28" s="1"/>
  <c r="R31" i="28" s="1"/>
  <c r="S31" i="28" s="1"/>
  <c r="T31" i="28" s="1"/>
  <c r="U31" i="28" s="1"/>
  <c r="V31" i="28" s="1"/>
  <c r="W31" i="28" s="1"/>
  <c r="J33" i="28"/>
  <c r="K33" i="28" s="1"/>
  <c r="L33" i="28" s="1"/>
  <c r="M33" i="28" s="1"/>
  <c r="N33" i="28" s="1"/>
  <c r="O33" i="28" s="1"/>
  <c r="P33" i="28" s="1"/>
  <c r="Q33" i="28" s="1"/>
  <c r="R33" i="28" s="1"/>
  <c r="S33" i="28" s="1"/>
  <c r="T33" i="28" s="1"/>
  <c r="U33" i="28" s="1"/>
  <c r="V33" i="28" s="1"/>
  <c r="W33" i="28" s="1"/>
  <c r="J35" i="28"/>
  <c r="K35" i="28" s="1"/>
  <c r="L35" i="28" s="1"/>
  <c r="M35" i="28" s="1"/>
  <c r="N35" i="28" s="1"/>
  <c r="O35" i="28" s="1"/>
  <c r="P35" i="28" s="1"/>
  <c r="Q35" i="28" s="1"/>
  <c r="R35" i="28" s="1"/>
  <c r="S35" i="28" s="1"/>
  <c r="T35" i="28" s="1"/>
  <c r="U35" i="28" s="1"/>
  <c r="V35" i="28" s="1"/>
  <c r="W35" i="28" s="1"/>
  <c r="Z13" i="28"/>
  <c r="Y16" i="28"/>
  <c r="I11" i="5"/>
  <c r="H33" i="31"/>
  <c r="AF118" i="1"/>
  <c r="AF121" i="1" s="1"/>
  <c r="AF160" i="1"/>
  <c r="AF34" i="1"/>
  <c r="K83" i="5"/>
  <c r="MO18" i="33"/>
  <c r="H18" i="33"/>
  <c r="P18" i="33"/>
  <c r="X18" i="33"/>
  <c r="AF18" i="33"/>
  <c r="AN18" i="33"/>
  <c r="AV18" i="33"/>
  <c r="BD18" i="33"/>
  <c r="BL18" i="33"/>
  <c r="BT18" i="33"/>
  <c r="CB18" i="33"/>
  <c r="CJ18" i="33"/>
  <c r="CR18" i="33"/>
  <c r="CZ18" i="33"/>
  <c r="DH18" i="33"/>
  <c r="DP18" i="33"/>
  <c r="DX18" i="33"/>
  <c r="EF18" i="33"/>
  <c r="EN18" i="33"/>
  <c r="EV18" i="33"/>
  <c r="FD18" i="33"/>
  <c r="FL18" i="33"/>
  <c r="FT18" i="33"/>
  <c r="GB18" i="33"/>
  <c r="GJ18" i="33"/>
  <c r="GR18" i="33"/>
  <c r="GZ18" i="33"/>
  <c r="HH18" i="33"/>
  <c r="HP18" i="33"/>
  <c r="HX18" i="33"/>
  <c r="IF18" i="33"/>
  <c r="IN18" i="33"/>
  <c r="IV18" i="33"/>
  <c r="JD18" i="33"/>
  <c r="JL18" i="33"/>
  <c r="JT18" i="33"/>
  <c r="KB18" i="33"/>
  <c r="KJ18" i="33"/>
  <c r="KR18" i="33"/>
  <c r="KZ18" i="33"/>
  <c r="LH18" i="33"/>
  <c r="LP18" i="33"/>
  <c r="LX18" i="33"/>
  <c r="MF18" i="33"/>
  <c r="MN18" i="33"/>
  <c r="MV18" i="33"/>
  <c r="ND18" i="33"/>
  <c r="MD18" i="33"/>
  <c r="J18" i="33"/>
  <c r="R18" i="33"/>
  <c r="Z18" i="33"/>
  <c r="AH18" i="33"/>
  <c r="AP18" i="33"/>
  <c r="AX18" i="33"/>
  <c r="BF18" i="33"/>
  <c r="BN18" i="33"/>
  <c r="CD18" i="33"/>
  <c r="CL18" i="33"/>
  <c r="CT18" i="33"/>
  <c r="DJ18" i="33"/>
  <c r="DR18" i="33"/>
  <c r="DZ18" i="33"/>
  <c r="EP18" i="33"/>
  <c r="EX18" i="33"/>
  <c r="FF18" i="33"/>
  <c r="FV18" i="33"/>
  <c r="GD18" i="33"/>
  <c r="GL18" i="33"/>
  <c r="HB18" i="33"/>
  <c r="HJ18" i="33"/>
  <c r="HR18" i="33"/>
  <c r="IH18" i="33"/>
  <c r="IP18" i="33"/>
  <c r="IX18" i="33"/>
  <c r="JN18" i="33"/>
  <c r="JV18" i="33"/>
  <c r="KD18" i="33"/>
  <c r="KT18" i="33"/>
  <c r="LB18" i="33"/>
  <c r="LJ18" i="33"/>
  <c r="LZ18" i="33"/>
  <c r="MH18" i="33"/>
  <c r="NF18" i="33"/>
  <c r="LM18" i="33"/>
  <c r="BH18" i="33"/>
  <c r="DT18" i="33"/>
  <c r="GF18" i="33"/>
  <c r="IR18" i="33"/>
  <c r="LD18" i="33"/>
  <c r="MJ18" i="33"/>
  <c r="GO18" i="33"/>
  <c r="HU18" i="33"/>
  <c r="JA18" i="33"/>
  <c r="KG18" i="33"/>
  <c r="MS18" i="33"/>
  <c r="F18" i="33"/>
  <c r="V18" i="33"/>
  <c r="AL18" i="33"/>
  <c r="BB18" i="33"/>
  <c r="BR18" i="33"/>
  <c r="CP18" i="33"/>
  <c r="DF18" i="33"/>
  <c r="DV18" i="33"/>
  <c r="EL18" i="33"/>
  <c r="FJ18" i="33"/>
  <c r="FZ18" i="33"/>
  <c r="GH18" i="33"/>
  <c r="GP18" i="33"/>
  <c r="GX18" i="33"/>
  <c r="HN18" i="33"/>
  <c r="HV18" i="33"/>
  <c r="ID18" i="33"/>
  <c r="IL18" i="33"/>
  <c r="IT18" i="33"/>
  <c r="JB18" i="33"/>
  <c r="JJ18" i="33"/>
  <c r="JZ18" i="33"/>
  <c r="KH18" i="33"/>
  <c r="KP18" i="33"/>
  <c r="KX18" i="33"/>
  <c r="LF18" i="33"/>
  <c r="LN18" i="33"/>
  <c r="LV18" i="33"/>
  <c r="ML18" i="33"/>
  <c r="MT18" i="33"/>
  <c r="NB18" i="33"/>
  <c r="BQ18" i="33"/>
  <c r="CW18" i="33"/>
  <c r="EC18" i="33"/>
  <c r="FI18" i="33"/>
  <c r="N18" i="33"/>
  <c r="AD18" i="33"/>
  <c r="AT18" i="33"/>
  <c r="BJ18" i="33"/>
  <c r="BZ18" i="33"/>
  <c r="CX18" i="33"/>
  <c r="DN18" i="33"/>
  <c r="ED18" i="33"/>
  <c r="FB18" i="33"/>
  <c r="FR18" i="33"/>
  <c r="CS18" i="33"/>
  <c r="FE18" i="33"/>
  <c r="HQ18" i="33"/>
  <c r="KC18" i="33"/>
  <c r="DB18" i="33"/>
  <c r="EH18" i="33"/>
  <c r="FN18" i="33"/>
  <c r="GT18" i="33"/>
  <c r="HZ18" i="33"/>
  <c r="JF18" i="33"/>
  <c r="KL18" i="33"/>
  <c r="LR18" i="33"/>
  <c r="MP18" i="33"/>
  <c r="MX18" i="33"/>
  <c r="BV18" i="33"/>
  <c r="E83" i="5"/>
  <c r="J66" i="5"/>
  <c r="J83" i="5" s="1"/>
  <c r="K94" i="5"/>
  <c r="D94" i="5"/>
  <c r="D83" i="5"/>
  <c r="F83" i="5"/>
  <c r="G83" i="5"/>
  <c r="E94" i="5"/>
  <c r="F94" i="5"/>
  <c r="G94" i="5"/>
  <c r="D81" i="5"/>
  <c r="D85" i="5"/>
  <c r="D102" i="5"/>
  <c r="D88" i="5"/>
  <c r="X83" i="5"/>
  <c r="H70" i="5"/>
  <c r="I66" i="5"/>
  <c r="I94" i="5" s="1"/>
  <c r="D67" i="5"/>
  <c r="AA18" i="33"/>
  <c r="BO18" i="33"/>
  <c r="CU18" i="33"/>
  <c r="EI18" i="33"/>
  <c r="FW18" i="33"/>
  <c r="HC18" i="33"/>
  <c r="II18" i="33"/>
  <c r="IY18" i="33"/>
  <c r="KE18" i="33"/>
  <c r="MQ18" i="33"/>
  <c r="HK18" i="33"/>
  <c r="I18" i="33"/>
  <c r="Q18" i="33"/>
  <c r="Y18" i="33"/>
  <c r="AG18" i="33"/>
  <c r="AO18" i="33"/>
  <c r="AW18" i="33"/>
  <c r="BE18" i="33"/>
  <c r="BM18" i="33"/>
  <c r="CC18" i="33"/>
  <c r="CK18" i="33"/>
  <c r="DI18" i="33"/>
  <c r="DQ18" i="33"/>
  <c r="DY18" i="33"/>
  <c r="EO18" i="33"/>
  <c r="EW18" i="33"/>
  <c r="FU18" i="33"/>
  <c r="GC18" i="33"/>
  <c r="GK18" i="33"/>
  <c r="HA18" i="33"/>
  <c r="HI18" i="33"/>
  <c r="IG18" i="33"/>
  <c r="IO18" i="33"/>
  <c r="IW18" i="33"/>
  <c r="JM18" i="33"/>
  <c r="JU18" i="33"/>
  <c r="KS18" i="33"/>
  <c r="LA18" i="33"/>
  <c r="LI18" i="33"/>
  <c r="LY18" i="33"/>
  <c r="MG18" i="33"/>
  <c r="NE18" i="33"/>
  <c r="S18" i="33"/>
  <c r="BW18" i="33"/>
  <c r="DK18" i="33"/>
  <c r="EY18" i="33"/>
  <c r="GM18" i="33"/>
  <c r="HS18" i="33"/>
  <c r="JG18" i="33"/>
  <c r="KM18" i="33"/>
  <c r="LK18" i="33"/>
  <c r="MA18" i="33"/>
  <c r="NG18" i="33"/>
  <c r="L18" i="33"/>
  <c r="T18" i="33"/>
  <c r="AB18" i="33"/>
  <c r="AJ18" i="33"/>
  <c r="AR18" i="33"/>
  <c r="AZ18" i="33"/>
  <c r="BX18" i="33"/>
  <c r="CF18" i="33"/>
  <c r="CN18" i="33"/>
  <c r="DD18" i="33"/>
  <c r="DL18" i="33"/>
  <c r="EJ18" i="33"/>
  <c r="ER18" i="33"/>
  <c r="EZ18" i="33"/>
  <c r="FP18" i="33"/>
  <c r="FX18" i="33"/>
  <c r="GV18" i="33"/>
  <c r="HD18" i="33"/>
  <c r="HL18" i="33"/>
  <c r="IB18" i="33"/>
  <c r="IJ18" i="33"/>
  <c r="JH18" i="33"/>
  <c r="JP18" i="33"/>
  <c r="JX18" i="33"/>
  <c r="KN18" i="33"/>
  <c r="KV18" i="33"/>
  <c r="LT18" i="33"/>
  <c r="MB18" i="33"/>
  <c r="MZ18" i="33"/>
  <c r="AQ18" i="33"/>
  <c r="CM18" i="33"/>
  <c r="EA18" i="33"/>
  <c r="FO18" i="33"/>
  <c r="GU18" i="33"/>
  <c r="IA18" i="33"/>
  <c r="JO18" i="33"/>
  <c r="KU18" i="33"/>
  <c r="LS18" i="33"/>
  <c r="E18" i="33"/>
  <c r="M18" i="33"/>
  <c r="U18" i="33"/>
  <c r="AC18" i="33"/>
  <c r="AK18" i="33"/>
  <c r="AS18" i="33"/>
  <c r="BA18" i="33"/>
  <c r="BI18" i="33"/>
  <c r="CG18" i="33"/>
  <c r="CO18" i="33"/>
  <c r="DE18" i="33"/>
  <c r="DM18" i="33"/>
  <c r="DU18" i="33"/>
  <c r="ES18" i="33"/>
  <c r="FA18" i="33"/>
  <c r="FY18" i="33"/>
  <c r="GG18" i="33"/>
  <c r="HE18" i="33"/>
  <c r="HM18" i="33"/>
  <c r="IK18" i="33"/>
  <c r="IS18" i="33"/>
  <c r="JQ18" i="33"/>
  <c r="JY18" i="33"/>
  <c r="KW18" i="33"/>
  <c r="LE18" i="33"/>
  <c r="MC18" i="33"/>
  <c r="MK18" i="33"/>
  <c r="K18" i="33"/>
  <c r="AY18" i="33"/>
  <c r="DC18" i="33"/>
  <c r="FG18" i="33"/>
  <c r="JW18" i="33"/>
  <c r="AI18" i="33"/>
  <c r="CE18" i="33"/>
  <c r="EQ18" i="33"/>
  <c r="MY18" i="33"/>
  <c r="G18" i="33"/>
  <c r="O18" i="33"/>
  <c r="W18" i="33"/>
  <c r="AE18" i="33"/>
  <c r="AM18" i="33"/>
  <c r="AU18" i="33"/>
  <c r="MR18" i="33"/>
  <c r="LU18" i="33"/>
  <c r="BP18" i="33"/>
  <c r="EB18" i="33"/>
  <c r="GN18" i="33"/>
  <c r="ET18" i="33"/>
  <c r="JR18" i="33"/>
  <c r="BY18" i="33"/>
  <c r="EK18" i="33"/>
  <c r="GE18" i="33"/>
  <c r="IQ18" i="33"/>
  <c r="KK18" i="33"/>
  <c r="MW18" i="33"/>
  <c r="DA18" i="33"/>
  <c r="FM18" i="33"/>
  <c r="HY18" i="33"/>
  <c r="IZ18" i="33"/>
  <c r="LL18" i="33"/>
  <c r="CH18" i="33"/>
  <c r="HF18" i="33"/>
  <c r="JI18" i="33"/>
  <c r="LC18" i="33"/>
  <c r="CV18" i="33"/>
  <c r="FH18" i="33"/>
  <c r="BG18" i="33"/>
  <c r="DS18" i="33"/>
  <c r="GW18" i="33"/>
  <c r="BU18" i="33"/>
  <c r="EG18" i="33"/>
  <c r="FQ18" i="33"/>
  <c r="GS18" i="33"/>
  <c r="HT18" i="33"/>
  <c r="IC18" i="33"/>
  <c r="JE18" i="33"/>
  <c r="KF18" i="33"/>
  <c r="KO18" i="33"/>
  <c r="LQ18" i="33"/>
  <c r="MI18" i="33"/>
  <c r="NA18" i="33"/>
  <c r="BC18" i="33"/>
  <c r="BK18" i="33"/>
  <c r="BS18" i="33"/>
  <c r="CA18" i="33"/>
  <c r="CI18" i="33"/>
  <c r="CQ18" i="33"/>
  <c r="CY18" i="33"/>
  <c r="DG18" i="33"/>
  <c r="DO18" i="33"/>
  <c r="DW18" i="33"/>
  <c r="EE18" i="33"/>
  <c r="EM18" i="33"/>
  <c r="EU18" i="33"/>
  <c r="FC18" i="33"/>
  <c r="FK18" i="33"/>
  <c r="FS18" i="33"/>
  <c r="GA18" i="33"/>
  <c r="GI18" i="33"/>
  <c r="GQ18" i="33"/>
  <c r="GY18" i="33"/>
  <c r="HG18" i="33"/>
  <c r="HO18" i="33"/>
  <c r="HW18" i="33"/>
  <c r="IE18" i="33"/>
  <c r="IM18" i="33"/>
  <c r="IU18" i="33"/>
  <c r="JC18" i="33"/>
  <c r="JK18" i="33"/>
  <c r="JS18" i="33"/>
  <c r="KA18" i="33"/>
  <c r="KI18" i="33"/>
  <c r="KQ18" i="33"/>
  <c r="KY18" i="33"/>
  <c r="LG18" i="33"/>
  <c r="LO18" i="33"/>
  <c r="LW18" i="33"/>
  <c r="ME18" i="33"/>
  <c r="MM18" i="33"/>
  <c r="MU18" i="33"/>
  <c r="NC18" i="33"/>
  <c r="AY46" i="1" l="1"/>
  <c r="AY48" i="1" s="1"/>
  <c r="AY50" i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AH21" i="28"/>
  <c r="AG26" i="28"/>
  <c r="AG22" i="28"/>
  <c r="BB156" i="1"/>
  <c r="BC153" i="1"/>
  <c r="AG184" i="1"/>
  <c r="CK67" i="28"/>
  <c r="CK68" i="28" s="1"/>
  <c r="CK63" i="28"/>
  <c r="CK64" i="28" s="1"/>
  <c r="CK65" i="28"/>
  <c r="CK66" i="28" s="1"/>
  <c r="CL62" i="28"/>
  <c r="BO54" i="28"/>
  <c r="BO58" i="28"/>
  <c r="BD53" i="28"/>
  <c r="BC58" i="28"/>
  <c r="BC54" i="28"/>
  <c r="BC56" i="28"/>
  <c r="BJ45" i="28"/>
  <c r="BI50" i="28"/>
  <c r="BI46" i="28"/>
  <c r="AY45" i="28"/>
  <c r="AX50" i="28"/>
  <c r="AX46" i="28"/>
  <c r="AS37" i="28"/>
  <c r="AR38" i="28"/>
  <c r="AR42" i="28"/>
  <c r="Y34" i="28"/>
  <c r="Y30" i="28"/>
  <c r="N36" i="34"/>
  <c r="N37" i="34"/>
  <c r="T6" i="24"/>
  <c r="S9" i="24"/>
  <c r="AZ45" i="1" s="1"/>
  <c r="AZ46" i="1" s="1"/>
  <c r="AX120" i="1"/>
  <c r="AY119" i="1"/>
  <c r="AF85" i="1"/>
  <c r="AK134" i="1"/>
  <c r="U2" i="29"/>
  <c r="T13" i="29"/>
  <c r="Z18" i="28"/>
  <c r="Z14" i="28"/>
  <c r="X73" i="28"/>
  <c r="W47" i="28"/>
  <c r="X47" i="28" s="1"/>
  <c r="AG24" i="28"/>
  <c r="W49" i="28"/>
  <c r="X49" i="28" s="1"/>
  <c r="BP53" i="28"/>
  <c r="BO56" i="28"/>
  <c r="W51" i="28"/>
  <c r="X51" i="28" s="1"/>
  <c r="AK40" i="28"/>
  <c r="Z29" i="28"/>
  <c r="Y32" i="28"/>
  <c r="X31" i="28"/>
  <c r="X35" i="28"/>
  <c r="X33" i="28"/>
  <c r="AA13" i="28"/>
  <c r="Z16" i="28"/>
  <c r="AG189" i="1"/>
  <c r="AG190" i="1" s="1"/>
  <c r="J11" i="5"/>
  <c r="G24" i="31"/>
  <c r="AF82" i="1"/>
  <c r="AF92" i="1" s="1"/>
  <c r="AF182" i="1" s="1"/>
  <c r="AG183" i="1"/>
  <c r="J94" i="5"/>
  <c r="I83" i="5"/>
  <c r="H94" i="5"/>
  <c r="H83" i="5"/>
  <c r="AH26" i="28" l="1"/>
  <c r="AH22" i="28"/>
  <c r="BC156" i="1"/>
  <c r="BD153" i="1"/>
  <c r="CM62" i="28"/>
  <c r="CL63" i="28"/>
  <c r="CL64" i="28" s="1"/>
  <c r="CL67" i="28"/>
  <c r="CL68" i="28" s="1"/>
  <c r="CL65" i="28"/>
  <c r="CL66" i="28" s="1"/>
  <c r="BE53" i="28"/>
  <c r="BD58" i="28"/>
  <c r="BD54" i="28"/>
  <c r="BD56" i="28"/>
  <c r="BP58" i="28"/>
  <c r="BP54" i="28"/>
  <c r="AZ45" i="28"/>
  <c r="AY50" i="28"/>
  <c r="AY46" i="28"/>
  <c r="BK45" i="28"/>
  <c r="BJ46" i="28"/>
  <c r="BJ50" i="28"/>
  <c r="AT37" i="28"/>
  <c r="AS38" i="28"/>
  <c r="AS42" i="28"/>
  <c r="Z34" i="28"/>
  <c r="Z30" i="28"/>
  <c r="U6" i="24"/>
  <c r="T9" i="24"/>
  <c r="BA45" i="1" s="1"/>
  <c r="BA46" i="1" s="1"/>
  <c r="AZ119" i="1"/>
  <c r="AY120" i="1"/>
  <c r="V2" i="29"/>
  <c r="AA14" i="28"/>
  <c r="AA18" i="28"/>
  <c r="AI21" i="28"/>
  <c r="AH24" i="28"/>
  <c r="BQ53" i="28"/>
  <c r="BP56" i="28"/>
  <c r="Y47" i="28"/>
  <c r="Y48" i="28"/>
  <c r="Y49" i="28" s="1"/>
  <c r="Y51" i="28"/>
  <c r="AL40" i="28"/>
  <c r="AA29" i="28"/>
  <c r="Z32" i="28"/>
  <c r="Y33" i="28"/>
  <c r="Y31" i="28"/>
  <c r="Y35" i="28"/>
  <c r="AB13" i="28"/>
  <c r="AA16" i="28"/>
  <c r="K11" i="5"/>
  <c r="H12" i="31"/>
  <c r="CV1" i="28"/>
  <c r="CV2" i="28" s="1"/>
  <c r="CU1" i="28"/>
  <c r="CU2" i="28" s="1"/>
  <c r="CT1" i="28"/>
  <c r="CT2" i="28" s="1"/>
  <c r="CS1" i="28"/>
  <c r="CS2" i="28" s="1"/>
  <c r="CR1" i="28"/>
  <c r="CR2" i="28" s="1"/>
  <c r="CQ1" i="28"/>
  <c r="CQ2" i="28" s="1"/>
  <c r="CP1" i="28"/>
  <c r="CP2" i="28" s="1"/>
  <c r="CO1" i="28"/>
  <c r="CO2" i="28" s="1"/>
  <c r="CN1" i="28"/>
  <c r="CN2" i="28" s="1"/>
  <c r="CM1" i="28"/>
  <c r="CM2" i="28" s="1"/>
  <c r="CL1" i="28"/>
  <c r="CL2" i="28" s="1"/>
  <c r="CK1" i="28"/>
  <c r="CK2" i="28" s="1"/>
  <c r="CJ1" i="28"/>
  <c r="CJ2" i="28" s="1"/>
  <c r="CI1" i="28"/>
  <c r="CI2" i="28" s="1"/>
  <c r="CH1" i="28"/>
  <c r="CH2" i="28" s="1"/>
  <c r="CG1" i="28"/>
  <c r="CG2" i="28" s="1"/>
  <c r="CF1" i="28"/>
  <c r="CF2" i="28" s="1"/>
  <c r="CE1" i="28"/>
  <c r="CE2" i="28" s="1"/>
  <c r="CD1" i="28"/>
  <c r="CD2" i="28" s="1"/>
  <c r="CC1" i="28"/>
  <c r="CC2" i="28" s="1"/>
  <c r="CB1" i="28"/>
  <c r="CB2" i="28" s="1"/>
  <c r="CA1" i="28"/>
  <c r="CA2" i="28" s="1"/>
  <c r="BZ1" i="28"/>
  <c r="BZ2" i="28" s="1"/>
  <c r="BY1" i="28"/>
  <c r="BY2" i="28" s="1"/>
  <c r="BX1" i="28"/>
  <c r="BX2" i="28" s="1"/>
  <c r="BW1" i="28"/>
  <c r="BW2" i="28" s="1"/>
  <c r="BV1" i="28"/>
  <c r="BV2" i="28" s="1"/>
  <c r="BU1" i="28"/>
  <c r="BU2" i="28" s="1"/>
  <c r="BT1" i="28"/>
  <c r="BT2" i="28" s="1"/>
  <c r="BS1" i="28"/>
  <c r="BS2" i="28" s="1"/>
  <c r="BR1" i="28"/>
  <c r="BR2" i="28" s="1"/>
  <c r="BQ1" i="28"/>
  <c r="BQ2" i="28" s="1"/>
  <c r="BP1" i="28"/>
  <c r="BP2" i="28" s="1"/>
  <c r="BO1" i="28"/>
  <c r="BO2" i="28" s="1"/>
  <c r="BN1" i="28"/>
  <c r="BN2" i="28" s="1"/>
  <c r="BM1" i="28"/>
  <c r="BM2" i="28" s="1"/>
  <c r="BL1" i="28"/>
  <c r="BL2" i="28" s="1"/>
  <c r="BK1" i="28"/>
  <c r="BK2" i="28" s="1"/>
  <c r="BJ1" i="28"/>
  <c r="BJ2" i="28" s="1"/>
  <c r="BI1" i="28"/>
  <c r="BI2" i="28" s="1"/>
  <c r="BH1" i="28"/>
  <c r="BH2" i="28" s="1"/>
  <c r="BG1" i="28"/>
  <c r="BG2" i="28" s="1"/>
  <c r="BF1" i="28"/>
  <c r="BF2" i="28" s="1"/>
  <c r="BE1" i="28"/>
  <c r="BE2" i="28" s="1"/>
  <c r="BD1" i="28"/>
  <c r="BD2" i="28" s="1"/>
  <c r="BC1" i="28"/>
  <c r="BC2" i="28" s="1"/>
  <c r="BB1" i="28"/>
  <c r="BB2" i="28" s="1"/>
  <c r="BA1" i="28"/>
  <c r="BA2" i="28" s="1"/>
  <c r="AZ1" i="28"/>
  <c r="AZ2" i="28" s="1"/>
  <c r="AY1" i="28"/>
  <c r="AY2" i="28" s="1"/>
  <c r="AX1" i="28"/>
  <c r="AX2" i="28" s="1"/>
  <c r="AW1" i="28"/>
  <c r="AW2" i="28" s="1"/>
  <c r="AV1" i="28"/>
  <c r="AV2" i="28" s="1"/>
  <c r="AU1" i="28"/>
  <c r="AU2" i="28" s="1"/>
  <c r="AT1" i="28"/>
  <c r="AT2" i="28" s="1"/>
  <c r="AS1" i="28"/>
  <c r="AS2" i="28" s="1"/>
  <c r="AR1" i="28"/>
  <c r="AR2" i="28" s="1"/>
  <c r="AQ1" i="28"/>
  <c r="AQ2" i="28" s="1"/>
  <c r="AP1" i="28"/>
  <c r="AP2" i="28" s="1"/>
  <c r="AO1" i="28"/>
  <c r="AO2" i="28" s="1"/>
  <c r="AN1" i="28"/>
  <c r="AN2" i="28" s="1"/>
  <c r="AM1" i="28"/>
  <c r="AM2" i="28" s="1"/>
  <c r="AL1" i="28"/>
  <c r="AL2" i="28" s="1"/>
  <c r="AK1" i="28"/>
  <c r="AK2" i="28" s="1"/>
  <c r="AJ1" i="28"/>
  <c r="AJ2" i="28" s="1"/>
  <c r="AI1" i="28"/>
  <c r="AI2" i="28" s="1"/>
  <c r="AH1" i="28"/>
  <c r="AH2" i="28" s="1"/>
  <c r="AG1" i="28"/>
  <c r="AG2" i="28" s="1"/>
  <c r="AF1" i="28"/>
  <c r="AF2" i="28" s="1"/>
  <c r="AE1" i="28"/>
  <c r="AE2" i="28" s="1"/>
  <c r="AD1" i="28"/>
  <c r="AD2" i="28" s="1"/>
  <c r="AC1" i="28"/>
  <c r="AC2" i="28" s="1"/>
  <c r="AB1" i="28"/>
  <c r="AB2" i="28" s="1"/>
  <c r="AA1" i="28"/>
  <c r="AA2" i="28" s="1"/>
  <c r="Z1" i="28"/>
  <c r="Z2" i="28" s="1"/>
  <c r="Y1" i="28"/>
  <c r="Y2" i="28" s="1"/>
  <c r="X1" i="28"/>
  <c r="X2" i="28" s="1"/>
  <c r="W1" i="28"/>
  <c r="W2" i="28" s="1"/>
  <c r="V1" i="28"/>
  <c r="V2" i="28" s="1"/>
  <c r="U1" i="28"/>
  <c r="U2" i="28" s="1"/>
  <c r="T1" i="28"/>
  <c r="T2" i="28" s="1"/>
  <c r="S1" i="28"/>
  <c r="S2" i="28" s="1"/>
  <c r="R1" i="28"/>
  <c r="R2" i="28" s="1"/>
  <c r="Q1" i="28"/>
  <c r="Q2" i="28" s="1"/>
  <c r="BD74" i="1"/>
  <c r="BP74" i="1" s="1"/>
  <c r="CB74" i="1" s="1"/>
  <c r="CN74" i="1" s="1"/>
  <c r="CZ74" i="1" s="1"/>
  <c r="BC74" i="1"/>
  <c r="BO74" i="1" s="1"/>
  <c r="CA74" i="1" s="1"/>
  <c r="CM74" i="1" s="1"/>
  <c r="CY74" i="1" s="1"/>
  <c r="BB74" i="1"/>
  <c r="BN74" i="1" s="1"/>
  <c r="BZ74" i="1" s="1"/>
  <c r="CL74" i="1" s="1"/>
  <c r="CX74" i="1" s="1"/>
  <c r="BA74" i="1"/>
  <c r="BM74" i="1" s="1"/>
  <c r="BY74" i="1" s="1"/>
  <c r="CK74" i="1" s="1"/>
  <c r="CW74" i="1" s="1"/>
  <c r="AZ74" i="1"/>
  <c r="BL74" i="1" s="1"/>
  <c r="BX74" i="1" s="1"/>
  <c r="CJ74" i="1" s="1"/>
  <c r="CV74" i="1" s="1"/>
  <c r="AY74" i="1"/>
  <c r="BK74" i="1" s="1"/>
  <c r="BW74" i="1" s="1"/>
  <c r="CI74" i="1" s="1"/>
  <c r="CU74" i="1" s="1"/>
  <c r="DG74" i="1" s="1"/>
  <c r="AX74" i="1"/>
  <c r="BJ74" i="1" s="1"/>
  <c r="BV74" i="1" s="1"/>
  <c r="CH74" i="1" s="1"/>
  <c r="CT74" i="1" s="1"/>
  <c r="DF74" i="1" s="1"/>
  <c r="AW74" i="1"/>
  <c r="BI74" i="1" s="1"/>
  <c r="BU74" i="1" s="1"/>
  <c r="CG74" i="1" s="1"/>
  <c r="CS74" i="1" s="1"/>
  <c r="DE74" i="1" s="1"/>
  <c r="AV74" i="1"/>
  <c r="BH74" i="1" s="1"/>
  <c r="BT74" i="1" s="1"/>
  <c r="CF74" i="1" s="1"/>
  <c r="CR74" i="1" s="1"/>
  <c r="DD74" i="1" s="1"/>
  <c r="AU74" i="1"/>
  <c r="BG74" i="1" s="1"/>
  <c r="BS74" i="1" s="1"/>
  <c r="CE74" i="1" s="1"/>
  <c r="CQ74" i="1" s="1"/>
  <c r="DC74" i="1" s="1"/>
  <c r="BF74" i="1"/>
  <c r="BR74" i="1" s="1"/>
  <c r="CD74" i="1" s="1"/>
  <c r="CP74" i="1" s="1"/>
  <c r="DB74" i="1" s="1"/>
  <c r="BE74" i="1"/>
  <c r="BQ74" i="1" s="1"/>
  <c r="CC74" i="1" s="1"/>
  <c r="CO74" i="1" s="1"/>
  <c r="DA74" i="1" s="1"/>
  <c r="F12" i="31"/>
  <c r="E12" i="31"/>
  <c r="D12" i="31"/>
  <c r="C12" i="31"/>
  <c r="C13" i="31"/>
  <c r="D13" i="31"/>
  <c r="E13" i="31"/>
  <c r="F13" i="31"/>
  <c r="F18" i="31"/>
  <c r="E18" i="31"/>
  <c r="D18" i="31"/>
  <c r="F17" i="31"/>
  <c r="E17" i="31"/>
  <c r="D17" i="31"/>
  <c r="F16" i="31"/>
  <c r="E16" i="31"/>
  <c r="D16" i="31"/>
  <c r="C16" i="31"/>
  <c r="C17" i="31"/>
  <c r="C18" i="31"/>
  <c r="C19" i="32"/>
  <c r="D19" i="32"/>
  <c r="E19" i="32"/>
  <c r="F19" i="32"/>
  <c r="C20" i="32"/>
  <c r="D20" i="32"/>
  <c r="E20" i="32"/>
  <c r="F20" i="32"/>
  <c r="C21" i="32"/>
  <c r="D21" i="32"/>
  <c r="E21" i="32"/>
  <c r="F21" i="32"/>
  <c r="F18" i="32"/>
  <c r="E18" i="32"/>
  <c r="D18" i="32"/>
  <c r="C18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P11" i="1"/>
  <c r="K4" i="29"/>
  <c r="AF13" i="1" s="1"/>
  <c r="G16" i="32" s="1"/>
  <c r="J4" i="29"/>
  <c r="AE13" i="1" s="1"/>
  <c r="I4" i="29"/>
  <c r="AD13" i="1" s="1"/>
  <c r="E16" i="32" s="1"/>
  <c r="H4" i="29"/>
  <c r="AC13" i="1" s="1"/>
  <c r="D16" i="32" s="1"/>
  <c r="G4" i="29"/>
  <c r="AB13" i="1" s="1"/>
  <c r="P4" i="29"/>
  <c r="AK13" i="1" s="1"/>
  <c r="H40" i="29"/>
  <c r="I40" i="29" s="1"/>
  <c r="J40" i="29" s="1"/>
  <c r="K40" i="29" s="1"/>
  <c r="L40" i="29" s="1"/>
  <c r="M40" i="29" s="1"/>
  <c r="N40" i="29" s="1"/>
  <c r="O40" i="29" s="1"/>
  <c r="P40" i="29" s="1"/>
  <c r="S9" i="28"/>
  <c r="S71" i="28" s="1"/>
  <c r="N10" i="31"/>
  <c r="M10" i="31"/>
  <c r="L10" i="31"/>
  <c r="K10" i="31"/>
  <c r="J10" i="31"/>
  <c r="I10" i="31"/>
  <c r="H10" i="31"/>
  <c r="G10" i="31"/>
  <c r="F10" i="31"/>
  <c r="E10" i="31"/>
  <c r="D10" i="31"/>
  <c r="C10" i="31"/>
  <c r="AI22" i="28" l="1"/>
  <c r="AI26" i="28"/>
  <c r="BE153" i="1"/>
  <c r="BD156" i="1"/>
  <c r="CN62" i="28"/>
  <c r="CM63" i="28"/>
  <c r="CM64" i="28" s="1"/>
  <c r="CM65" i="28"/>
  <c r="CM66" i="28" s="1"/>
  <c r="CM67" i="28"/>
  <c r="CM68" i="28" s="1"/>
  <c r="BQ54" i="28"/>
  <c r="BQ58" i="28"/>
  <c r="BF53" i="28"/>
  <c r="BE58" i="28"/>
  <c r="BE54" i="28"/>
  <c r="BE56" i="28"/>
  <c r="Y73" i="28"/>
  <c r="BL45" i="28"/>
  <c r="BK46" i="28"/>
  <c r="BK50" i="28"/>
  <c r="BA45" i="28"/>
  <c r="AZ50" i="28"/>
  <c r="AZ46" i="28"/>
  <c r="AU37" i="28"/>
  <c r="AT38" i="28"/>
  <c r="AT42" i="28"/>
  <c r="AA34" i="28"/>
  <c r="AA30" i="28"/>
  <c r="V6" i="24"/>
  <c r="U9" i="24"/>
  <c r="BB45" i="1" s="1"/>
  <c r="BB46" i="1" s="1"/>
  <c r="BA119" i="1"/>
  <c r="AZ120" i="1"/>
  <c r="C16" i="32"/>
  <c r="F16" i="32"/>
  <c r="W2" i="29"/>
  <c r="L16" i="32"/>
  <c r="AB14" i="28"/>
  <c r="AB18" i="28"/>
  <c r="AJ13" i="1"/>
  <c r="K16" i="32" s="1"/>
  <c r="Y71" i="28"/>
  <c r="Z71" i="28"/>
  <c r="Z33" i="28"/>
  <c r="AJ21" i="28"/>
  <c r="AI24" i="28"/>
  <c r="BR53" i="28"/>
  <c r="BQ56" i="28"/>
  <c r="Z47" i="28"/>
  <c r="Z48" i="28"/>
  <c r="Z49" i="28" s="1"/>
  <c r="Z51" i="28"/>
  <c r="AM40" i="28"/>
  <c r="AB29" i="28"/>
  <c r="AA32" i="28"/>
  <c r="Z31" i="28"/>
  <c r="Z35" i="28"/>
  <c r="AC13" i="28"/>
  <c r="AD13" i="28" s="1"/>
  <c r="AD18" i="28" s="1"/>
  <c r="AB16" i="28"/>
  <c r="H20" i="32"/>
  <c r="L11" i="5"/>
  <c r="C21" i="31"/>
  <c r="F20" i="31"/>
  <c r="D21" i="31"/>
  <c r="E21" i="31"/>
  <c r="F21" i="31"/>
  <c r="C20" i="31"/>
  <c r="G17" i="31"/>
  <c r="D20" i="31"/>
  <c r="E20" i="31"/>
  <c r="E14" i="31"/>
  <c r="E19" i="31" s="1"/>
  <c r="D14" i="31"/>
  <c r="D19" i="31" s="1"/>
  <c r="G16" i="31"/>
  <c r="F14" i="31"/>
  <c r="F19" i="31" s="1"/>
  <c r="C14" i="31"/>
  <c r="C19" i="31" s="1"/>
  <c r="AJ26" i="28" l="1"/>
  <c r="AJ22" i="28"/>
  <c r="BE156" i="1"/>
  <c r="BF153" i="1"/>
  <c r="CN65" i="28"/>
  <c r="CN66" i="28" s="1"/>
  <c r="CO62" i="28"/>
  <c r="CN63" i="28"/>
  <c r="CN64" i="28" s="1"/>
  <c r="CN67" i="28"/>
  <c r="CN68" i="28" s="1"/>
  <c r="BG53" i="28"/>
  <c r="BF58" i="28"/>
  <c r="BF54" i="28"/>
  <c r="BF56" i="28"/>
  <c r="BR58" i="28"/>
  <c r="BR54" i="28"/>
  <c r="BB45" i="28"/>
  <c r="BA50" i="28"/>
  <c r="BA46" i="28"/>
  <c r="BM45" i="28"/>
  <c r="BL46" i="28"/>
  <c r="BL50" i="28"/>
  <c r="AV37" i="28"/>
  <c r="AU38" i="28"/>
  <c r="AU42" i="28"/>
  <c r="AB34" i="28"/>
  <c r="AB30" i="28"/>
  <c r="W6" i="24"/>
  <c r="V9" i="24"/>
  <c r="BC45" i="1" s="1"/>
  <c r="BC46" i="1" s="1"/>
  <c r="BB119" i="1"/>
  <c r="BA120" i="1"/>
  <c r="X2" i="29"/>
  <c r="W13" i="29"/>
  <c r="AC14" i="28"/>
  <c r="AC18" i="28"/>
  <c r="Z73" i="28"/>
  <c r="AA33" i="28"/>
  <c r="AK21" i="28"/>
  <c r="AJ24" i="28"/>
  <c r="BS53" i="28"/>
  <c r="BR56" i="28"/>
  <c r="AA47" i="28"/>
  <c r="AA48" i="28"/>
  <c r="AA49" i="28" s="1"/>
  <c r="AA51" i="28"/>
  <c r="AN40" i="28"/>
  <c r="AC29" i="28"/>
  <c r="AB32" i="28"/>
  <c r="AA31" i="28"/>
  <c r="AA35" i="28"/>
  <c r="AC16" i="28"/>
  <c r="G20" i="32"/>
  <c r="H17" i="31"/>
  <c r="AK22" i="28" l="1"/>
  <c r="AK26" i="28"/>
  <c r="BF156" i="1"/>
  <c r="BG153" i="1"/>
  <c r="CO65" i="28"/>
  <c r="CO66" i="28" s="1"/>
  <c r="CO67" i="28"/>
  <c r="CO68" i="28" s="1"/>
  <c r="CP62" i="28"/>
  <c r="CO63" i="28"/>
  <c r="CO64" i="28" s="1"/>
  <c r="BS58" i="28"/>
  <c r="BS54" i="28"/>
  <c r="BH53" i="28"/>
  <c r="BG54" i="28"/>
  <c r="BG58" i="28"/>
  <c r="BG56" i="28"/>
  <c r="BN45" i="28"/>
  <c r="BM46" i="28"/>
  <c r="BM50" i="28"/>
  <c r="BC45" i="28"/>
  <c r="BB46" i="28"/>
  <c r="BB50" i="28"/>
  <c r="AW37" i="28"/>
  <c r="AV42" i="28"/>
  <c r="AV38" i="28"/>
  <c r="AC30" i="28"/>
  <c r="AC34" i="28"/>
  <c r="X6" i="24"/>
  <c r="W9" i="24"/>
  <c r="BD45" i="1" s="1"/>
  <c r="BD46" i="1" s="1"/>
  <c r="BC119" i="1"/>
  <c r="BB120" i="1"/>
  <c r="Y2" i="29"/>
  <c r="AD14" i="28"/>
  <c r="AB72" i="28"/>
  <c r="AM11" i="1" s="1"/>
  <c r="AA73" i="28"/>
  <c r="AA71" i="28"/>
  <c r="AB33" i="28"/>
  <c r="AL21" i="28"/>
  <c r="AK24" i="28"/>
  <c r="BT53" i="28"/>
  <c r="BS56" i="28"/>
  <c r="AB48" i="28"/>
  <c r="AB49" i="28" s="1"/>
  <c r="AB51" i="28"/>
  <c r="AB47" i="28"/>
  <c r="AC48" i="28"/>
  <c r="AO40" i="28"/>
  <c r="AD29" i="28"/>
  <c r="AC32" i="28"/>
  <c r="AB31" i="28"/>
  <c r="AB35" i="28"/>
  <c r="AE13" i="28"/>
  <c r="AD16" i="28"/>
  <c r="I18" i="30"/>
  <c r="H18" i="30"/>
  <c r="G18" i="30"/>
  <c r="F18" i="30"/>
  <c r="I15" i="30"/>
  <c r="H15" i="30"/>
  <c r="G15" i="30"/>
  <c r="F15" i="30"/>
  <c r="G14" i="30"/>
  <c r="F14" i="30"/>
  <c r="G13" i="30"/>
  <c r="F13" i="30"/>
  <c r="G12" i="30"/>
  <c r="F12" i="30"/>
  <c r="G11" i="30"/>
  <c r="F11" i="30"/>
  <c r="I7" i="30"/>
  <c r="I14" i="30" s="1"/>
  <c r="H7" i="30"/>
  <c r="H14" i="30" s="1"/>
  <c r="I6" i="30"/>
  <c r="I13" i="30" s="1"/>
  <c r="H6" i="30"/>
  <c r="H13" i="30" s="1"/>
  <c r="I5" i="30"/>
  <c r="I12" i="30" s="1"/>
  <c r="H5" i="30"/>
  <c r="H12" i="30" s="1"/>
  <c r="I4" i="30"/>
  <c r="I11" i="30" s="1"/>
  <c r="H4" i="30"/>
  <c r="H11" i="30" s="1"/>
  <c r="J13" i="30"/>
  <c r="F35" i="29"/>
  <c r="R35" i="29" s="1"/>
  <c r="D35" i="29"/>
  <c r="F34" i="29"/>
  <c r="R34" i="29" s="1"/>
  <c r="D34" i="29"/>
  <c r="F33" i="29"/>
  <c r="R33" i="29" s="1"/>
  <c r="D33" i="29"/>
  <c r="F32" i="29"/>
  <c r="R32" i="29" s="1"/>
  <c r="D32" i="29"/>
  <c r="F31" i="29"/>
  <c r="R31" i="29" s="1"/>
  <c r="D31" i="29"/>
  <c r="F30" i="29"/>
  <c r="R30" i="29" s="1"/>
  <c r="D30" i="29"/>
  <c r="F29" i="29"/>
  <c r="R29" i="29" s="1"/>
  <c r="D29" i="29"/>
  <c r="F28" i="29"/>
  <c r="R28" i="29" s="1"/>
  <c r="D28" i="29"/>
  <c r="F27" i="29"/>
  <c r="R27" i="29" s="1"/>
  <c r="D27" i="29"/>
  <c r="F26" i="29"/>
  <c r="R26" i="29" s="1"/>
  <c r="D26" i="29"/>
  <c r="D24" i="29"/>
  <c r="D23" i="29"/>
  <c r="D22" i="29"/>
  <c r="D21" i="29"/>
  <c r="D20" i="29"/>
  <c r="D19" i="29"/>
  <c r="D18" i="29"/>
  <c r="D17" i="29"/>
  <c r="D14" i="29"/>
  <c r="D15" i="29"/>
  <c r="D16" i="29"/>
  <c r="F12" i="29"/>
  <c r="R12" i="29" s="1"/>
  <c r="D12" i="29"/>
  <c r="D10" i="29"/>
  <c r="F11" i="29"/>
  <c r="R11" i="29" s="1"/>
  <c r="D11" i="29"/>
  <c r="D9" i="29"/>
  <c r="R25" i="29" l="1"/>
  <c r="R38" i="29" s="1"/>
  <c r="T25" i="29"/>
  <c r="T38" i="29" s="1"/>
  <c r="AO12" i="1" s="1"/>
  <c r="AO32" i="1" s="1"/>
  <c r="U25" i="29"/>
  <c r="U38" i="29" s="1"/>
  <c r="S25" i="29"/>
  <c r="S38" i="29" s="1"/>
  <c r="S41" i="29" s="1"/>
  <c r="AL22" i="28"/>
  <c r="AL26" i="28"/>
  <c r="BH153" i="1"/>
  <c r="BG156" i="1"/>
  <c r="CQ62" i="28"/>
  <c r="CP65" i="28"/>
  <c r="CP66" i="28" s="1"/>
  <c r="CP67" i="28"/>
  <c r="CP68" i="28" s="1"/>
  <c r="CP63" i="28"/>
  <c r="CP64" i="28" s="1"/>
  <c r="BT58" i="28"/>
  <c r="BT54" i="28"/>
  <c r="BI53" i="28"/>
  <c r="BH58" i="28"/>
  <c r="BH54" i="28"/>
  <c r="BH56" i="28"/>
  <c r="BD45" i="28"/>
  <c r="BC46" i="28"/>
  <c r="BC50" i="28"/>
  <c r="BO45" i="28"/>
  <c r="BN46" i="28"/>
  <c r="BN50" i="28"/>
  <c r="AX37" i="28"/>
  <c r="AW38" i="28"/>
  <c r="AW42" i="28"/>
  <c r="AM30" i="1"/>
  <c r="AM31" i="1"/>
  <c r="AM29" i="1"/>
  <c r="AD34" i="28"/>
  <c r="AD30" i="28"/>
  <c r="Y6" i="24"/>
  <c r="X9" i="24"/>
  <c r="BE45" i="1" s="1"/>
  <c r="BE46" i="1" s="1"/>
  <c r="Q23" i="29"/>
  <c r="BC120" i="1"/>
  <c r="BD119" i="1"/>
  <c r="Z2" i="29"/>
  <c r="Y13" i="29"/>
  <c r="AE14" i="28"/>
  <c r="AE18" i="28"/>
  <c r="Z28" i="29"/>
  <c r="Y28" i="29"/>
  <c r="Q28" i="29"/>
  <c r="Z21" i="29"/>
  <c r="Y21" i="29"/>
  <c r="Z25" i="29"/>
  <c r="Y25" i="29"/>
  <c r="Q25" i="29"/>
  <c r="Z33" i="29"/>
  <c r="Y33" i="29"/>
  <c r="Q33" i="29"/>
  <c r="Y14" i="29"/>
  <c r="Q14" i="29"/>
  <c r="W14" i="29"/>
  <c r="T14" i="29"/>
  <c r="Z14" i="29"/>
  <c r="S14" i="29"/>
  <c r="Z29" i="29"/>
  <c r="Q29" i="29"/>
  <c r="Y29" i="29"/>
  <c r="Z20" i="29"/>
  <c r="Y20" i="29"/>
  <c r="Z34" i="29"/>
  <c r="Y34" i="29"/>
  <c r="Q34" i="29"/>
  <c r="Y24" i="29"/>
  <c r="Z24" i="29"/>
  <c r="Z17" i="29"/>
  <c r="Y17" i="29"/>
  <c r="Q17" i="29"/>
  <c r="W17" i="29"/>
  <c r="T17" i="29"/>
  <c r="S17" i="29"/>
  <c r="S18" i="29"/>
  <c r="Z18" i="29"/>
  <c r="Y18" i="29"/>
  <c r="W18" i="29"/>
  <c r="T18" i="29"/>
  <c r="Z30" i="29"/>
  <c r="Y30" i="29"/>
  <c r="Q30" i="29"/>
  <c r="Z22" i="29"/>
  <c r="Y22" i="29"/>
  <c r="Q22" i="29"/>
  <c r="Z26" i="29"/>
  <c r="Y26" i="29"/>
  <c r="Q26" i="29"/>
  <c r="T19" i="29"/>
  <c r="S19" i="29"/>
  <c r="Z19" i="29"/>
  <c r="Y19" i="29"/>
  <c r="Q19" i="29"/>
  <c r="W19" i="29"/>
  <c r="Z27" i="29"/>
  <c r="Y27" i="29"/>
  <c r="Q27" i="29"/>
  <c r="Z35" i="29"/>
  <c r="Y35" i="29"/>
  <c r="Q35" i="29"/>
  <c r="Z32" i="29"/>
  <c r="Y32" i="29"/>
  <c r="Q32" i="29"/>
  <c r="W16" i="29"/>
  <c r="T16" i="29"/>
  <c r="S16" i="29"/>
  <c r="Y16" i="29"/>
  <c r="Z16" i="29"/>
  <c r="Q16" i="29"/>
  <c r="W15" i="29"/>
  <c r="T15" i="29"/>
  <c r="S15" i="29"/>
  <c r="Q15" i="29"/>
  <c r="Y15" i="29"/>
  <c r="Z15" i="29"/>
  <c r="Z23" i="29"/>
  <c r="Y23" i="29"/>
  <c r="Y31" i="29"/>
  <c r="Q31" i="29"/>
  <c r="Z31" i="29"/>
  <c r="AC72" i="28"/>
  <c r="AN11" i="1" s="1"/>
  <c r="AC71" i="28"/>
  <c r="AB73" i="28"/>
  <c r="AB71" i="28"/>
  <c r="AC33" i="28"/>
  <c r="AC73" i="28"/>
  <c r="AC31" i="28"/>
  <c r="AM21" i="28"/>
  <c r="AL24" i="28"/>
  <c r="BU53" i="28"/>
  <c r="BT56" i="28"/>
  <c r="AC51" i="28"/>
  <c r="AC49" i="28"/>
  <c r="AC47" i="28"/>
  <c r="AP40" i="28"/>
  <c r="AE29" i="28"/>
  <c r="AD32" i="28"/>
  <c r="AC35" i="28"/>
  <c r="AF13" i="28"/>
  <c r="AE16" i="28"/>
  <c r="Y12" i="29"/>
  <c r="Q12" i="29"/>
  <c r="T12" i="29"/>
  <c r="S12" i="29"/>
  <c r="Z12" i="29"/>
  <c r="W12" i="29"/>
  <c r="Q10" i="29"/>
  <c r="W10" i="29"/>
  <c r="T10" i="29"/>
  <c r="Z10" i="29"/>
  <c r="Y10" i="29"/>
  <c r="S10" i="29"/>
  <c r="T11" i="29"/>
  <c r="S11" i="29"/>
  <c r="Z11" i="29"/>
  <c r="Y11" i="29"/>
  <c r="Q11" i="29"/>
  <c r="W11" i="29"/>
  <c r="J14" i="30"/>
  <c r="J15" i="30"/>
  <c r="J11" i="30"/>
  <c r="J12" i="30"/>
  <c r="J18" i="30"/>
  <c r="U41" i="29" l="1"/>
  <c r="AP12" i="1"/>
  <c r="AM22" i="28"/>
  <c r="AM26" i="28"/>
  <c r="AN30" i="1"/>
  <c r="AN29" i="1"/>
  <c r="AN31" i="1"/>
  <c r="BH156" i="1"/>
  <c r="BI153" i="1"/>
  <c r="CQ67" i="28"/>
  <c r="CQ68" i="28" s="1"/>
  <c r="CR62" i="28"/>
  <c r="CQ63" i="28"/>
  <c r="CQ64" i="28" s="1"/>
  <c r="CQ65" i="28"/>
  <c r="CQ66" i="28" s="1"/>
  <c r="BU58" i="28"/>
  <c r="BU54" i="28"/>
  <c r="BJ53" i="28"/>
  <c r="BI58" i="28"/>
  <c r="BI54" i="28"/>
  <c r="BI56" i="28"/>
  <c r="BP45" i="28"/>
  <c r="BO50" i="28"/>
  <c r="BO46" i="28"/>
  <c r="BE45" i="28"/>
  <c r="BD46" i="28"/>
  <c r="BD50" i="28"/>
  <c r="AY37" i="28"/>
  <c r="AX38" i="28"/>
  <c r="AX42" i="28"/>
  <c r="AE34" i="28"/>
  <c r="AE30" i="28"/>
  <c r="AE72" i="28" s="1"/>
  <c r="AP11" i="1" s="1"/>
  <c r="Z6" i="24"/>
  <c r="Y9" i="24"/>
  <c r="BF45" i="1" s="1"/>
  <c r="BF46" i="1" s="1"/>
  <c r="R41" i="29"/>
  <c r="AM12" i="1"/>
  <c r="BE119" i="1"/>
  <c r="BD120" i="1"/>
  <c r="Q38" i="29"/>
  <c r="AA2" i="29"/>
  <c r="Z13" i="29"/>
  <c r="AF18" i="28"/>
  <c r="AF14" i="28"/>
  <c r="AD33" i="28"/>
  <c r="AD31" i="28"/>
  <c r="AN21" i="28"/>
  <c r="AM24" i="28"/>
  <c r="BV53" i="28"/>
  <c r="BU56" i="28"/>
  <c r="AD51" i="28"/>
  <c r="AD47" i="28"/>
  <c r="AD48" i="28"/>
  <c r="AD49" i="28" s="1"/>
  <c r="AE48" i="28"/>
  <c r="AQ40" i="28"/>
  <c r="AF29" i="28"/>
  <c r="AE32" i="28"/>
  <c r="AD35" i="28"/>
  <c r="AG13" i="28"/>
  <c r="AF16" i="28"/>
  <c r="K14" i="30"/>
  <c r="K13" i="30"/>
  <c r="K12" i="30"/>
  <c r="K11" i="30"/>
  <c r="J38" i="29"/>
  <c r="AF12" i="1"/>
  <c r="AG32" i="1" s="1"/>
  <c r="H38" i="29"/>
  <c r="AC12" i="1" s="1"/>
  <c r="I38" i="29"/>
  <c r="G38" i="29"/>
  <c r="AP30" i="1" l="1"/>
  <c r="AP29" i="1"/>
  <c r="AP31" i="1"/>
  <c r="AP35" i="1"/>
  <c r="AP83" i="1" s="1"/>
  <c r="AL12" i="1"/>
  <c r="AL32" i="1" s="1"/>
  <c r="Q40" i="29"/>
  <c r="R40" i="29" s="1"/>
  <c r="S40" i="29" s="1"/>
  <c r="AN22" i="28"/>
  <c r="AN26" i="28"/>
  <c r="BJ153" i="1"/>
  <c r="BI156" i="1"/>
  <c r="CS62" i="28"/>
  <c r="CR63" i="28"/>
  <c r="CR64" i="28" s="1"/>
  <c r="CR67" i="28"/>
  <c r="CR68" i="28" s="1"/>
  <c r="CR65" i="28"/>
  <c r="CR66" i="28" s="1"/>
  <c r="BK53" i="28"/>
  <c r="BJ58" i="28"/>
  <c r="BJ54" i="28"/>
  <c r="BJ56" i="28"/>
  <c r="BV58" i="28"/>
  <c r="BV54" i="28"/>
  <c r="BF45" i="28"/>
  <c r="BE46" i="28"/>
  <c r="BE50" i="28"/>
  <c r="BQ45" i="28"/>
  <c r="BP50" i="28"/>
  <c r="BP46" i="28"/>
  <c r="AZ37" i="28"/>
  <c r="AY38" i="28"/>
  <c r="AY42" i="28"/>
  <c r="AF34" i="28"/>
  <c r="AF30" i="28"/>
  <c r="AA6" i="24"/>
  <c r="Z9" i="24"/>
  <c r="BG45" i="1" s="1"/>
  <c r="BG46" i="1" s="1"/>
  <c r="AM32" i="1"/>
  <c r="AM35" i="1"/>
  <c r="AM83" i="1" s="1"/>
  <c r="BF119" i="1"/>
  <c r="BE120" i="1"/>
  <c r="AB2" i="29"/>
  <c r="AA13" i="29"/>
  <c r="AA21" i="29"/>
  <c r="AA25" i="29"/>
  <c r="AA33" i="29"/>
  <c r="AA14" i="29"/>
  <c r="AA34" i="29"/>
  <c r="AA24" i="29"/>
  <c r="AA17" i="29"/>
  <c r="AA18" i="29"/>
  <c r="AA26" i="29"/>
  <c r="AA29" i="29"/>
  <c r="AA20" i="29"/>
  <c r="AA30" i="29"/>
  <c r="AA27" i="29"/>
  <c r="AA28" i="29"/>
  <c r="AA22" i="29"/>
  <c r="AA15" i="29"/>
  <c r="AA32" i="29"/>
  <c r="AA23" i="29"/>
  <c r="AA16" i="29"/>
  <c r="AA31" i="29"/>
  <c r="AA19" i="29"/>
  <c r="AA35" i="29"/>
  <c r="AA12" i="29"/>
  <c r="AA10" i="29"/>
  <c r="AA11" i="29"/>
  <c r="AG14" i="28"/>
  <c r="AD72" i="28"/>
  <c r="AO11" i="1" s="1"/>
  <c r="AD71" i="28"/>
  <c r="AD73" i="28"/>
  <c r="AE71" i="28"/>
  <c r="AE33" i="28"/>
  <c r="AE73" i="28"/>
  <c r="AF32" i="1"/>
  <c r="AE31" i="28"/>
  <c r="AO21" i="28"/>
  <c r="AN24" i="28"/>
  <c r="BW53" i="28"/>
  <c r="BV56" i="28"/>
  <c r="AE49" i="28"/>
  <c r="AE47" i="28"/>
  <c r="AE51" i="28"/>
  <c r="AR40" i="28"/>
  <c r="AG29" i="28"/>
  <c r="AF32" i="28"/>
  <c r="AE35" i="28"/>
  <c r="AH13" i="28"/>
  <c r="AG16" i="28"/>
  <c r="AE12" i="1"/>
  <c r="G41" i="29"/>
  <c r="AB12" i="1"/>
  <c r="I41" i="29"/>
  <c r="AD12" i="1"/>
  <c r="K15" i="30"/>
  <c r="L4" i="29"/>
  <c r="AG13" i="1" s="1"/>
  <c r="J41" i="29"/>
  <c r="H41" i="29"/>
  <c r="AP93" i="1" l="1"/>
  <c r="AP84" i="1"/>
  <c r="AO26" i="28"/>
  <c r="AO22" i="28"/>
  <c r="AO30" i="1"/>
  <c r="AO35" i="1"/>
  <c r="AO83" i="1" s="1"/>
  <c r="AO29" i="1"/>
  <c r="AO31" i="1"/>
  <c r="BK153" i="1"/>
  <c r="BJ156" i="1"/>
  <c r="CS65" i="28"/>
  <c r="CS66" i="28" s="1"/>
  <c r="CT62" i="28"/>
  <c r="CS63" i="28"/>
  <c r="CS64" i="28" s="1"/>
  <c r="CS67" i="28"/>
  <c r="CS68" i="28" s="1"/>
  <c r="BW54" i="28"/>
  <c r="BW58" i="28"/>
  <c r="BL53" i="28"/>
  <c r="BK58" i="28"/>
  <c r="BK54" i="28"/>
  <c r="BK56" i="28"/>
  <c r="BR45" i="28"/>
  <c r="BQ50" i="28"/>
  <c r="BQ46" i="28"/>
  <c r="BF46" i="28"/>
  <c r="BF50" i="28"/>
  <c r="BA37" i="28"/>
  <c r="AZ38" i="28"/>
  <c r="AZ42" i="28"/>
  <c r="AG34" i="28"/>
  <c r="AG30" i="28"/>
  <c r="AB6" i="24"/>
  <c r="AA9" i="24"/>
  <c r="BH45" i="1" s="1"/>
  <c r="BH46" i="1" s="1"/>
  <c r="AM93" i="1"/>
  <c r="AM84" i="1"/>
  <c r="BG119" i="1"/>
  <c r="BF120" i="1"/>
  <c r="H16" i="32"/>
  <c r="AC2" i="29"/>
  <c r="AB13" i="29"/>
  <c r="AB33" i="29"/>
  <c r="AB14" i="29"/>
  <c r="AB28" i="29"/>
  <c r="AB30" i="29"/>
  <c r="AB25" i="29"/>
  <c r="AB22" i="29"/>
  <c r="AB26" i="29"/>
  <c r="AB21" i="29"/>
  <c r="AB19" i="29"/>
  <c r="AB23" i="29"/>
  <c r="AB29" i="29"/>
  <c r="AB17" i="29"/>
  <c r="AB34" i="29"/>
  <c r="AB24" i="29"/>
  <c r="AB15" i="29"/>
  <c r="AB35" i="29"/>
  <c r="AB18" i="29"/>
  <c r="AB31" i="29"/>
  <c r="AB11" i="29"/>
  <c r="AB12" i="29"/>
  <c r="AB10" i="29"/>
  <c r="AB27" i="29"/>
  <c r="AB32" i="29"/>
  <c r="AB20" i="29"/>
  <c r="AB16" i="29"/>
  <c r="F24" i="32"/>
  <c r="AF71" i="28"/>
  <c r="AF31" i="28"/>
  <c r="AF72" i="28"/>
  <c r="AQ11" i="1" s="1"/>
  <c r="AF33" i="28"/>
  <c r="AP21" i="28"/>
  <c r="AO24" i="28"/>
  <c r="BX53" i="28"/>
  <c r="BY53" i="28" s="1"/>
  <c r="BW56" i="28"/>
  <c r="AG48" i="28"/>
  <c r="AF47" i="28"/>
  <c r="AF48" i="28"/>
  <c r="AF49" i="28" s="1"/>
  <c r="AF51" i="28"/>
  <c r="AS40" i="28"/>
  <c r="AH29" i="28"/>
  <c r="AG32" i="28"/>
  <c r="AF35" i="28"/>
  <c r="AI13" i="28"/>
  <c r="D24" i="32"/>
  <c r="E24" i="32"/>
  <c r="G13" i="31"/>
  <c r="M4" i="29"/>
  <c r="M14" i="30"/>
  <c r="M15" i="30"/>
  <c r="M13" i="30"/>
  <c r="M12" i="30"/>
  <c r="M11" i="30"/>
  <c r="AQ31" i="1" l="1"/>
  <c r="AQ29" i="1"/>
  <c r="AQ30" i="1"/>
  <c r="AQ35" i="1"/>
  <c r="AQ83" i="1" s="1"/>
  <c r="BY54" i="28"/>
  <c r="BY58" i="28"/>
  <c r="AP26" i="28"/>
  <c r="AP22" i="28"/>
  <c r="AO93" i="1"/>
  <c r="AO84" i="1"/>
  <c r="BK156" i="1"/>
  <c r="BL153" i="1"/>
  <c r="CU62" i="28"/>
  <c r="CT67" i="28"/>
  <c r="CT68" i="28" s="1"/>
  <c r="CT63" i="28"/>
  <c r="CT64" i="28" s="1"/>
  <c r="CT65" i="28"/>
  <c r="CT66" i="28" s="1"/>
  <c r="BL58" i="28"/>
  <c r="BL54" i="28"/>
  <c r="BL56" i="28"/>
  <c r="BX58" i="28"/>
  <c r="BX54" i="28"/>
  <c r="BS45" i="28"/>
  <c r="BR50" i="28"/>
  <c r="BR46" i="28"/>
  <c r="BB37" i="28"/>
  <c r="BA38" i="28"/>
  <c r="BA42" i="28"/>
  <c r="AH34" i="28"/>
  <c r="AH30" i="28"/>
  <c r="AC6" i="24"/>
  <c r="AB9" i="24"/>
  <c r="BI45" i="1" s="1"/>
  <c r="BI46" i="1" s="1"/>
  <c r="BH119" i="1"/>
  <c r="BG120" i="1"/>
  <c r="AD2" i="29"/>
  <c r="AC13" i="29"/>
  <c r="AC33" i="29"/>
  <c r="AC17" i="29"/>
  <c r="AC29" i="29"/>
  <c r="AC20" i="29"/>
  <c r="AC30" i="29"/>
  <c r="AC24" i="29"/>
  <c r="AC22" i="29"/>
  <c r="AC26" i="29"/>
  <c r="AC18" i="29"/>
  <c r="AC19" i="29"/>
  <c r="AC23" i="29"/>
  <c r="AC28" i="29"/>
  <c r="AC34" i="29"/>
  <c r="AC16" i="29"/>
  <c r="AC10" i="29"/>
  <c r="AC27" i="29"/>
  <c r="AC32" i="29"/>
  <c r="AC35" i="29"/>
  <c r="AC14" i="29"/>
  <c r="AC21" i="29"/>
  <c r="AC15" i="29"/>
  <c r="AC12" i="29"/>
  <c r="AC31" i="29"/>
  <c r="AC11" i="29"/>
  <c r="AC25" i="29"/>
  <c r="AI14" i="28"/>
  <c r="AI18" i="28"/>
  <c r="AH13" i="1"/>
  <c r="AG71" i="28"/>
  <c r="AF73" i="28"/>
  <c r="AG31" i="28"/>
  <c r="AG72" i="28"/>
  <c r="AR11" i="1" s="1"/>
  <c r="AG33" i="28"/>
  <c r="AG73" i="28"/>
  <c r="AQ21" i="28"/>
  <c r="AP24" i="28"/>
  <c r="BX56" i="28"/>
  <c r="AG51" i="28"/>
  <c r="AG49" i="28"/>
  <c r="AG47" i="28"/>
  <c r="AT40" i="28"/>
  <c r="AI29" i="28"/>
  <c r="AH32" i="28"/>
  <c r="AG35" i="28"/>
  <c r="AJ13" i="28"/>
  <c r="AI16" i="28"/>
  <c r="C24" i="32"/>
  <c r="AR29" i="1" l="1"/>
  <c r="AR30" i="1"/>
  <c r="AR31" i="1"/>
  <c r="AQ93" i="1"/>
  <c r="AQ84" i="1"/>
  <c r="AQ26" i="28"/>
  <c r="AQ22" i="28"/>
  <c r="BM153" i="1"/>
  <c r="BL156" i="1"/>
  <c r="CU67" i="28"/>
  <c r="CU68" i="28" s="1"/>
  <c r="CU63" i="28"/>
  <c r="CU64" i="28" s="1"/>
  <c r="CV62" i="28"/>
  <c r="CU65" i="28"/>
  <c r="CU66" i="28" s="1"/>
  <c r="BT45" i="28"/>
  <c r="BS46" i="28"/>
  <c r="BS50" i="28"/>
  <c r="BC37" i="28"/>
  <c r="BB38" i="28"/>
  <c r="BB42" i="28"/>
  <c r="AI34" i="28"/>
  <c r="AI71" i="28" s="1"/>
  <c r="AI30" i="28"/>
  <c r="AD6" i="24"/>
  <c r="AC9" i="24"/>
  <c r="BJ45" i="1" s="1"/>
  <c r="BJ46" i="1" s="1"/>
  <c r="BI119" i="1"/>
  <c r="BH120" i="1"/>
  <c r="I16" i="32"/>
  <c r="AE2" i="29"/>
  <c r="AD13" i="29"/>
  <c r="AD20" i="29"/>
  <c r="AD17" i="29"/>
  <c r="AD28" i="29"/>
  <c r="AD33" i="29"/>
  <c r="AD30" i="29"/>
  <c r="AD25" i="29"/>
  <c r="AD22" i="29"/>
  <c r="AD26" i="29"/>
  <c r="AD21" i="29"/>
  <c r="AD27" i="29"/>
  <c r="AD18" i="29"/>
  <c r="AD35" i="29"/>
  <c r="AD14" i="29"/>
  <c r="AD16" i="29"/>
  <c r="AD29" i="29"/>
  <c r="AD31" i="29"/>
  <c r="AD10" i="29"/>
  <c r="AD34" i="29"/>
  <c r="AD24" i="29"/>
  <c r="AD32" i="29"/>
  <c r="AD12" i="29"/>
  <c r="AD15" i="29"/>
  <c r="AD19" i="29"/>
  <c r="AD11" i="29"/>
  <c r="AD23" i="29"/>
  <c r="AJ14" i="28"/>
  <c r="AJ18" i="28"/>
  <c r="AJ12" i="1"/>
  <c r="AH31" i="28"/>
  <c r="AH72" i="28"/>
  <c r="AH33" i="28"/>
  <c r="AR21" i="28"/>
  <c r="AQ24" i="28"/>
  <c r="BZ53" i="28"/>
  <c r="BY56" i="28"/>
  <c r="AI48" i="28"/>
  <c r="AH47" i="28"/>
  <c r="AH48" i="28"/>
  <c r="AH49" i="28" s="1"/>
  <c r="AH51" i="28"/>
  <c r="AU40" i="28"/>
  <c r="AJ29" i="28"/>
  <c r="AI32" i="28"/>
  <c r="AK13" i="28"/>
  <c r="AJ16" i="28"/>
  <c r="AH35" i="28"/>
  <c r="O14" i="30"/>
  <c r="O15" i="30"/>
  <c r="O12" i="30"/>
  <c r="O13" i="30"/>
  <c r="O11" i="30"/>
  <c r="K18" i="30"/>
  <c r="AA16" i="39" l="1"/>
  <c r="AR26" i="28"/>
  <c r="AR22" i="28"/>
  <c r="BM156" i="1"/>
  <c r="BN153" i="1"/>
  <c r="CW62" i="28"/>
  <c r="CV63" i="28"/>
  <c r="CV64" i="28" s="1"/>
  <c r="CV67" i="28"/>
  <c r="CV68" i="28" s="1"/>
  <c r="CV65" i="28"/>
  <c r="CV66" i="28" s="1"/>
  <c r="BZ58" i="28"/>
  <c r="BZ54" i="28"/>
  <c r="AH73" i="28"/>
  <c r="BU45" i="28"/>
  <c r="BT46" i="28"/>
  <c r="BT50" i="28"/>
  <c r="BD37" i="28"/>
  <c r="BC38" i="28"/>
  <c r="BC42" i="28"/>
  <c r="AJ30" i="28"/>
  <c r="AJ34" i="28"/>
  <c r="AE6" i="24"/>
  <c r="AD9" i="24"/>
  <c r="BK45" i="1" s="1"/>
  <c r="BK46" i="1" s="1"/>
  <c r="BJ119" i="1"/>
  <c r="BI120" i="1"/>
  <c r="AF2" i="29"/>
  <c r="AE13" i="29"/>
  <c r="AE17" i="29"/>
  <c r="AE21" i="29"/>
  <c r="AE25" i="29"/>
  <c r="AE29" i="29"/>
  <c r="AE24" i="29"/>
  <c r="AE22" i="29"/>
  <c r="AE26" i="29"/>
  <c r="AE14" i="29"/>
  <c r="AE18" i="29"/>
  <c r="AE33" i="29"/>
  <c r="AE20" i="29"/>
  <c r="AE19" i="29"/>
  <c r="AE16" i="29"/>
  <c r="AE28" i="29"/>
  <c r="AE35" i="29"/>
  <c r="AE27" i="29"/>
  <c r="AE30" i="29"/>
  <c r="AE11" i="29"/>
  <c r="AE34" i="29"/>
  <c r="AE15" i="29"/>
  <c r="AE23" i="29"/>
  <c r="AE10" i="29"/>
  <c r="AE32" i="29"/>
  <c r="AE12" i="29"/>
  <c r="AE31" i="29"/>
  <c r="AK18" i="28"/>
  <c r="AK14" i="28"/>
  <c r="AJ32" i="1"/>
  <c r="AH71" i="28"/>
  <c r="AI33" i="28"/>
  <c r="AI73" i="28"/>
  <c r="AI31" i="28"/>
  <c r="AI72" i="28"/>
  <c r="AI49" i="28"/>
  <c r="AS21" i="28"/>
  <c r="AR24" i="28"/>
  <c r="CA53" i="28"/>
  <c r="BZ56" i="28"/>
  <c r="AI51" i="28"/>
  <c r="AI47" i="28"/>
  <c r="AV40" i="28"/>
  <c r="AK29" i="28"/>
  <c r="AJ32" i="28"/>
  <c r="AI35" i="28"/>
  <c r="AK16" i="28"/>
  <c r="AL13" i="28"/>
  <c r="P15" i="30"/>
  <c r="P11" i="30"/>
  <c r="P14" i="30"/>
  <c r="P13" i="30"/>
  <c r="P12" i="30"/>
  <c r="AA35" i="39" l="1"/>
  <c r="AN16" i="39"/>
  <c r="AO16" i="39"/>
  <c r="AS22" i="28"/>
  <c r="AS26" i="28"/>
  <c r="BN156" i="1"/>
  <c r="BO153" i="1"/>
  <c r="CX62" i="28"/>
  <c r="CW65" i="28"/>
  <c r="CW66" i="28" s="1"/>
  <c r="CW67" i="28"/>
  <c r="CW68" i="28" s="1"/>
  <c r="CW63" i="28"/>
  <c r="CW64" i="28" s="1"/>
  <c r="CA58" i="28"/>
  <c r="CA54" i="28"/>
  <c r="BV45" i="28"/>
  <c r="BU46" i="28"/>
  <c r="BU50" i="28"/>
  <c r="BD42" i="28"/>
  <c r="BD38" i="28"/>
  <c r="BE37" i="28"/>
  <c r="AK30" i="28"/>
  <c r="AK34" i="28"/>
  <c r="AF6" i="24"/>
  <c r="AE9" i="24"/>
  <c r="BL45" i="1" s="1"/>
  <c r="BL46" i="1" s="1"/>
  <c r="BK119" i="1"/>
  <c r="BJ120" i="1"/>
  <c r="AG2" i="29"/>
  <c r="AF13" i="29"/>
  <c r="AF25" i="29"/>
  <c r="AF18" i="29"/>
  <c r="AF24" i="29"/>
  <c r="AF21" i="29"/>
  <c r="AF17" i="29"/>
  <c r="AF29" i="29"/>
  <c r="AF34" i="29"/>
  <c r="AF19" i="29"/>
  <c r="AF33" i="29"/>
  <c r="AF28" i="29"/>
  <c r="AF30" i="29"/>
  <c r="AF22" i="29"/>
  <c r="AF27" i="29"/>
  <c r="AF16" i="29"/>
  <c r="AF14" i="29"/>
  <c r="AF20" i="29"/>
  <c r="AF32" i="29"/>
  <c r="AF15" i="29"/>
  <c r="AF11" i="29"/>
  <c r="AF31" i="29"/>
  <c r="AF10" i="29"/>
  <c r="AF26" i="29"/>
  <c r="AF12" i="29"/>
  <c r="AF23" i="29"/>
  <c r="AF35" i="29"/>
  <c r="AL14" i="28"/>
  <c r="AL18" i="28"/>
  <c r="AJ31" i="28"/>
  <c r="AJ33" i="28"/>
  <c r="AT21" i="28"/>
  <c r="AS24" i="28"/>
  <c r="CB53" i="28"/>
  <c r="CA56" i="28"/>
  <c r="AJ48" i="28"/>
  <c r="AJ49" i="28" s="1"/>
  <c r="AJ51" i="28"/>
  <c r="AJ47" i="28"/>
  <c r="AW40" i="28"/>
  <c r="AL29" i="28"/>
  <c r="AK32" i="28"/>
  <c r="AJ35" i="28"/>
  <c r="AM13" i="28"/>
  <c r="AL16" i="28"/>
  <c r="Q4" i="29"/>
  <c r="AL13" i="1" s="1"/>
  <c r="AN35" i="39" l="1"/>
  <c r="AO35" i="39"/>
  <c r="AA34" i="39"/>
  <c r="AQ108" i="1"/>
  <c r="AT22" i="28"/>
  <c r="AT26" i="28"/>
  <c r="BO156" i="1"/>
  <c r="BP153" i="1"/>
  <c r="CX63" i="28"/>
  <c r="CX64" i="28" s="1"/>
  <c r="CX67" i="28"/>
  <c r="CX68" i="28" s="1"/>
  <c r="CY62" i="28"/>
  <c r="CX65" i="28"/>
  <c r="CX66" i="28" s="1"/>
  <c r="CB58" i="28"/>
  <c r="CB54" i="28"/>
  <c r="BW45" i="28"/>
  <c r="BV50" i="28"/>
  <c r="BV46" i="28"/>
  <c r="BF37" i="28"/>
  <c r="BE38" i="28"/>
  <c r="BE42" i="28"/>
  <c r="AL34" i="28"/>
  <c r="AL30" i="28"/>
  <c r="AF9" i="24"/>
  <c r="BM45" i="1" s="1"/>
  <c r="BM46" i="1" s="1"/>
  <c r="AG6" i="24"/>
  <c r="BK120" i="1"/>
  <c r="BL119" i="1"/>
  <c r="AH2" i="29"/>
  <c r="AG13" i="29"/>
  <c r="AG25" i="29"/>
  <c r="AG18" i="29"/>
  <c r="AG28" i="29"/>
  <c r="AG24" i="29"/>
  <c r="AG14" i="29"/>
  <c r="AG20" i="29"/>
  <c r="AG21" i="29"/>
  <c r="AG33" i="29"/>
  <c r="AG34" i="29"/>
  <c r="AG29" i="29"/>
  <c r="AG30" i="29"/>
  <c r="AG19" i="29"/>
  <c r="AG17" i="29"/>
  <c r="AG26" i="29"/>
  <c r="AG32" i="29"/>
  <c r="AG15" i="29"/>
  <c r="AG35" i="29"/>
  <c r="AG23" i="29"/>
  <c r="AG22" i="29"/>
  <c r="AG12" i="29"/>
  <c r="AG27" i="29"/>
  <c r="AG16" i="29"/>
  <c r="AG11" i="29"/>
  <c r="AG10" i="29"/>
  <c r="AG31" i="29"/>
  <c r="AM14" i="28"/>
  <c r="AM18" i="28"/>
  <c r="AJ73" i="28"/>
  <c r="AJ72" i="28"/>
  <c r="AJ71" i="28"/>
  <c r="AK31" i="28"/>
  <c r="AK33" i="28"/>
  <c r="AU21" i="28"/>
  <c r="AT24" i="28"/>
  <c r="CC53" i="28"/>
  <c r="CB56" i="28"/>
  <c r="AK48" i="28"/>
  <c r="AK49" i="28" s="1"/>
  <c r="AK51" i="28"/>
  <c r="AK47" i="28"/>
  <c r="AX40" i="28"/>
  <c r="AM29" i="28"/>
  <c r="AL32" i="28"/>
  <c r="AK35" i="28"/>
  <c r="AN13" i="28"/>
  <c r="AM16" i="28"/>
  <c r="R4" i="29"/>
  <c r="AA37" i="39" l="1"/>
  <c r="AO34" i="39"/>
  <c r="AN34" i="39"/>
  <c r="AU22" i="28"/>
  <c r="AU26" i="28"/>
  <c r="BP156" i="1"/>
  <c r="BQ153" i="1"/>
  <c r="CZ62" i="28"/>
  <c r="CY67" i="28"/>
  <c r="CY68" i="28" s="1"/>
  <c r="CY63" i="28"/>
  <c r="CY64" i="28" s="1"/>
  <c r="CY65" i="28"/>
  <c r="CY66" i="28" s="1"/>
  <c r="CC58" i="28"/>
  <c r="CC54" i="28"/>
  <c r="AK73" i="28"/>
  <c r="BX45" i="28"/>
  <c r="BW50" i="28"/>
  <c r="BW46" i="28"/>
  <c r="BG37" i="28"/>
  <c r="BF38" i="28"/>
  <c r="BF42" i="28"/>
  <c r="AM34" i="28"/>
  <c r="AM30" i="28"/>
  <c r="AG9" i="24"/>
  <c r="BN45" i="1" s="1"/>
  <c r="BN46" i="1" s="1"/>
  <c r="AH6" i="24"/>
  <c r="BL120" i="1"/>
  <c r="BM119" i="1"/>
  <c r="N16" i="32"/>
  <c r="AI2" i="29"/>
  <c r="AH13" i="29"/>
  <c r="AH29" i="29"/>
  <c r="AH20" i="29"/>
  <c r="AH21" i="29"/>
  <c r="AH33" i="29"/>
  <c r="AH34" i="29"/>
  <c r="AH24" i="29"/>
  <c r="AH17" i="29"/>
  <c r="AH28" i="29"/>
  <c r="AH25" i="29"/>
  <c r="AH26" i="29"/>
  <c r="AH18" i="29"/>
  <c r="AH35" i="29"/>
  <c r="AH14" i="29"/>
  <c r="AH27" i="29"/>
  <c r="AH19" i="29"/>
  <c r="AH16" i="29"/>
  <c r="AH23" i="29"/>
  <c r="AH30" i="29"/>
  <c r="AH10" i="29"/>
  <c r="AH22" i="29"/>
  <c r="AH31" i="29"/>
  <c r="AH32" i="29"/>
  <c r="AH11" i="29"/>
  <c r="AH15" i="29"/>
  <c r="AH12" i="29"/>
  <c r="AN18" i="28"/>
  <c r="AN14" i="28"/>
  <c r="M16" i="32"/>
  <c r="AK72" i="28"/>
  <c r="AK71" i="28"/>
  <c r="AL31" i="28"/>
  <c r="AL33" i="28"/>
  <c r="AV21" i="28"/>
  <c r="AU24" i="28"/>
  <c r="CD53" i="28"/>
  <c r="CC56" i="28"/>
  <c r="AL51" i="28"/>
  <c r="AL48" i="28"/>
  <c r="AL49" i="28" s="1"/>
  <c r="AL47" i="28"/>
  <c r="AY40" i="28"/>
  <c r="AN29" i="28"/>
  <c r="AM32" i="28"/>
  <c r="AL35" i="28"/>
  <c r="AN16" i="28"/>
  <c r="AO13" i="28"/>
  <c r="AU31" i="1"/>
  <c r="M18" i="30"/>
  <c r="AO37" i="39" l="1"/>
  <c r="AN37" i="39"/>
  <c r="AA38" i="39"/>
  <c r="AV22" i="28"/>
  <c r="AV26" i="28"/>
  <c r="BQ156" i="1"/>
  <c r="BR153" i="1"/>
  <c r="CZ67" i="28"/>
  <c r="CZ68" i="28" s="1"/>
  <c r="DA62" i="28"/>
  <c r="CZ65" i="28"/>
  <c r="CZ66" i="28" s="1"/>
  <c r="CZ63" i="28"/>
  <c r="CZ64" i="28" s="1"/>
  <c r="CD58" i="28"/>
  <c r="CD54" i="28"/>
  <c r="BY45" i="28"/>
  <c r="BX50" i="28"/>
  <c r="BX46" i="28"/>
  <c r="AL73" i="28"/>
  <c r="BH37" i="28"/>
  <c r="BG42" i="28"/>
  <c r="BG38" i="28"/>
  <c r="AN34" i="28"/>
  <c r="AN30" i="28"/>
  <c r="AH9" i="24"/>
  <c r="BO45" i="1" s="1"/>
  <c r="BO46" i="1" s="1"/>
  <c r="AI6" i="24"/>
  <c r="BN119" i="1"/>
  <c r="BM120" i="1"/>
  <c r="AJ2" i="29"/>
  <c r="AI13" i="29"/>
  <c r="AI17" i="29"/>
  <c r="AI14" i="29"/>
  <c r="AI25" i="29"/>
  <c r="AI21" i="29"/>
  <c r="AI34" i="29"/>
  <c r="AI26" i="29"/>
  <c r="AI29" i="29"/>
  <c r="AI20" i="29"/>
  <c r="AI30" i="29"/>
  <c r="AI27" i="29"/>
  <c r="AI22" i="29"/>
  <c r="AI32" i="29"/>
  <c r="AI23" i="29"/>
  <c r="AI31" i="29"/>
  <c r="AI16" i="29"/>
  <c r="AI35" i="29"/>
  <c r="AI10" i="29"/>
  <c r="AI15" i="29"/>
  <c r="AI33" i="29"/>
  <c r="AI11" i="29"/>
  <c r="AI18" i="29"/>
  <c r="AI12" i="29"/>
  <c r="AI19" i="29"/>
  <c r="AI28" i="29"/>
  <c r="AI24" i="29"/>
  <c r="AO18" i="28"/>
  <c r="AO14" i="28"/>
  <c r="P16" i="32"/>
  <c r="S4" i="29"/>
  <c r="AN13" i="1" s="1"/>
  <c r="AL72" i="28"/>
  <c r="AL71" i="28"/>
  <c r="AM33" i="28"/>
  <c r="AM31" i="28"/>
  <c r="AW21" i="28"/>
  <c r="AV24" i="28"/>
  <c r="CE53" i="28"/>
  <c r="CD56" i="28"/>
  <c r="AM47" i="28"/>
  <c r="AM48" i="28"/>
  <c r="AM49" i="28" s="1"/>
  <c r="AM51" i="28"/>
  <c r="AZ40" i="28"/>
  <c r="AO29" i="28"/>
  <c r="AN32" i="28"/>
  <c r="AM35" i="28"/>
  <c r="AP13" i="28"/>
  <c r="AO16" i="28"/>
  <c r="AV31" i="1"/>
  <c r="O18" i="30"/>
  <c r="AA39" i="39" l="1"/>
  <c r="AN38" i="39"/>
  <c r="AO38" i="39"/>
  <c r="AA57" i="39"/>
  <c r="AW26" i="28"/>
  <c r="AW22" i="28"/>
  <c r="BR156" i="1"/>
  <c r="BS153" i="1"/>
  <c r="DA65" i="28"/>
  <c r="DA66" i="28" s="1"/>
  <c r="DB62" i="28"/>
  <c r="DA63" i="28"/>
  <c r="DA64" i="28" s="1"/>
  <c r="DA67" i="28"/>
  <c r="DA68" i="28" s="1"/>
  <c r="CE54" i="28"/>
  <c r="CE58" i="28"/>
  <c r="BZ45" i="28"/>
  <c r="BY50" i="28"/>
  <c r="BY46" i="28"/>
  <c r="BI37" i="28"/>
  <c r="BH38" i="28"/>
  <c r="BH42" i="28"/>
  <c r="AO34" i="28"/>
  <c r="AO30" i="28"/>
  <c r="AI9" i="24"/>
  <c r="BP45" i="1" s="1"/>
  <c r="BP46" i="1" s="1"/>
  <c r="AJ6" i="24"/>
  <c r="BN120" i="1"/>
  <c r="BO119" i="1"/>
  <c r="T4" i="29"/>
  <c r="AK2" i="29"/>
  <c r="AJ13" i="29"/>
  <c r="AJ17" i="29"/>
  <c r="AJ28" i="29"/>
  <c r="AJ18" i="29"/>
  <c r="AJ14" i="29"/>
  <c r="AJ30" i="29"/>
  <c r="AJ26" i="29"/>
  <c r="AJ25" i="29"/>
  <c r="AJ33" i="29"/>
  <c r="AJ22" i="29"/>
  <c r="AJ21" i="29"/>
  <c r="AJ34" i="29"/>
  <c r="AJ19" i="29"/>
  <c r="AJ23" i="29"/>
  <c r="AJ29" i="29"/>
  <c r="AJ27" i="29"/>
  <c r="AJ16" i="29"/>
  <c r="AJ15" i="29"/>
  <c r="AJ11" i="29"/>
  <c r="AJ24" i="29"/>
  <c r="AJ35" i="29"/>
  <c r="AJ31" i="29"/>
  <c r="AJ12" i="29"/>
  <c r="AJ32" i="29"/>
  <c r="AJ20" i="29"/>
  <c r="AJ10" i="29"/>
  <c r="AP18" i="28"/>
  <c r="AP14" i="28"/>
  <c r="AM71" i="28"/>
  <c r="AM72" i="28"/>
  <c r="AM73" i="28"/>
  <c r="AN33" i="28"/>
  <c r="AN31" i="28"/>
  <c r="AX21" i="28"/>
  <c r="AW24" i="28"/>
  <c r="CF53" i="28"/>
  <c r="CE56" i="28"/>
  <c r="AN48" i="28"/>
  <c r="AN49" i="28" s="1"/>
  <c r="AN47" i="28"/>
  <c r="AN51" i="28"/>
  <c r="BA40" i="28"/>
  <c r="AP29" i="28"/>
  <c r="AO32" i="28"/>
  <c r="AN35" i="28"/>
  <c r="AP16" i="28"/>
  <c r="AQ13" i="28"/>
  <c r="AW31" i="1"/>
  <c r="U4" i="29"/>
  <c r="AA58" i="39" l="1"/>
  <c r="AN57" i="39"/>
  <c r="AA63" i="39"/>
  <c r="AO57" i="39"/>
  <c r="AO39" i="39"/>
  <c r="AN39" i="39"/>
  <c r="AO13" i="1"/>
  <c r="AX26" i="28"/>
  <c r="AX22" i="28"/>
  <c r="BS156" i="1"/>
  <c r="BT153" i="1"/>
  <c r="DB65" i="28"/>
  <c r="DB66" i="28" s="1"/>
  <c r="DB67" i="28"/>
  <c r="DB68" i="28" s="1"/>
  <c r="DC62" i="28"/>
  <c r="DB63" i="28"/>
  <c r="DB64" i="28" s="1"/>
  <c r="CF58" i="28"/>
  <c r="CF54" i="28"/>
  <c r="AN73" i="28"/>
  <c r="CA45" i="28"/>
  <c r="BZ50" i="28"/>
  <c r="BZ46" i="28"/>
  <c r="BJ37" i="28"/>
  <c r="BI38" i="28"/>
  <c r="BI42" i="28"/>
  <c r="AP34" i="28"/>
  <c r="AP30" i="28"/>
  <c r="AK6" i="24"/>
  <c r="AJ9" i="24"/>
  <c r="BQ45" i="1" s="1"/>
  <c r="BQ46" i="1" s="1"/>
  <c r="BP119" i="1"/>
  <c r="BO120" i="1"/>
  <c r="AL2" i="29"/>
  <c r="AK13" i="29"/>
  <c r="AK17" i="29"/>
  <c r="AK28" i="29"/>
  <c r="AK29" i="29"/>
  <c r="AK20" i="29"/>
  <c r="AK30" i="29"/>
  <c r="AK24" i="29"/>
  <c r="AK22" i="29"/>
  <c r="AK26" i="29"/>
  <c r="AK14" i="29"/>
  <c r="AK19" i="29"/>
  <c r="AK33" i="29"/>
  <c r="AK34" i="29"/>
  <c r="AK16" i="29"/>
  <c r="AK18" i="29"/>
  <c r="AK31" i="29"/>
  <c r="AK35" i="29"/>
  <c r="AK11" i="29"/>
  <c r="AK23" i="29"/>
  <c r="AK10" i="29"/>
  <c r="AK25" i="29"/>
  <c r="AK12" i="29"/>
  <c r="AK21" i="29"/>
  <c r="AK15" i="29"/>
  <c r="AK27" i="29"/>
  <c r="AK32" i="29"/>
  <c r="AQ14" i="28"/>
  <c r="AQ18" i="28"/>
  <c r="C16" i="34"/>
  <c r="AN72" i="28"/>
  <c r="AN71" i="28"/>
  <c r="AO33" i="28"/>
  <c r="AO31" i="28"/>
  <c r="AO72" i="28"/>
  <c r="AO35" i="28"/>
  <c r="AY21" i="28"/>
  <c r="AX24" i="28"/>
  <c r="CG53" i="28"/>
  <c r="CF56" i="28"/>
  <c r="AO51" i="28"/>
  <c r="AO47" i="28"/>
  <c r="AO48" i="28"/>
  <c r="AO49" i="28" s="1"/>
  <c r="BB40" i="28"/>
  <c r="AQ29" i="28"/>
  <c r="AP32" i="28"/>
  <c r="AQ16" i="28"/>
  <c r="AR13" i="28"/>
  <c r="AX31" i="1"/>
  <c r="P18" i="30"/>
  <c r="AN63" i="39" l="1"/>
  <c r="AO63" i="39"/>
  <c r="AO58" i="39"/>
  <c r="AN58" i="39"/>
  <c r="E16" i="34"/>
  <c r="D16" i="34"/>
  <c r="AY26" i="28"/>
  <c r="AY22" i="28"/>
  <c r="BU153" i="1"/>
  <c r="BT156" i="1"/>
  <c r="DD62" i="28"/>
  <c r="DC67" i="28"/>
  <c r="DC68" i="28" s="1"/>
  <c r="DC65" i="28"/>
  <c r="DC66" i="28" s="1"/>
  <c r="DC63" i="28"/>
  <c r="DC64" i="28" s="1"/>
  <c r="CG54" i="28"/>
  <c r="CG58" i="28"/>
  <c r="CB45" i="28"/>
  <c r="CA46" i="28"/>
  <c r="CA50" i="28"/>
  <c r="BK37" i="28"/>
  <c r="BJ38" i="28"/>
  <c r="BJ42" i="28"/>
  <c r="AQ34" i="28"/>
  <c r="AQ30" i="28"/>
  <c r="AL6" i="24"/>
  <c r="AK9" i="24"/>
  <c r="BR45" i="1" s="1"/>
  <c r="BR46" i="1" s="1"/>
  <c r="BQ119" i="1"/>
  <c r="BP120" i="1"/>
  <c r="AM2" i="29"/>
  <c r="AL13" i="29"/>
  <c r="AL17" i="29"/>
  <c r="AL28" i="29"/>
  <c r="AL25" i="29"/>
  <c r="AL29" i="29"/>
  <c r="AL22" i="29"/>
  <c r="AL26" i="29"/>
  <c r="AL21" i="29"/>
  <c r="AL20" i="29"/>
  <c r="AL19" i="29"/>
  <c r="AL18" i="29"/>
  <c r="AL34" i="29"/>
  <c r="AL35" i="29"/>
  <c r="AL14" i="29"/>
  <c r="AL27" i="29"/>
  <c r="AL16" i="29"/>
  <c r="AL30" i="29"/>
  <c r="AL24" i="29"/>
  <c r="AL32" i="29"/>
  <c r="AL10" i="29"/>
  <c r="AL11" i="29"/>
  <c r="AL23" i="29"/>
  <c r="AL31" i="29"/>
  <c r="AL33" i="29"/>
  <c r="AL12" i="29"/>
  <c r="AL15" i="29"/>
  <c r="AR14" i="28"/>
  <c r="AR18" i="28"/>
  <c r="AO73" i="28"/>
  <c r="AO71" i="28"/>
  <c r="AP31" i="28"/>
  <c r="AP33" i="28"/>
  <c r="AP35" i="28"/>
  <c r="AZ21" i="28"/>
  <c r="AY24" i="28"/>
  <c r="CH53" i="28"/>
  <c r="CG56" i="28"/>
  <c r="AP47" i="28"/>
  <c r="AP48" i="28"/>
  <c r="AP49" i="28" s="1"/>
  <c r="AP51" i="28"/>
  <c r="AQ48" i="28"/>
  <c r="BC40" i="28"/>
  <c r="AR29" i="28"/>
  <c r="AQ32" i="28"/>
  <c r="AR16" i="28"/>
  <c r="AS13" i="28"/>
  <c r="AY31" i="1"/>
  <c r="AZ26" i="28" l="1"/>
  <c r="AZ22" i="28"/>
  <c r="BU156" i="1"/>
  <c r="BV153" i="1"/>
  <c r="DE62" i="28"/>
  <c r="DD65" i="28"/>
  <c r="DD66" i="28" s="1"/>
  <c r="DD63" i="28"/>
  <c r="DD64" i="28" s="1"/>
  <c r="DD67" i="28"/>
  <c r="DD68" i="28" s="1"/>
  <c r="CH58" i="28"/>
  <c r="CH54" i="28"/>
  <c r="AP73" i="28"/>
  <c r="CC45" i="28"/>
  <c r="CB46" i="28"/>
  <c r="CB50" i="28"/>
  <c r="BL37" i="28"/>
  <c r="BK38" i="28"/>
  <c r="BK42" i="28"/>
  <c r="AR34" i="28"/>
  <c r="AR30" i="28"/>
  <c r="AM6" i="24"/>
  <c r="AL9" i="24"/>
  <c r="BS45" i="1" s="1"/>
  <c r="BS46" i="1" s="1"/>
  <c r="BR119" i="1"/>
  <c r="BQ120" i="1"/>
  <c r="AN2" i="29"/>
  <c r="AM13" i="29"/>
  <c r="AM25" i="29"/>
  <c r="AM29" i="29"/>
  <c r="AM18" i="29"/>
  <c r="AM24" i="29"/>
  <c r="AM20" i="29"/>
  <c r="AM14" i="29"/>
  <c r="AM33" i="29"/>
  <c r="AM19" i="29"/>
  <c r="AM16" i="29"/>
  <c r="AM21" i="29"/>
  <c r="AM32" i="29"/>
  <c r="AM15" i="29"/>
  <c r="AM28" i="29"/>
  <c r="AM30" i="29"/>
  <c r="AM10" i="29"/>
  <c r="AM11" i="29"/>
  <c r="AM34" i="29"/>
  <c r="AM26" i="29"/>
  <c r="AM23" i="29"/>
  <c r="AM17" i="29"/>
  <c r="AM22" i="29"/>
  <c r="AM27" i="29"/>
  <c r="AM35" i="29"/>
  <c r="AM31" i="29"/>
  <c r="AM12" i="29"/>
  <c r="AS18" i="28"/>
  <c r="AS14" i="28"/>
  <c r="W4" i="29"/>
  <c r="AR13" i="1" s="1"/>
  <c r="F16" i="34"/>
  <c r="AJ183" i="1"/>
  <c r="J13" i="32"/>
  <c r="I13" i="32"/>
  <c r="AQ71" i="28"/>
  <c r="AP72" i="28"/>
  <c r="AP71" i="28"/>
  <c r="AQ33" i="28"/>
  <c r="AQ73" i="28"/>
  <c r="AQ31" i="28"/>
  <c r="AQ72" i="28"/>
  <c r="AQ35" i="28"/>
  <c r="BA21" i="28"/>
  <c r="AZ24" i="28"/>
  <c r="CI53" i="28"/>
  <c r="CH56" i="28"/>
  <c r="AQ51" i="28"/>
  <c r="AQ49" i="28"/>
  <c r="AQ47" i="28"/>
  <c r="AR48" i="28"/>
  <c r="BD40" i="28"/>
  <c r="AS29" i="28"/>
  <c r="AR32" i="28"/>
  <c r="AT13" i="28"/>
  <c r="AS16" i="28"/>
  <c r="I13" i="31"/>
  <c r="K13" i="32"/>
  <c r="AZ31" i="1"/>
  <c r="L41" i="29"/>
  <c r="X8" i="30"/>
  <c r="X15" i="30" s="1"/>
  <c r="X5" i="30"/>
  <c r="X12" i="30" s="1"/>
  <c r="X7" i="30"/>
  <c r="X14" i="30" s="1"/>
  <c r="X4" i="30"/>
  <c r="X11" i="30" s="1"/>
  <c r="X6" i="30"/>
  <c r="X13" i="30" s="1"/>
  <c r="BA22" i="28" l="1"/>
  <c r="BA26" i="28"/>
  <c r="AR49" i="28"/>
  <c r="BV156" i="1"/>
  <c r="BW153" i="1"/>
  <c r="DE67" i="28"/>
  <c r="DE68" i="28" s="1"/>
  <c r="DF62" i="28"/>
  <c r="DE63" i="28"/>
  <c r="DE64" i="28" s="1"/>
  <c r="DE65" i="28"/>
  <c r="DE66" i="28" s="1"/>
  <c r="CI58" i="28"/>
  <c r="CI54" i="28"/>
  <c r="CD45" i="28"/>
  <c r="CC46" i="28"/>
  <c r="CC50" i="28"/>
  <c r="BM37" i="28"/>
  <c r="BL42" i="28"/>
  <c r="BL38" i="28"/>
  <c r="AS30" i="28"/>
  <c r="AS34" i="28"/>
  <c r="AM9" i="24"/>
  <c r="BT45" i="1" s="1"/>
  <c r="BT46" i="1" s="1"/>
  <c r="AN6" i="24"/>
  <c r="BS119" i="1"/>
  <c r="BR120" i="1"/>
  <c r="AO2" i="29"/>
  <c r="AN13" i="29"/>
  <c r="AN25" i="29"/>
  <c r="AN24" i="29"/>
  <c r="AN28" i="29"/>
  <c r="AN21" i="29"/>
  <c r="AN14" i="29"/>
  <c r="AN29" i="29"/>
  <c r="AN20" i="29"/>
  <c r="AN17" i="29"/>
  <c r="AN34" i="29"/>
  <c r="AN19" i="29"/>
  <c r="AN18" i="29"/>
  <c r="AN30" i="29"/>
  <c r="AN22" i="29"/>
  <c r="AN27" i="29"/>
  <c r="AN31" i="29"/>
  <c r="AN32" i="29"/>
  <c r="AN15" i="29"/>
  <c r="AN35" i="29"/>
  <c r="AN26" i="29"/>
  <c r="AN12" i="29"/>
  <c r="AN23" i="29"/>
  <c r="AN10" i="29"/>
  <c r="AN33" i="29"/>
  <c r="AN16" i="29"/>
  <c r="AN11" i="29"/>
  <c r="AT14" i="28"/>
  <c r="AT18" i="28"/>
  <c r="H16" i="34"/>
  <c r="AR71" i="28"/>
  <c r="AR33" i="28"/>
  <c r="AR73" i="28"/>
  <c r="AR31" i="28"/>
  <c r="AR72" i="28"/>
  <c r="AR35" i="28"/>
  <c r="BB21" i="28"/>
  <c r="BA24" i="28"/>
  <c r="AR51" i="28"/>
  <c r="AR47" i="28"/>
  <c r="CJ53" i="28"/>
  <c r="CI56" i="28"/>
  <c r="BE40" i="28"/>
  <c r="AT29" i="28"/>
  <c r="AS32" i="28"/>
  <c r="AT16" i="28"/>
  <c r="AU13" i="28"/>
  <c r="K13" i="31"/>
  <c r="H13" i="31"/>
  <c r="H14" i="31" s="1"/>
  <c r="BA31" i="1"/>
  <c r="Y6" i="30"/>
  <c r="Y13" i="30" s="1"/>
  <c r="Y7" i="30"/>
  <c r="Y14" i="30" s="1"/>
  <c r="Y4" i="30"/>
  <c r="Y11" i="30" s="1"/>
  <c r="Y5" i="30"/>
  <c r="Y12" i="30" s="1"/>
  <c r="Y8" i="30"/>
  <c r="Y15" i="30" s="1"/>
  <c r="BB22" i="28" l="1"/>
  <c r="BB26" i="28"/>
  <c r="BX153" i="1"/>
  <c r="BW156" i="1"/>
  <c r="DF65" i="28"/>
  <c r="DF66" i="28" s="1"/>
  <c r="DG62" i="28"/>
  <c r="DF67" i="28"/>
  <c r="DF68" i="28" s="1"/>
  <c r="DF63" i="28"/>
  <c r="DF64" i="28" s="1"/>
  <c r="CJ58" i="28"/>
  <c r="CJ54" i="28"/>
  <c r="CE45" i="28"/>
  <c r="CD50" i="28"/>
  <c r="CD46" i="28"/>
  <c r="BN37" i="28"/>
  <c r="BM42" i="28"/>
  <c r="BM38" i="28"/>
  <c r="AT34" i="28"/>
  <c r="AT30" i="28"/>
  <c r="AN9" i="24"/>
  <c r="BU45" i="1" s="1"/>
  <c r="BU46" i="1" s="1"/>
  <c r="AO6" i="24"/>
  <c r="BS120" i="1"/>
  <c r="BT119" i="1"/>
  <c r="AP2" i="29"/>
  <c r="AO13" i="29"/>
  <c r="AO28" i="29"/>
  <c r="AO24" i="29"/>
  <c r="AO14" i="29"/>
  <c r="AO29" i="29"/>
  <c r="AO20" i="29"/>
  <c r="AO21" i="29"/>
  <c r="AO33" i="29"/>
  <c r="AO34" i="29"/>
  <c r="AO30" i="29"/>
  <c r="AO25" i="29"/>
  <c r="AO17" i="29"/>
  <c r="AO18" i="29"/>
  <c r="AO27" i="29"/>
  <c r="AO26" i="29"/>
  <c r="AO32" i="29"/>
  <c r="AO19" i="29"/>
  <c r="AO35" i="29"/>
  <c r="AO23" i="29"/>
  <c r="AO22" i="29"/>
  <c r="AO16" i="29"/>
  <c r="AO10" i="29"/>
  <c r="AO12" i="29"/>
  <c r="AO31" i="29"/>
  <c r="AO15" i="29"/>
  <c r="AO11" i="29"/>
  <c r="AU14" i="28"/>
  <c r="AU18" i="28"/>
  <c r="G16" i="34"/>
  <c r="Y17" i="30"/>
  <c r="AJ182" i="1"/>
  <c r="J13" i="31"/>
  <c r="AS33" i="28"/>
  <c r="AS31" i="28"/>
  <c r="AS35" i="28"/>
  <c r="BC21" i="28"/>
  <c r="BB24" i="28"/>
  <c r="CK53" i="28"/>
  <c r="CJ56" i="28"/>
  <c r="AS51" i="28"/>
  <c r="AS47" i="28"/>
  <c r="AS48" i="28"/>
  <c r="AS49" i="28" s="1"/>
  <c r="AT48" i="28"/>
  <c r="BF40" i="28"/>
  <c r="AU29" i="28"/>
  <c r="AT32" i="28"/>
  <c r="N20" i="32"/>
  <c r="N17" i="31"/>
  <c r="AU16" i="28"/>
  <c r="AV13" i="28"/>
  <c r="Y4" i="29"/>
  <c r="BB31" i="1"/>
  <c r="M41" i="29"/>
  <c r="Z8" i="30"/>
  <c r="Z15" i="30" s="1"/>
  <c r="Z7" i="30"/>
  <c r="Z14" i="30" s="1"/>
  <c r="Z4" i="30"/>
  <c r="Z11" i="30" s="1"/>
  <c r="Z5" i="30"/>
  <c r="Z12" i="30" s="1"/>
  <c r="Z6" i="30"/>
  <c r="Z13" i="30" s="1"/>
  <c r="Y39" i="29" l="1"/>
  <c r="Y9" i="29"/>
  <c r="BC22" i="28"/>
  <c r="BC26" i="28"/>
  <c r="BX156" i="1"/>
  <c r="BY153" i="1"/>
  <c r="DH62" i="28"/>
  <c r="DG65" i="28"/>
  <c r="DG66" i="28" s="1"/>
  <c r="DG67" i="28"/>
  <c r="DG68" i="28" s="1"/>
  <c r="DG63" i="28"/>
  <c r="DG64" i="28" s="1"/>
  <c r="CK58" i="28"/>
  <c r="CK54" i="28"/>
  <c r="CF45" i="28"/>
  <c r="CE50" i="28"/>
  <c r="CE46" i="28"/>
  <c r="BO37" i="28"/>
  <c r="BN38" i="28"/>
  <c r="BN42" i="28"/>
  <c r="AU30" i="28"/>
  <c r="AU34" i="28"/>
  <c r="AP6" i="24"/>
  <c r="AO9" i="24"/>
  <c r="BV45" i="1" s="1"/>
  <c r="BV46" i="1" s="1"/>
  <c r="BT120" i="1"/>
  <c r="BU119" i="1"/>
  <c r="AQ2" i="29"/>
  <c r="AP13" i="29"/>
  <c r="AP21" i="29"/>
  <c r="AP33" i="29"/>
  <c r="AP34" i="29"/>
  <c r="AP24" i="29"/>
  <c r="AP17" i="29"/>
  <c r="AP29" i="29"/>
  <c r="AP20" i="29"/>
  <c r="AP28" i="29"/>
  <c r="AP25" i="29"/>
  <c r="AP26" i="29"/>
  <c r="AP27" i="29"/>
  <c r="AP14" i="29"/>
  <c r="AP19" i="29"/>
  <c r="AP15" i="29"/>
  <c r="AP23" i="29"/>
  <c r="AP31" i="29"/>
  <c r="AP35" i="29"/>
  <c r="AP12" i="29"/>
  <c r="AP10" i="29"/>
  <c r="AP18" i="29"/>
  <c r="AP32" i="29"/>
  <c r="AP11" i="29"/>
  <c r="AP22" i="29"/>
  <c r="AP30" i="29"/>
  <c r="AP16" i="29"/>
  <c r="AV18" i="28"/>
  <c r="AV14" i="28"/>
  <c r="Z4" i="29"/>
  <c r="Z9" i="29" s="1"/>
  <c r="Z17" i="30"/>
  <c r="L13" i="32"/>
  <c r="AS73" i="28"/>
  <c r="AS72" i="28"/>
  <c r="AT71" i="28"/>
  <c r="AS71" i="28"/>
  <c r="AT33" i="28"/>
  <c r="AT73" i="28"/>
  <c r="AT31" i="28"/>
  <c r="AT72" i="28"/>
  <c r="AT35" i="28"/>
  <c r="BD21" i="28"/>
  <c r="BC24" i="28"/>
  <c r="CL53" i="28"/>
  <c r="CK56" i="28"/>
  <c r="AT47" i="28"/>
  <c r="AT51" i="28"/>
  <c r="AT49" i="28"/>
  <c r="BG40" i="28"/>
  <c r="AV29" i="28"/>
  <c r="AU32" i="28"/>
  <c r="AV16" i="28"/>
  <c r="AW13" i="28"/>
  <c r="L13" i="31"/>
  <c r="BC31" i="1"/>
  <c r="N41" i="29"/>
  <c r="AN12" i="1"/>
  <c r="AA7" i="30"/>
  <c r="AA14" i="30" s="1"/>
  <c r="AA4" i="30"/>
  <c r="AA11" i="30" s="1"/>
  <c r="AB3" i="30"/>
  <c r="AA8" i="30"/>
  <c r="AA15" i="30" s="1"/>
  <c r="AA5" i="30"/>
  <c r="AA12" i="30" s="1"/>
  <c r="AA6" i="30"/>
  <c r="AA13" i="30" s="1"/>
  <c r="Z39" i="29" l="1"/>
  <c r="AU144" i="1" s="1"/>
  <c r="BD26" i="28"/>
  <c r="BD22" i="28"/>
  <c r="AN32" i="1"/>
  <c r="AN35" i="1"/>
  <c r="AN83" i="1" s="1"/>
  <c r="BZ153" i="1"/>
  <c r="BY156" i="1"/>
  <c r="DH63" i="28"/>
  <c r="DH64" i="28" s="1"/>
  <c r="DH67" i="28"/>
  <c r="DH68" i="28" s="1"/>
  <c r="DH65" i="28"/>
  <c r="DH66" i="28" s="1"/>
  <c r="CL58" i="28"/>
  <c r="CL54" i="28"/>
  <c r="CG45" i="28"/>
  <c r="CF50" i="28"/>
  <c r="CF46" i="28"/>
  <c r="BP37" i="28"/>
  <c r="BO38" i="28"/>
  <c r="BO42" i="28"/>
  <c r="AV34" i="28"/>
  <c r="AV30" i="28"/>
  <c r="AP9" i="24"/>
  <c r="BW45" i="1" s="1"/>
  <c r="BW46" i="1" s="1"/>
  <c r="AQ6" i="24"/>
  <c r="BV119" i="1"/>
  <c r="BU120" i="1"/>
  <c r="AR2" i="29"/>
  <c r="AQ13" i="29"/>
  <c r="AQ25" i="29"/>
  <c r="AQ14" i="29"/>
  <c r="AQ18" i="29"/>
  <c r="AQ21" i="29"/>
  <c r="AQ34" i="29"/>
  <c r="AQ26" i="29"/>
  <c r="AQ27" i="29"/>
  <c r="AQ29" i="29"/>
  <c r="AQ20" i="29"/>
  <c r="AQ17" i="29"/>
  <c r="AQ30" i="29"/>
  <c r="AQ22" i="29"/>
  <c r="AQ24" i="29"/>
  <c r="AQ19" i="29"/>
  <c r="AQ32" i="29"/>
  <c r="AQ23" i="29"/>
  <c r="AQ33" i="29"/>
  <c r="AQ16" i="29"/>
  <c r="AQ35" i="29"/>
  <c r="AQ10" i="29"/>
  <c r="AQ12" i="29"/>
  <c r="AQ11" i="29"/>
  <c r="AQ28" i="29"/>
  <c r="AQ31" i="29"/>
  <c r="AQ15" i="29"/>
  <c r="AW18" i="28"/>
  <c r="AW14" i="28"/>
  <c r="AU13" i="1"/>
  <c r="J16" i="34" s="1"/>
  <c r="AA4" i="29"/>
  <c r="AA9" i="29" s="1"/>
  <c r="I16" i="34"/>
  <c r="AA17" i="30"/>
  <c r="AU31" i="28"/>
  <c r="AU33" i="28"/>
  <c r="AU35" i="28"/>
  <c r="BE21" i="28"/>
  <c r="BD24" i="28"/>
  <c r="CM53" i="28"/>
  <c r="CL56" i="28"/>
  <c r="AU48" i="28"/>
  <c r="AU49" i="28" s="1"/>
  <c r="AU51" i="28"/>
  <c r="AU47" i="28"/>
  <c r="BH40" i="28"/>
  <c r="AW29" i="28"/>
  <c r="AV32" i="28"/>
  <c r="AX13" i="28"/>
  <c r="AW16" i="28"/>
  <c r="N13" i="31"/>
  <c r="N13" i="32"/>
  <c r="BD31" i="1"/>
  <c r="AB7" i="30"/>
  <c r="AB14" i="30" s="1"/>
  <c r="AB8" i="30"/>
  <c r="AB15" i="30" s="1"/>
  <c r="AC3" i="30"/>
  <c r="AB5" i="30"/>
  <c r="AB12" i="30" s="1"/>
  <c r="AB6" i="30"/>
  <c r="AB13" i="30" s="1"/>
  <c r="AB4" i="30"/>
  <c r="AB11" i="30" s="1"/>
  <c r="X18" i="30"/>
  <c r="AA39" i="29" l="1"/>
  <c r="AV144" i="1" s="1"/>
  <c r="BE26" i="28"/>
  <c r="BE22" i="28"/>
  <c r="AN93" i="1"/>
  <c r="AN84" i="1"/>
  <c r="CA153" i="1"/>
  <c r="BZ156" i="1"/>
  <c r="CM54" i="28"/>
  <c r="CM58" i="28"/>
  <c r="CH45" i="28"/>
  <c r="CG50" i="28"/>
  <c r="CG46" i="28"/>
  <c r="BQ37" i="28"/>
  <c r="BP38" i="28"/>
  <c r="BP42" i="28"/>
  <c r="AW34" i="28"/>
  <c r="AW30" i="28"/>
  <c r="AQ9" i="24"/>
  <c r="BX45" i="1" s="1"/>
  <c r="BX46" i="1" s="1"/>
  <c r="AR6" i="24"/>
  <c r="BV120" i="1"/>
  <c r="BW119" i="1"/>
  <c r="AS2" i="29"/>
  <c r="AR13" i="29"/>
  <c r="AR28" i="29"/>
  <c r="AR14" i="29"/>
  <c r="AR30" i="29"/>
  <c r="AR26" i="29"/>
  <c r="AR25" i="29"/>
  <c r="AR33" i="29"/>
  <c r="AR18" i="29"/>
  <c r="AR22" i="29"/>
  <c r="AR21" i="29"/>
  <c r="AR34" i="29"/>
  <c r="AR19" i="29"/>
  <c r="AR27" i="29"/>
  <c r="AR29" i="29"/>
  <c r="AR17" i="29"/>
  <c r="AR16" i="29"/>
  <c r="AR24" i="29"/>
  <c r="AR31" i="29"/>
  <c r="AR11" i="29"/>
  <c r="AR32" i="29"/>
  <c r="AR23" i="29"/>
  <c r="AR20" i="29"/>
  <c r="AR15" i="29"/>
  <c r="AR35" i="29"/>
  <c r="AR10" i="29"/>
  <c r="AR12" i="29"/>
  <c r="M13" i="32"/>
  <c r="AX18" i="28"/>
  <c r="AX14" i="28"/>
  <c r="AV13" i="1"/>
  <c r="AB4" i="29"/>
  <c r="AB17" i="30"/>
  <c r="AC4" i="29" s="1"/>
  <c r="AU72" i="28"/>
  <c r="AU73" i="28"/>
  <c r="AU71" i="28"/>
  <c r="AV35" i="28"/>
  <c r="AV33" i="28"/>
  <c r="AV31" i="28"/>
  <c r="BF21" i="28"/>
  <c r="BE24" i="28"/>
  <c r="CN53" i="28"/>
  <c r="CM56" i="28"/>
  <c r="AV47" i="28"/>
  <c r="AV51" i="28"/>
  <c r="AV48" i="28"/>
  <c r="AV49" i="28" s="1"/>
  <c r="BI40" i="28"/>
  <c r="AX29" i="28"/>
  <c r="AW32" i="28"/>
  <c r="AY13" i="28"/>
  <c r="AX16" i="28"/>
  <c r="C13" i="34"/>
  <c r="BE31" i="1"/>
  <c r="AC7" i="30"/>
  <c r="AC14" i="30" s="1"/>
  <c r="AC8" i="30"/>
  <c r="AC15" i="30" s="1"/>
  <c r="AC6" i="30"/>
  <c r="AC13" i="30" s="1"/>
  <c r="AC5" i="30"/>
  <c r="AC12" i="30" s="1"/>
  <c r="AC4" i="30"/>
  <c r="AC11" i="30" s="1"/>
  <c r="Y18" i="30"/>
  <c r="AB39" i="29" l="1"/>
  <c r="AW144" i="1" s="1"/>
  <c r="AB9" i="29"/>
  <c r="AC9" i="29"/>
  <c r="AC39" i="29"/>
  <c r="AX144" i="1" s="1"/>
  <c r="BF26" i="28"/>
  <c r="BF22" i="28"/>
  <c r="CA156" i="1"/>
  <c r="CB153" i="1"/>
  <c r="CN58" i="28"/>
  <c r="CN54" i="28"/>
  <c r="CI45" i="28"/>
  <c r="CH46" i="28"/>
  <c r="CH50" i="28"/>
  <c r="BR37" i="28"/>
  <c r="BQ38" i="28"/>
  <c r="BQ42" i="28"/>
  <c r="AX34" i="28"/>
  <c r="AX30" i="28"/>
  <c r="AR9" i="24"/>
  <c r="BY45" i="1" s="1"/>
  <c r="BY46" i="1" s="1"/>
  <c r="AS6" i="24"/>
  <c r="P13" i="32"/>
  <c r="AN184" i="1"/>
  <c r="BX119" i="1"/>
  <c r="BW120" i="1"/>
  <c r="AT2" i="29"/>
  <c r="AS13" i="29"/>
  <c r="AS17" i="29"/>
  <c r="AS28" i="29"/>
  <c r="AS25" i="29"/>
  <c r="AS29" i="29"/>
  <c r="AS20" i="29"/>
  <c r="AS34" i="29"/>
  <c r="AS24" i="29"/>
  <c r="AS22" i="29"/>
  <c r="AS26" i="29"/>
  <c r="AS14" i="29"/>
  <c r="AS30" i="29"/>
  <c r="AS16" i="29"/>
  <c r="AS27" i="29"/>
  <c r="AS33" i="29"/>
  <c r="AS19" i="29"/>
  <c r="AS11" i="29"/>
  <c r="AS10" i="29"/>
  <c r="AS32" i="29"/>
  <c r="AS12" i="29"/>
  <c r="AS35" i="29"/>
  <c r="AS21" i="29"/>
  <c r="AS18" i="29"/>
  <c r="AS15" i="29"/>
  <c r="AS31" i="29"/>
  <c r="AS23" i="29"/>
  <c r="AY14" i="28"/>
  <c r="AY18" i="28"/>
  <c r="AX13" i="1"/>
  <c r="M16" i="34" s="1"/>
  <c r="AW13" i="1"/>
  <c r="L16" i="34" s="1"/>
  <c r="K16" i="34"/>
  <c r="AC17" i="30"/>
  <c r="AD4" i="29" s="1"/>
  <c r="AV73" i="28"/>
  <c r="AV71" i="28"/>
  <c r="AV72" i="28"/>
  <c r="AW33" i="28"/>
  <c r="AW35" i="28"/>
  <c r="AW71" i="28"/>
  <c r="AW31" i="28"/>
  <c r="BG21" i="28"/>
  <c r="BF24" i="28"/>
  <c r="CO53" i="28"/>
  <c r="CN56" i="28"/>
  <c r="AW51" i="28"/>
  <c r="AW47" i="28"/>
  <c r="AW48" i="28"/>
  <c r="AW49" i="28" s="1"/>
  <c r="BJ40" i="28"/>
  <c r="AY29" i="28"/>
  <c r="AX32" i="28"/>
  <c r="AY16" i="28"/>
  <c r="AZ13" i="28"/>
  <c r="M13" i="31"/>
  <c r="BF31" i="1"/>
  <c r="Q41" i="29"/>
  <c r="AD7" i="30"/>
  <c r="AD14" i="30" s="1"/>
  <c r="AD8" i="30"/>
  <c r="AD15" i="30" s="1"/>
  <c r="AD6" i="30"/>
  <c r="AD13" i="30" s="1"/>
  <c r="AD4" i="30"/>
  <c r="AD11" i="30" s="1"/>
  <c r="AE3" i="30"/>
  <c r="AD5" i="30"/>
  <c r="AD12" i="30" s="1"/>
  <c r="Z18" i="30"/>
  <c r="AD39" i="29" l="1"/>
  <c r="AY144" i="1" s="1"/>
  <c r="AD9" i="29"/>
  <c r="BG22" i="28"/>
  <c r="BG26" i="28"/>
  <c r="CC153" i="1"/>
  <c r="CB156" i="1"/>
  <c r="CO54" i="28"/>
  <c r="CO58" i="28"/>
  <c r="CJ45" i="28"/>
  <c r="CI46" i="28"/>
  <c r="CI50" i="28"/>
  <c r="BS37" i="28"/>
  <c r="BR38" i="28"/>
  <c r="BR42" i="28"/>
  <c r="AY34" i="28"/>
  <c r="AY30" i="28"/>
  <c r="AS9" i="24"/>
  <c r="BZ45" i="1" s="1"/>
  <c r="BZ46" i="1" s="1"/>
  <c r="AT6" i="24"/>
  <c r="BY119" i="1"/>
  <c r="BX120" i="1"/>
  <c r="AU2" i="29"/>
  <c r="AT13" i="29"/>
  <c r="AT28" i="29"/>
  <c r="AT25" i="29"/>
  <c r="AT29" i="29"/>
  <c r="AT21" i="29"/>
  <c r="AT24" i="29"/>
  <c r="AT20" i="29"/>
  <c r="AT18" i="29"/>
  <c r="AT27" i="29"/>
  <c r="AT34" i="29"/>
  <c r="AT17" i="29"/>
  <c r="AT14" i="29"/>
  <c r="AT16" i="29"/>
  <c r="AT22" i="29"/>
  <c r="AT26" i="29"/>
  <c r="AT30" i="29"/>
  <c r="AT19" i="29"/>
  <c r="AT32" i="29"/>
  <c r="AT15" i="29"/>
  <c r="AT12" i="29"/>
  <c r="AT11" i="29"/>
  <c r="AT35" i="29"/>
  <c r="AT10" i="29"/>
  <c r="AT31" i="29"/>
  <c r="AT33" i="29"/>
  <c r="AT23" i="29"/>
  <c r="AZ14" i="28"/>
  <c r="AZ18" i="28"/>
  <c r="AD17" i="30"/>
  <c r="AE17" i="30" s="1"/>
  <c r="AY13" i="1"/>
  <c r="N16" i="34" s="1"/>
  <c r="P16" i="34" s="1"/>
  <c r="AW73" i="28"/>
  <c r="AW72" i="28"/>
  <c r="AX31" i="28"/>
  <c r="AX35" i="28"/>
  <c r="AX71" i="28"/>
  <c r="AX33" i="28"/>
  <c r="BH21" i="28"/>
  <c r="BG24" i="28"/>
  <c r="CP53" i="28"/>
  <c r="CO56" i="28"/>
  <c r="AX47" i="28"/>
  <c r="AX48" i="28"/>
  <c r="AX49" i="28" s="1"/>
  <c r="AX51" i="28"/>
  <c r="BK40" i="28"/>
  <c r="AZ29" i="28"/>
  <c r="AY32" i="28"/>
  <c r="BA13" i="28"/>
  <c r="AZ16" i="28"/>
  <c r="BG31" i="1"/>
  <c r="AE7" i="30"/>
  <c r="AE14" i="30" s="1"/>
  <c r="AE8" i="30"/>
  <c r="AE5" i="30"/>
  <c r="AE12" i="30" s="1"/>
  <c r="AE6" i="30"/>
  <c r="AE13" i="30" s="1"/>
  <c r="AF3" i="30"/>
  <c r="AE4" i="30"/>
  <c r="AE11" i="30" s="1"/>
  <c r="AA18" i="30"/>
  <c r="BH26" i="28" l="1"/>
  <c r="BH22" i="28"/>
  <c r="AX73" i="28"/>
  <c r="CC156" i="1"/>
  <c r="CD153" i="1"/>
  <c r="CP58" i="28"/>
  <c r="CP54" i="28"/>
  <c r="CK45" i="28"/>
  <c r="CJ46" i="28"/>
  <c r="CJ50" i="28"/>
  <c r="BT37" i="28"/>
  <c r="BS38" i="28"/>
  <c r="BS42" i="28"/>
  <c r="AZ30" i="28"/>
  <c r="AZ31" i="28" s="1"/>
  <c r="AZ34" i="28"/>
  <c r="AU6" i="24"/>
  <c r="AT9" i="24"/>
  <c r="CA45" i="1" s="1"/>
  <c r="CA46" i="1" s="1"/>
  <c r="T40" i="29"/>
  <c r="U40" i="29" s="1"/>
  <c r="V40" i="29" s="1"/>
  <c r="BZ119" i="1"/>
  <c r="BY120" i="1"/>
  <c r="AE4" i="29"/>
  <c r="AV2" i="29"/>
  <c r="AU13" i="29"/>
  <c r="AU28" i="29"/>
  <c r="AU25" i="29"/>
  <c r="AU29" i="29"/>
  <c r="AU24" i="29"/>
  <c r="AU14" i="29"/>
  <c r="AU20" i="29"/>
  <c r="AU33" i="29"/>
  <c r="AU18" i="29"/>
  <c r="AU19" i="29"/>
  <c r="AU31" i="29"/>
  <c r="AU21" i="29"/>
  <c r="AU27" i="29"/>
  <c r="AU32" i="29"/>
  <c r="AU15" i="29"/>
  <c r="AU34" i="29"/>
  <c r="AU22" i="29"/>
  <c r="AU26" i="29"/>
  <c r="AU35" i="29"/>
  <c r="AU23" i="29"/>
  <c r="AU16" i="29"/>
  <c r="AU12" i="29"/>
  <c r="AU10" i="29"/>
  <c r="AU11" i="29"/>
  <c r="AU30" i="29"/>
  <c r="AU17" i="29"/>
  <c r="BA14" i="28"/>
  <c r="BA18" i="28"/>
  <c r="AF17" i="30"/>
  <c r="AG17" i="30" s="1"/>
  <c r="AH17" i="30" s="1"/>
  <c r="AX72" i="28"/>
  <c r="AY31" i="28"/>
  <c r="AY33" i="28"/>
  <c r="AY35" i="28"/>
  <c r="AY71" i="28"/>
  <c r="BI21" i="28"/>
  <c r="BH24" i="28"/>
  <c r="CQ53" i="28"/>
  <c r="CP56" i="28"/>
  <c r="AY47" i="28"/>
  <c r="AY48" i="28"/>
  <c r="AY49" i="28" s="1"/>
  <c r="AY51" i="28"/>
  <c r="AZ48" i="28"/>
  <c r="BL40" i="28"/>
  <c r="BA29" i="28"/>
  <c r="AZ32" i="28"/>
  <c r="BB13" i="28"/>
  <c r="BA16" i="28"/>
  <c r="BH31" i="1"/>
  <c r="AE15" i="30"/>
  <c r="AF4" i="29"/>
  <c r="AF8" i="30"/>
  <c r="AF7" i="30"/>
  <c r="AF14" i="30" s="1"/>
  <c r="AF6" i="30"/>
  <c r="AF13" i="30" s="1"/>
  <c r="AF4" i="30"/>
  <c r="AF11" i="30" s="1"/>
  <c r="AG3" i="30"/>
  <c r="AF5" i="30"/>
  <c r="AF12" i="30" s="1"/>
  <c r="AB18" i="30"/>
  <c r="W38" i="29"/>
  <c r="AR12" i="1" s="1"/>
  <c r="AR32" i="1" l="1"/>
  <c r="AR35" i="1"/>
  <c r="AR83" i="1" s="1"/>
  <c r="AR183" i="1"/>
  <c r="AF39" i="29"/>
  <c r="BA144" i="1" s="1"/>
  <c r="AE9" i="29"/>
  <c r="AF9" i="29"/>
  <c r="BI26" i="28"/>
  <c r="BI22" i="28"/>
  <c r="CD156" i="1"/>
  <c r="CE153" i="1"/>
  <c r="CQ58" i="28"/>
  <c r="CQ54" i="28"/>
  <c r="CL45" i="28"/>
  <c r="CK46" i="28"/>
  <c r="CK50" i="28"/>
  <c r="BU37" i="28"/>
  <c r="BT42" i="28"/>
  <c r="BT38" i="28"/>
  <c r="BA30" i="28"/>
  <c r="BA34" i="28"/>
  <c r="AV6" i="24"/>
  <c r="AU9" i="24"/>
  <c r="CB45" i="1" s="1"/>
  <c r="CB46" i="1" s="1"/>
  <c r="X40" i="29"/>
  <c r="CA119" i="1"/>
  <c r="BZ120" i="1"/>
  <c r="AE39" i="29"/>
  <c r="AZ144" i="1" s="1"/>
  <c r="AZ13" i="1"/>
  <c r="AW2" i="29"/>
  <c r="AV13" i="29"/>
  <c r="AV25" i="29"/>
  <c r="AV18" i="29"/>
  <c r="AV24" i="29"/>
  <c r="AV21" i="29"/>
  <c r="AV14" i="29"/>
  <c r="AV20" i="29"/>
  <c r="AV33" i="29"/>
  <c r="AV34" i="29"/>
  <c r="AV19" i="29"/>
  <c r="AV27" i="29"/>
  <c r="AV32" i="29"/>
  <c r="AV15" i="29"/>
  <c r="AV35" i="29"/>
  <c r="AV17" i="29"/>
  <c r="AV16" i="29"/>
  <c r="AV23" i="29"/>
  <c r="AV26" i="29"/>
  <c r="AV12" i="29"/>
  <c r="AV10" i="29"/>
  <c r="AV29" i="29"/>
  <c r="AV30" i="29"/>
  <c r="AV31" i="29"/>
  <c r="AV28" i="29"/>
  <c r="AV22" i="29"/>
  <c r="AV11" i="29"/>
  <c r="BB14" i="28"/>
  <c r="BB18" i="28"/>
  <c r="AI17" i="30"/>
  <c r="BA13" i="1"/>
  <c r="AY73" i="28"/>
  <c r="AY72" i="28"/>
  <c r="AZ72" i="28"/>
  <c r="AZ33" i="28"/>
  <c r="AZ73" i="28"/>
  <c r="AZ35" i="28"/>
  <c r="AZ71" i="28"/>
  <c r="BJ21" i="28"/>
  <c r="BI24" i="28"/>
  <c r="CR53" i="28"/>
  <c r="CQ56" i="28"/>
  <c r="AZ51" i="28"/>
  <c r="AZ47" i="28"/>
  <c r="AZ49" i="28"/>
  <c r="BM40" i="28"/>
  <c r="BB29" i="28"/>
  <c r="BA32" i="28"/>
  <c r="BB16" i="28"/>
  <c r="BC13" i="28"/>
  <c r="D13" i="34"/>
  <c r="G13" i="34"/>
  <c r="F13" i="34"/>
  <c r="BI31" i="1"/>
  <c r="T41" i="29"/>
  <c r="AF15" i="30"/>
  <c r="AG6" i="30"/>
  <c r="AG13" i="30" s="1"/>
  <c r="AG7" i="30"/>
  <c r="AG14" i="30" s="1"/>
  <c r="AG4" i="30"/>
  <c r="AG11" i="30" s="1"/>
  <c r="AH3" i="30"/>
  <c r="AG5" i="30"/>
  <c r="AG12" i="30" s="1"/>
  <c r="AG8" i="30"/>
  <c r="AG15" i="30" s="1"/>
  <c r="AR93" i="1" l="1"/>
  <c r="AR84" i="1"/>
  <c r="BJ22" i="28"/>
  <c r="BJ26" i="28"/>
  <c r="E13" i="34"/>
  <c r="CE156" i="1"/>
  <c r="CF153" i="1"/>
  <c r="CR58" i="28"/>
  <c r="CR54" i="28"/>
  <c r="CM45" i="28"/>
  <c r="CL50" i="28"/>
  <c r="CL46" i="28"/>
  <c r="BV37" i="28"/>
  <c r="BU38" i="28"/>
  <c r="BU42" i="28"/>
  <c r="BB34" i="28"/>
  <c r="BB30" i="28"/>
  <c r="AV9" i="24"/>
  <c r="CC45" i="1" s="1"/>
  <c r="CC46" i="1" s="1"/>
  <c r="AW6" i="24"/>
  <c r="CA120" i="1"/>
  <c r="CB119" i="1"/>
  <c r="AX2" i="29"/>
  <c r="AW13" i="29"/>
  <c r="AW14" i="29"/>
  <c r="AW20" i="29"/>
  <c r="AW21" i="29"/>
  <c r="AW33" i="29"/>
  <c r="AW34" i="29"/>
  <c r="AW17" i="29"/>
  <c r="AW25" i="29"/>
  <c r="AW28" i="29"/>
  <c r="AW18" i="29"/>
  <c r="AW29" i="29"/>
  <c r="AW30" i="29"/>
  <c r="AW26" i="29"/>
  <c r="AW19" i="29"/>
  <c r="AW35" i="29"/>
  <c r="AW22" i="29"/>
  <c r="AW16" i="29"/>
  <c r="AW12" i="29"/>
  <c r="AW11" i="29"/>
  <c r="AW31" i="29"/>
  <c r="AW27" i="29"/>
  <c r="AW32" i="29"/>
  <c r="AW23" i="29"/>
  <c r="AW15" i="29"/>
  <c r="AW24" i="29"/>
  <c r="AW10" i="29"/>
  <c r="BC14" i="28"/>
  <c r="BC18" i="28"/>
  <c r="AJ17" i="30"/>
  <c r="BA31" i="28"/>
  <c r="BA35" i="28"/>
  <c r="BA33" i="28"/>
  <c r="BK21" i="28"/>
  <c r="BJ24" i="28"/>
  <c r="CS53" i="28"/>
  <c r="CR56" i="28"/>
  <c r="BA51" i="28"/>
  <c r="BA47" i="28"/>
  <c r="BA48" i="28"/>
  <c r="BA49" i="28" s="1"/>
  <c r="BB48" i="28"/>
  <c r="BN40" i="28"/>
  <c r="BC29" i="28"/>
  <c r="BB32" i="28"/>
  <c r="BC16" i="28"/>
  <c r="BD13" i="28"/>
  <c r="AH4" i="29"/>
  <c r="AG4" i="29"/>
  <c r="BJ31" i="1"/>
  <c r="AH8" i="30"/>
  <c r="AH15" i="30" s="1"/>
  <c r="AH4" i="30"/>
  <c r="AH11" i="30" s="1"/>
  <c r="AI3" i="30"/>
  <c r="AH5" i="30"/>
  <c r="AH12" i="30" s="1"/>
  <c r="AH7" i="30"/>
  <c r="AH14" i="30" s="1"/>
  <c r="AH6" i="30"/>
  <c r="AH13" i="30" s="1"/>
  <c r="AC18" i="30"/>
  <c r="F44" i="34" l="1"/>
  <c r="E44" i="34"/>
  <c r="AR182" i="1"/>
  <c r="AG39" i="29"/>
  <c r="BB144" i="1" s="1"/>
  <c r="AH9" i="29"/>
  <c r="AG9" i="29"/>
  <c r="BK22" i="28"/>
  <c r="BK26" i="28"/>
  <c r="CF156" i="1"/>
  <c r="CG153" i="1"/>
  <c r="CS58" i="28"/>
  <c r="CS54" i="28"/>
  <c r="BA73" i="28"/>
  <c r="CN45" i="28"/>
  <c r="CM50" i="28"/>
  <c r="CM46" i="28"/>
  <c r="BW37" i="28"/>
  <c r="BV38" i="28"/>
  <c r="BV42" i="28"/>
  <c r="BC30" i="28"/>
  <c r="BC34" i="28"/>
  <c r="AW9" i="24"/>
  <c r="CD45" i="1" s="1"/>
  <c r="CD46" i="1" s="1"/>
  <c r="AX6" i="24"/>
  <c r="CB120" i="1"/>
  <c r="CC119" i="1"/>
  <c r="AH39" i="29"/>
  <c r="BC144" i="1" s="1"/>
  <c r="AY2" i="29"/>
  <c r="AX13" i="29"/>
  <c r="AX14" i="29"/>
  <c r="AX17" i="29"/>
  <c r="AX24" i="29"/>
  <c r="AX30" i="29"/>
  <c r="AX28" i="29"/>
  <c r="AX25" i="29"/>
  <c r="AX26" i="29"/>
  <c r="AX33" i="29"/>
  <c r="AX18" i="29"/>
  <c r="AX22" i="29"/>
  <c r="AX19" i="29"/>
  <c r="AX16" i="29"/>
  <c r="AX23" i="29"/>
  <c r="AX34" i="29"/>
  <c r="AX20" i="29"/>
  <c r="AX15" i="29"/>
  <c r="AX29" i="29"/>
  <c r="AX31" i="29"/>
  <c r="AX35" i="29"/>
  <c r="AX32" i="29"/>
  <c r="AX21" i="29"/>
  <c r="AX11" i="29"/>
  <c r="AX10" i="29"/>
  <c r="AX12" i="29"/>
  <c r="AX27" i="29"/>
  <c r="BD18" i="28"/>
  <c r="BD14" i="28"/>
  <c r="BB13" i="1"/>
  <c r="BC13" i="1"/>
  <c r="AK17" i="30"/>
  <c r="BA71" i="28"/>
  <c r="BA72" i="28"/>
  <c r="BB31" i="28"/>
  <c r="BB72" i="28"/>
  <c r="BB33" i="28"/>
  <c r="BB73" i="28"/>
  <c r="BB35" i="28"/>
  <c r="BB71" i="28"/>
  <c r="BL21" i="28"/>
  <c r="BK24" i="28"/>
  <c r="CT53" i="28"/>
  <c r="CS56" i="28"/>
  <c r="BB49" i="28"/>
  <c r="BB51" i="28"/>
  <c r="BB47" i="28"/>
  <c r="BO40" i="28"/>
  <c r="BD29" i="28"/>
  <c r="BC32" i="28"/>
  <c r="BD16" i="28"/>
  <c r="BE13" i="28"/>
  <c r="BK31" i="1"/>
  <c r="AI4" i="29"/>
  <c r="Y38" i="29"/>
  <c r="AI7" i="30"/>
  <c r="AI14" i="30" s="1"/>
  <c r="AI4" i="30"/>
  <c r="AI11" i="30" s="1"/>
  <c r="AJ3" i="30"/>
  <c r="AI8" i="30"/>
  <c r="AI15" i="30" s="1"/>
  <c r="AI5" i="30"/>
  <c r="AI12" i="30" s="1"/>
  <c r="AI6" i="30"/>
  <c r="AI13" i="30" s="1"/>
  <c r="AD18" i="30"/>
  <c r="AR184" i="1" l="1"/>
  <c r="AR186" i="1" s="1"/>
  <c r="AR192" i="1" s="1"/>
  <c r="AI39" i="29"/>
  <c r="BD144" i="1" s="1"/>
  <c r="AI9" i="29"/>
  <c r="BL26" i="28"/>
  <c r="BL22" i="28"/>
  <c r="CG156" i="1"/>
  <c r="CH153" i="1"/>
  <c r="CT58" i="28"/>
  <c r="CT54" i="28"/>
  <c r="CO45" i="28"/>
  <c r="CN50" i="28"/>
  <c r="CN46" i="28"/>
  <c r="BX37" i="28"/>
  <c r="BW42" i="28"/>
  <c r="BW38" i="28"/>
  <c r="BD34" i="28"/>
  <c r="BD30" i="28"/>
  <c r="AX9" i="24"/>
  <c r="CE45" i="1" s="1"/>
  <c r="CE46" i="1" s="1"/>
  <c r="AY6" i="24"/>
  <c r="CD119" i="1"/>
  <c r="CC120" i="1"/>
  <c r="AZ2" i="29"/>
  <c r="AY13" i="29"/>
  <c r="AY17" i="29"/>
  <c r="AY18" i="29"/>
  <c r="AY28" i="29"/>
  <c r="AY29" i="29"/>
  <c r="AY20" i="29"/>
  <c r="AY30" i="29"/>
  <c r="AY25" i="29"/>
  <c r="AY14" i="29"/>
  <c r="AY22" i="29"/>
  <c r="AY24" i="29"/>
  <c r="AY19" i="29"/>
  <c r="AY33" i="29"/>
  <c r="AY27" i="29"/>
  <c r="AY16" i="29"/>
  <c r="AY21" i="29"/>
  <c r="AY11" i="29"/>
  <c r="AY15" i="29"/>
  <c r="AY26" i="29"/>
  <c r="AY32" i="29"/>
  <c r="AY12" i="29"/>
  <c r="AY34" i="29"/>
  <c r="AY35" i="29"/>
  <c r="AY23" i="29"/>
  <c r="AY31" i="29"/>
  <c r="AY10" i="29"/>
  <c r="Y40" i="29"/>
  <c r="BE18" i="28"/>
  <c r="BE14" i="28"/>
  <c r="BD13" i="1"/>
  <c r="AL17" i="30"/>
  <c r="BC35" i="28"/>
  <c r="BC71" i="28"/>
  <c r="BC31" i="28"/>
  <c r="BC33" i="28"/>
  <c r="BM21" i="28"/>
  <c r="BL24" i="28"/>
  <c r="CU53" i="28"/>
  <c r="CT56" i="28"/>
  <c r="BC47" i="28"/>
  <c r="BC48" i="28"/>
  <c r="BC49" i="28" s="1"/>
  <c r="BC51" i="28"/>
  <c r="BD48" i="28"/>
  <c r="BP40" i="28"/>
  <c r="BE29" i="28"/>
  <c r="BD32" i="28"/>
  <c r="BE16" i="28"/>
  <c r="BF13" i="28"/>
  <c r="AJ4" i="29"/>
  <c r="BL31" i="1"/>
  <c r="W41" i="29"/>
  <c r="AF18" i="30"/>
  <c r="AG18" i="30"/>
  <c r="AJ7" i="30"/>
  <c r="AJ14" i="30" s="1"/>
  <c r="AJ8" i="30"/>
  <c r="AK3" i="30"/>
  <c r="AJ6" i="30"/>
  <c r="AJ13" i="30" s="1"/>
  <c r="AJ5" i="30"/>
  <c r="AJ12" i="30" s="1"/>
  <c r="AJ4" i="30"/>
  <c r="AJ11" i="30" s="1"/>
  <c r="AE18" i="30"/>
  <c r="I13" i="34" l="1"/>
  <c r="AJ39" i="29"/>
  <c r="BE144" i="1" s="1"/>
  <c r="AJ9" i="29"/>
  <c r="BM26" i="28"/>
  <c r="BM22" i="28"/>
  <c r="CH156" i="1"/>
  <c r="CI153" i="1"/>
  <c r="CU54" i="28"/>
  <c r="CU58" i="28"/>
  <c r="CP45" i="28"/>
  <c r="CO50" i="28"/>
  <c r="CO46" i="28"/>
  <c r="BY37" i="28"/>
  <c r="BX38" i="28"/>
  <c r="BX42" i="28"/>
  <c r="BE34" i="28"/>
  <c r="BE30" i="28"/>
  <c r="AZ6" i="24"/>
  <c r="AY9" i="24"/>
  <c r="CF45" i="1" s="1"/>
  <c r="CF46" i="1" s="1"/>
  <c r="CD120" i="1"/>
  <c r="CE119" i="1"/>
  <c r="BA2" i="29"/>
  <c r="AZ13" i="29"/>
  <c r="AZ28" i="29"/>
  <c r="AZ25" i="29"/>
  <c r="AZ29" i="29"/>
  <c r="AZ20" i="29"/>
  <c r="AZ33" i="29"/>
  <c r="AZ22" i="29"/>
  <c r="AZ21" i="29"/>
  <c r="AZ34" i="29"/>
  <c r="AZ19" i="29"/>
  <c r="AZ27" i="29"/>
  <c r="AZ18" i="29"/>
  <c r="AZ17" i="29"/>
  <c r="AZ16" i="29"/>
  <c r="AZ24" i="29"/>
  <c r="AZ26" i="29"/>
  <c r="AZ35" i="29"/>
  <c r="AZ32" i="29"/>
  <c r="AZ23" i="29"/>
  <c r="AZ31" i="29"/>
  <c r="AZ12" i="29"/>
  <c r="AZ15" i="29"/>
  <c r="AZ14" i="29"/>
  <c r="AZ30" i="29"/>
  <c r="AZ11" i="29"/>
  <c r="AZ10" i="29"/>
  <c r="BF18" i="28"/>
  <c r="BF14" i="28"/>
  <c r="BE13" i="1"/>
  <c r="AM17" i="30"/>
  <c r="AN17" i="30" s="1"/>
  <c r="AK4" i="29"/>
  <c r="BC73" i="28"/>
  <c r="BC72" i="28"/>
  <c r="BD31" i="28"/>
  <c r="BD72" i="28"/>
  <c r="BD35" i="28"/>
  <c r="BD71" i="28"/>
  <c r="BD33" i="28"/>
  <c r="BD73" i="28"/>
  <c r="BN21" i="28"/>
  <c r="BM24" i="28"/>
  <c r="CV53" i="28"/>
  <c r="CU56" i="28"/>
  <c r="BD51" i="28"/>
  <c r="BD47" i="28"/>
  <c r="BD49" i="28"/>
  <c r="BQ40" i="28"/>
  <c r="BF29" i="28"/>
  <c r="BE32" i="28"/>
  <c r="BG13" i="28"/>
  <c r="BF16" i="28"/>
  <c r="H13" i="34"/>
  <c r="BM31" i="1"/>
  <c r="AB38" i="29"/>
  <c r="Z38" i="29"/>
  <c r="Z40" i="29" s="1"/>
  <c r="AA38" i="29"/>
  <c r="AJ15" i="30"/>
  <c r="AK7" i="30"/>
  <c r="AK14" i="30" s="1"/>
  <c r="AK8" i="30"/>
  <c r="AK15" i="30" s="1"/>
  <c r="AK6" i="30"/>
  <c r="AK13" i="30" s="1"/>
  <c r="AK5" i="30"/>
  <c r="AK12" i="30" s="1"/>
  <c r="AK4" i="30"/>
  <c r="AK11" i="30" s="1"/>
  <c r="AL3" i="30"/>
  <c r="AK9" i="29" l="1"/>
  <c r="AK39" i="29"/>
  <c r="BF144" i="1" s="1"/>
  <c r="BN26" i="28"/>
  <c r="BN22" i="28"/>
  <c r="CI156" i="1"/>
  <c r="CJ153" i="1"/>
  <c r="CV58" i="28"/>
  <c r="CV54" i="28"/>
  <c r="CW53" i="28"/>
  <c r="CQ45" i="28"/>
  <c r="CP50" i="28"/>
  <c r="CP46" i="28"/>
  <c r="BZ37" i="28"/>
  <c r="BY38" i="28"/>
  <c r="BY42" i="28"/>
  <c r="BF34" i="28"/>
  <c r="BF30" i="28"/>
  <c r="AZ9" i="24"/>
  <c r="CG45" i="1" s="1"/>
  <c r="CG46" i="1" s="1"/>
  <c r="BA6" i="24"/>
  <c r="CF119" i="1"/>
  <c r="CE120" i="1"/>
  <c r="BB2" i="29"/>
  <c r="BA13" i="29"/>
  <c r="BA28" i="29"/>
  <c r="BA25" i="29"/>
  <c r="BA29" i="29"/>
  <c r="BA20" i="29"/>
  <c r="BA34" i="29"/>
  <c r="BA21" i="29"/>
  <c r="BA24" i="29"/>
  <c r="BA17" i="29"/>
  <c r="BA14" i="29"/>
  <c r="BA19" i="29"/>
  <c r="BA33" i="29"/>
  <c r="BA27" i="29"/>
  <c r="BA18" i="29"/>
  <c r="BA16" i="29"/>
  <c r="BA35" i="29"/>
  <c r="BA32" i="29"/>
  <c r="BA15" i="29"/>
  <c r="BA11" i="29"/>
  <c r="BA31" i="29"/>
  <c r="BA22" i="29"/>
  <c r="BA10" i="29"/>
  <c r="BA23" i="29"/>
  <c r="BA30" i="29"/>
  <c r="BA12" i="29"/>
  <c r="BA26" i="29"/>
  <c r="AA40" i="29"/>
  <c r="AB40" i="29" s="1"/>
  <c r="BG14" i="28"/>
  <c r="BG18" i="28"/>
  <c r="BF13" i="1"/>
  <c r="AO17" i="30"/>
  <c r="AL4" i="29"/>
  <c r="BE33" i="28"/>
  <c r="BE31" i="28"/>
  <c r="BE35" i="28"/>
  <c r="BO21" i="28"/>
  <c r="BN24" i="28"/>
  <c r="CV56" i="28"/>
  <c r="BE47" i="28"/>
  <c r="BE51" i="28"/>
  <c r="BE48" i="28"/>
  <c r="BE49" i="28" s="1"/>
  <c r="BR40" i="28"/>
  <c r="BG29" i="28"/>
  <c r="BF32" i="28"/>
  <c r="BG16" i="28"/>
  <c r="BH13" i="28"/>
  <c r="AW7" i="1"/>
  <c r="AV7" i="1"/>
  <c r="AU7" i="1"/>
  <c r="AV12" i="1"/>
  <c r="K13" i="34" s="1"/>
  <c r="AW12" i="1"/>
  <c r="AU12" i="1"/>
  <c r="BN31" i="1"/>
  <c r="AH18" i="30"/>
  <c r="AL7" i="30"/>
  <c r="AL14" i="30" s="1"/>
  <c r="AL8" i="30"/>
  <c r="AL15" i="30" s="1"/>
  <c r="AL5" i="30"/>
  <c r="AL12" i="30" s="1"/>
  <c r="AL4" i="30"/>
  <c r="AL11" i="30" s="1"/>
  <c r="AL6" i="30"/>
  <c r="AL13" i="30" s="1"/>
  <c r="AM3" i="30"/>
  <c r="AU137" i="1" l="1"/>
  <c r="AV137" i="1" s="1"/>
  <c r="AW137" i="1" s="1"/>
  <c r="L13" i="34"/>
  <c r="AL39" i="29"/>
  <c r="BG144" i="1" s="1"/>
  <c r="AL9" i="29"/>
  <c r="BO26" i="28"/>
  <c r="BO22" i="28"/>
  <c r="CK153" i="1"/>
  <c r="CJ156" i="1"/>
  <c r="CW58" i="28"/>
  <c r="CW54" i="28"/>
  <c r="CX53" i="28"/>
  <c r="CW56" i="28"/>
  <c r="CR45" i="28"/>
  <c r="CQ46" i="28"/>
  <c r="CQ50" i="28"/>
  <c r="CA37" i="28"/>
  <c r="BZ38" i="28"/>
  <c r="BZ42" i="28"/>
  <c r="BG34" i="28"/>
  <c r="BG30" i="28"/>
  <c r="BB6" i="24"/>
  <c r="BA9" i="24"/>
  <c r="CH45" i="1" s="1"/>
  <c r="CH46" i="1" s="1"/>
  <c r="CG119" i="1"/>
  <c r="CF120" i="1"/>
  <c r="BC2" i="29"/>
  <c r="BB13" i="29"/>
  <c r="BB28" i="29"/>
  <c r="BB25" i="29"/>
  <c r="BB29" i="29"/>
  <c r="BB21" i="29"/>
  <c r="BB24" i="29"/>
  <c r="BB14" i="29"/>
  <c r="BB18" i="29"/>
  <c r="BB34" i="29"/>
  <c r="BB17" i="29"/>
  <c r="BB22" i="29"/>
  <c r="BB26" i="29"/>
  <c r="BB31" i="29"/>
  <c r="BB30" i="29"/>
  <c r="BB20" i="29"/>
  <c r="BB32" i="29"/>
  <c r="BB15" i="29"/>
  <c r="BB33" i="29"/>
  <c r="BB11" i="29"/>
  <c r="BB35" i="29"/>
  <c r="BB16" i="29"/>
  <c r="BB12" i="29"/>
  <c r="BB19" i="29"/>
  <c r="BB23" i="29"/>
  <c r="BB27" i="29"/>
  <c r="BB10" i="29"/>
  <c r="BH14" i="28"/>
  <c r="BH18" i="28"/>
  <c r="BG13" i="1"/>
  <c r="AP17" i="30"/>
  <c r="BE71" i="28"/>
  <c r="BE72" i="28"/>
  <c r="BE73" i="28"/>
  <c r="BF33" i="28"/>
  <c r="BF35" i="28"/>
  <c r="BF31" i="28"/>
  <c r="BP21" i="28"/>
  <c r="BO24" i="28"/>
  <c r="BF47" i="28"/>
  <c r="BF48" i="28"/>
  <c r="BF49" i="28" s="1"/>
  <c r="BF51" i="28"/>
  <c r="BS40" i="28"/>
  <c r="BH29" i="28"/>
  <c r="BG32" i="28"/>
  <c r="BI13" i="28"/>
  <c r="BH16" i="28"/>
  <c r="J13" i="34"/>
  <c r="AM4" i="29"/>
  <c r="BO31" i="1"/>
  <c r="Y41" i="29"/>
  <c r="AD38" i="29"/>
  <c r="AE38" i="29"/>
  <c r="AC38" i="29"/>
  <c r="AC40" i="29" s="1"/>
  <c r="AI18" i="30"/>
  <c r="AM7" i="30"/>
  <c r="AM14" i="30" s="1"/>
  <c r="AM8" i="30"/>
  <c r="AM15" i="30" s="1"/>
  <c r="AM5" i="30"/>
  <c r="AM12" i="30" s="1"/>
  <c r="AM6" i="30"/>
  <c r="AM13" i="30" s="1"/>
  <c r="AM4" i="30"/>
  <c r="AM11" i="30" s="1"/>
  <c r="AN3" i="30"/>
  <c r="AM39" i="29" l="1"/>
  <c r="BH144" i="1" s="1"/>
  <c r="AM9" i="29"/>
  <c r="BP26" i="28"/>
  <c r="BP22" i="28"/>
  <c r="CK156" i="1"/>
  <c r="CL153" i="1"/>
  <c r="CX58" i="28"/>
  <c r="CX54" i="28"/>
  <c r="CX56" i="28"/>
  <c r="CY53" i="28"/>
  <c r="CS45" i="28"/>
  <c r="CR46" i="28"/>
  <c r="CR50" i="28"/>
  <c r="CB37" i="28"/>
  <c r="CA38" i="28"/>
  <c r="CA42" i="28"/>
  <c r="BH34" i="28"/>
  <c r="BH71" i="28" s="1"/>
  <c r="BH30" i="28"/>
  <c r="BC6" i="24"/>
  <c r="BB9" i="24"/>
  <c r="CI45" i="1" s="1"/>
  <c r="CI46" i="1" s="1"/>
  <c r="CH119" i="1"/>
  <c r="CG120" i="1"/>
  <c r="BD2" i="29"/>
  <c r="BC13" i="29"/>
  <c r="BC25" i="29"/>
  <c r="BC29" i="29"/>
  <c r="BC24" i="29"/>
  <c r="BC14" i="29"/>
  <c r="BC20" i="29"/>
  <c r="BC33" i="29"/>
  <c r="BC34" i="29"/>
  <c r="BC18" i="29"/>
  <c r="BC19" i="29"/>
  <c r="BC28" i="29"/>
  <c r="BC21" i="29"/>
  <c r="BC27" i="29"/>
  <c r="BC32" i="29"/>
  <c r="BC15" i="29"/>
  <c r="BC22" i="29"/>
  <c r="BC26" i="29"/>
  <c r="BC35" i="29"/>
  <c r="BC30" i="29"/>
  <c r="BC23" i="29"/>
  <c r="BC16" i="29"/>
  <c r="BC10" i="29"/>
  <c r="BC11" i="29"/>
  <c r="BC17" i="29"/>
  <c r="BC31" i="29"/>
  <c r="BC12" i="29"/>
  <c r="AD40" i="29"/>
  <c r="AE40" i="29" s="1"/>
  <c r="BI18" i="28"/>
  <c r="BI14" i="28"/>
  <c r="BH13" i="1"/>
  <c r="AQ17" i="30"/>
  <c r="BF71" i="28"/>
  <c r="BF73" i="28"/>
  <c r="BF72" i="28"/>
  <c r="BG31" i="28"/>
  <c r="BG33" i="28"/>
  <c r="BQ21" i="28"/>
  <c r="BP24" i="28"/>
  <c r="BG47" i="28"/>
  <c r="BG48" i="28"/>
  <c r="BG49" i="28" s="1"/>
  <c r="BG51" i="28"/>
  <c r="BH48" i="28"/>
  <c r="BT40" i="28"/>
  <c r="BI29" i="28"/>
  <c r="BH32" i="28"/>
  <c r="BI16" i="28"/>
  <c r="BJ13" i="28"/>
  <c r="BG35" i="28"/>
  <c r="AY7" i="1"/>
  <c r="AX7" i="1"/>
  <c r="AZ7" i="1"/>
  <c r="AX12" i="1"/>
  <c r="AZ12" i="1"/>
  <c r="AY12" i="1"/>
  <c r="N13" i="34" s="1"/>
  <c r="BP31" i="1"/>
  <c r="AA41" i="29"/>
  <c r="Z41" i="29"/>
  <c r="AN4" i="29"/>
  <c r="AN9" i="29" s="1"/>
  <c r="AN8" i="30"/>
  <c r="AN15" i="30" s="1"/>
  <c r="AN6" i="30"/>
  <c r="AN13" i="30" s="1"/>
  <c r="AN5" i="30"/>
  <c r="AN12" i="30" s="1"/>
  <c r="AN4" i="30"/>
  <c r="AN11" i="30" s="1"/>
  <c r="AO3" i="30"/>
  <c r="AN7" i="30"/>
  <c r="AN14" i="30" s="1"/>
  <c r="M13" i="34" l="1"/>
  <c r="P13" i="34" s="1"/>
  <c r="AN39" i="29"/>
  <c r="BI144" i="1" s="1"/>
  <c r="BQ26" i="28"/>
  <c r="BQ22" i="28"/>
  <c r="CL156" i="1"/>
  <c r="CM153" i="1"/>
  <c r="CY58" i="28"/>
  <c r="CY54" i="28"/>
  <c r="CZ53" i="28"/>
  <c r="CY56" i="28"/>
  <c r="BG73" i="28"/>
  <c r="CT45" i="28"/>
  <c r="CS46" i="28"/>
  <c r="CS50" i="28"/>
  <c r="CC37" i="28"/>
  <c r="CB42" i="28"/>
  <c r="CB38" i="28"/>
  <c r="BI30" i="28"/>
  <c r="BI34" i="28"/>
  <c r="BD6" i="24"/>
  <c r="BC9" i="24"/>
  <c r="CJ45" i="1" s="1"/>
  <c r="CJ46" i="1" s="1"/>
  <c r="CI119" i="1"/>
  <c r="CH120" i="1"/>
  <c r="BE2" i="29"/>
  <c r="BD13" i="29"/>
  <c r="BD24" i="29"/>
  <c r="BD28" i="29"/>
  <c r="BD21" i="29"/>
  <c r="BD14" i="29"/>
  <c r="BD20" i="29"/>
  <c r="BD33" i="29"/>
  <c r="BD34" i="29"/>
  <c r="BD18" i="29"/>
  <c r="BD27" i="29"/>
  <c r="BD30" i="29"/>
  <c r="BD32" i="29"/>
  <c r="BD15" i="29"/>
  <c r="BD35" i="29"/>
  <c r="BD17" i="29"/>
  <c r="BD23" i="29"/>
  <c r="BD25" i="29"/>
  <c r="BD16" i="29"/>
  <c r="BD31" i="29"/>
  <c r="BD29" i="29"/>
  <c r="BD26" i="29"/>
  <c r="BD19" i="29"/>
  <c r="BD12" i="29"/>
  <c r="BD22" i="29"/>
  <c r="BD10" i="29"/>
  <c r="BD11" i="29"/>
  <c r="BJ14" i="28"/>
  <c r="BJ18" i="28"/>
  <c r="BI13" i="1"/>
  <c r="AR17" i="30"/>
  <c r="AX137" i="1"/>
  <c r="AY137" i="1" s="1"/>
  <c r="AZ137" i="1" s="1"/>
  <c r="BG72" i="28"/>
  <c r="BG71" i="28"/>
  <c r="BH33" i="28"/>
  <c r="BH73" i="28"/>
  <c r="BH31" i="28"/>
  <c r="BH72" i="28"/>
  <c r="BR21" i="28"/>
  <c r="BQ24" i="28"/>
  <c r="BH51" i="28"/>
  <c r="BH49" i="28"/>
  <c r="BH47" i="28"/>
  <c r="BU40" i="28"/>
  <c r="BJ29" i="28"/>
  <c r="BI32" i="28"/>
  <c r="BH35" i="28"/>
  <c r="BK13" i="28"/>
  <c r="BJ16" i="28"/>
  <c r="BQ31" i="1"/>
  <c r="AO6" i="30"/>
  <c r="AO13" i="30" s="1"/>
  <c r="AO7" i="30"/>
  <c r="AO14" i="30" s="1"/>
  <c r="AO8" i="30"/>
  <c r="AO15" i="30" s="1"/>
  <c r="AO4" i="30"/>
  <c r="AO11" i="30" s="1"/>
  <c r="AO5" i="30"/>
  <c r="AO12" i="30" s="1"/>
  <c r="AJ18" i="30"/>
  <c r="BR22" i="28" l="1"/>
  <c r="BR26" i="28"/>
  <c r="CM156" i="1"/>
  <c r="CN153" i="1"/>
  <c r="CZ58" i="28"/>
  <c r="CZ54" i="28"/>
  <c r="DA53" i="28"/>
  <c r="CZ56" i="28"/>
  <c r="CU45" i="28"/>
  <c r="CT46" i="28"/>
  <c r="CT50" i="28"/>
  <c r="CD37" i="28"/>
  <c r="CC38" i="28"/>
  <c r="CC42" i="28"/>
  <c r="BJ34" i="28"/>
  <c r="BJ71" i="28" s="1"/>
  <c r="BJ30" i="28"/>
  <c r="BE6" i="24"/>
  <c r="BD9" i="24"/>
  <c r="CK45" i="1" s="1"/>
  <c r="CK46" i="1" s="1"/>
  <c r="CI120" i="1"/>
  <c r="CJ119" i="1"/>
  <c r="BF2" i="29"/>
  <c r="BE13" i="29"/>
  <c r="BE21" i="29"/>
  <c r="BE33" i="29"/>
  <c r="BE34" i="29"/>
  <c r="BE29" i="29"/>
  <c r="BE17" i="29"/>
  <c r="BE28" i="29"/>
  <c r="BE18" i="29"/>
  <c r="BE26" i="29"/>
  <c r="BE27" i="29"/>
  <c r="BE20" i="29"/>
  <c r="BE22" i="29"/>
  <c r="BE15" i="29"/>
  <c r="BE30" i="29"/>
  <c r="BE16" i="29"/>
  <c r="BE32" i="29"/>
  <c r="BE35" i="29"/>
  <c r="BE14" i="29"/>
  <c r="BE19" i="29"/>
  <c r="BE10" i="29"/>
  <c r="BE25" i="29"/>
  <c r="BE23" i="29"/>
  <c r="BE24" i="29"/>
  <c r="BE31" i="29"/>
  <c r="BE12" i="29"/>
  <c r="BE11" i="29"/>
  <c r="BK14" i="28"/>
  <c r="BK18" i="28"/>
  <c r="AS17" i="30"/>
  <c r="BI31" i="28"/>
  <c r="BI33" i="28"/>
  <c r="BS21" i="28"/>
  <c r="BR24" i="28"/>
  <c r="BJ48" i="28"/>
  <c r="BI51" i="28"/>
  <c r="BI48" i="28"/>
  <c r="BI49" i="28" s="1"/>
  <c r="BI47" i="28"/>
  <c r="BV40" i="28"/>
  <c r="BK29" i="28"/>
  <c r="BJ32" i="28"/>
  <c r="BI35" i="28"/>
  <c r="BL13" i="28"/>
  <c r="BK16" i="28"/>
  <c r="AP4" i="29"/>
  <c r="AO4" i="29"/>
  <c r="BR31" i="1"/>
  <c r="AF38" i="29"/>
  <c r="AF40" i="29" s="1"/>
  <c r="AB41" i="29"/>
  <c r="AK18" i="30"/>
  <c r="AP8" i="30"/>
  <c r="AP4" i="30"/>
  <c r="AP11" i="30" s="1"/>
  <c r="AP6" i="30"/>
  <c r="AP13" i="30" s="1"/>
  <c r="AQ3" i="30"/>
  <c r="AP5" i="30"/>
  <c r="AP12" i="30" s="1"/>
  <c r="AP7" i="30"/>
  <c r="AP14" i="30" s="1"/>
  <c r="AO39" i="29" l="1"/>
  <c r="BJ144" i="1" s="1"/>
  <c r="AP9" i="29"/>
  <c r="AO9" i="29"/>
  <c r="BS22" i="28"/>
  <c r="BS26" i="28"/>
  <c r="CN156" i="1"/>
  <c r="CO153" i="1"/>
  <c r="DA58" i="28"/>
  <c r="DA54" i="28"/>
  <c r="DB53" i="28"/>
  <c r="DA56" i="28"/>
  <c r="CV45" i="28"/>
  <c r="CU50" i="28"/>
  <c r="CU46" i="28"/>
  <c r="CE37" i="28"/>
  <c r="CD38" i="28"/>
  <c r="CD42" i="28"/>
  <c r="BK30" i="28"/>
  <c r="BK34" i="28"/>
  <c r="BE9" i="24"/>
  <c r="CL45" i="1" s="1"/>
  <c r="CL46" i="1" s="1"/>
  <c r="BF6" i="24"/>
  <c r="CK119" i="1"/>
  <c r="CJ120" i="1"/>
  <c r="AP39" i="29"/>
  <c r="BK144" i="1" s="1"/>
  <c r="BG2" i="29"/>
  <c r="BF13" i="29"/>
  <c r="BF17" i="29"/>
  <c r="BF14" i="29"/>
  <c r="BF24" i="29"/>
  <c r="BF25" i="29"/>
  <c r="BF18" i="29"/>
  <c r="BF28" i="29"/>
  <c r="BF26" i="29"/>
  <c r="BF33" i="29"/>
  <c r="BF30" i="29"/>
  <c r="BF22" i="29"/>
  <c r="BF19" i="29"/>
  <c r="BF23" i="29"/>
  <c r="BF31" i="29"/>
  <c r="BF34" i="29"/>
  <c r="BF20" i="29"/>
  <c r="BF27" i="29"/>
  <c r="BF15" i="29"/>
  <c r="BF32" i="29"/>
  <c r="BF12" i="29"/>
  <c r="BF10" i="29"/>
  <c r="BF11" i="29"/>
  <c r="BF21" i="29"/>
  <c r="BF29" i="29"/>
  <c r="BF16" i="29"/>
  <c r="BF35" i="29"/>
  <c r="BL18" i="28"/>
  <c r="BL14" i="28"/>
  <c r="BJ13" i="1"/>
  <c r="BK13" i="1"/>
  <c r="AT17" i="30"/>
  <c r="BI73" i="28"/>
  <c r="BI72" i="28"/>
  <c r="BI71" i="28"/>
  <c r="BJ31" i="28"/>
  <c r="BJ72" i="28"/>
  <c r="BJ33" i="28"/>
  <c r="BJ73" i="28"/>
  <c r="BJ47" i="28"/>
  <c r="BT21" i="28"/>
  <c r="BS24" i="28"/>
  <c r="BJ49" i="28"/>
  <c r="BJ51" i="28"/>
  <c r="BW40" i="28"/>
  <c r="BL29" i="28"/>
  <c r="BK32" i="28"/>
  <c r="BJ35" i="28"/>
  <c r="BD6" i="1"/>
  <c r="BM13" i="28"/>
  <c r="BL16" i="28"/>
  <c r="BA12" i="1"/>
  <c r="BA137" i="1" s="1"/>
  <c r="BS31" i="1"/>
  <c r="AP15" i="30"/>
  <c r="AQ4" i="29"/>
  <c r="AQ9" i="29" s="1"/>
  <c r="AC41" i="29"/>
  <c r="AQ7" i="30"/>
  <c r="AQ14" i="30" s="1"/>
  <c r="AQ4" i="30"/>
  <c r="AQ11" i="30" s="1"/>
  <c r="AQ8" i="30"/>
  <c r="AQ6" i="30"/>
  <c r="AQ13" i="30" s="1"/>
  <c r="AR3" i="30"/>
  <c r="AQ5" i="30"/>
  <c r="AQ12" i="30" s="1"/>
  <c r="AL18" i="30"/>
  <c r="AQ39" i="29" l="1"/>
  <c r="BL144" i="1" s="1"/>
  <c r="BT26" i="28"/>
  <c r="BT22" i="28"/>
  <c r="CO156" i="1"/>
  <c r="CP153" i="1"/>
  <c r="DB58" i="28"/>
  <c r="DB54" i="28"/>
  <c r="DB56" i="28"/>
  <c r="DC53" i="28"/>
  <c r="CW45" i="28"/>
  <c r="CV50" i="28"/>
  <c r="CV46" i="28"/>
  <c r="CF37" i="28"/>
  <c r="CE42" i="28"/>
  <c r="CE38" i="28"/>
  <c r="BL34" i="28"/>
  <c r="BL30" i="28"/>
  <c r="BG6" i="24"/>
  <c r="BF9" i="24"/>
  <c r="CM45" i="1" s="1"/>
  <c r="CM46" i="1" s="1"/>
  <c r="CL119" i="1"/>
  <c r="CK120" i="1"/>
  <c r="BH2" i="29"/>
  <c r="BG13" i="29"/>
  <c r="BG18" i="29"/>
  <c r="BG28" i="29"/>
  <c r="BG17" i="29"/>
  <c r="BG29" i="29"/>
  <c r="BG20" i="29"/>
  <c r="BG22" i="29"/>
  <c r="BG24" i="29"/>
  <c r="BG19" i="29"/>
  <c r="BG33" i="29"/>
  <c r="BG27" i="29"/>
  <c r="BG16" i="29"/>
  <c r="BG21" i="29"/>
  <c r="BG25" i="29"/>
  <c r="BG30" i="29"/>
  <c r="BG14" i="29"/>
  <c r="BG35" i="29"/>
  <c r="BG32" i="29"/>
  <c r="BG31" i="29"/>
  <c r="BG12" i="29"/>
  <c r="BG26" i="29"/>
  <c r="BG10" i="29"/>
  <c r="BG23" i="29"/>
  <c r="BG11" i="29"/>
  <c r="BG34" i="29"/>
  <c r="BG15" i="29"/>
  <c r="BM18" i="28"/>
  <c r="BM14" i="28"/>
  <c r="BL13" i="1"/>
  <c r="AU17" i="30"/>
  <c r="BK33" i="28"/>
  <c r="BK31" i="28"/>
  <c r="BU21" i="28"/>
  <c r="BT24" i="28"/>
  <c r="BL48" i="28"/>
  <c r="BK47" i="28"/>
  <c r="BK48" i="28"/>
  <c r="BK49" i="28" s="1"/>
  <c r="BK51" i="28"/>
  <c r="BX40" i="28"/>
  <c r="BM29" i="28"/>
  <c r="BL32" i="28"/>
  <c r="BK35" i="28"/>
  <c r="BE6" i="1"/>
  <c r="BM16" i="28"/>
  <c r="BN13" i="28"/>
  <c r="BA7" i="1"/>
  <c r="BT31" i="1"/>
  <c r="AI38" i="29"/>
  <c r="AD41" i="29"/>
  <c r="AH38" i="29"/>
  <c r="AG38" i="29"/>
  <c r="AG40" i="29" s="1"/>
  <c r="AM18" i="30"/>
  <c r="AN18" i="30"/>
  <c r="AR7" i="30"/>
  <c r="AR14" i="30" s="1"/>
  <c r="AR8" i="30"/>
  <c r="AR15" i="30" s="1"/>
  <c r="AR6" i="30"/>
  <c r="AR13" i="30" s="1"/>
  <c r="AS3" i="30"/>
  <c r="AR5" i="30"/>
  <c r="AR12" i="30" s="1"/>
  <c r="AR4" i="30"/>
  <c r="AR11" i="30" s="1"/>
  <c r="AQ15" i="30"/>
  <c r="AR4" i="29"/>
  <c r="AR39" i="29" l="1"/>
  <c r="BM144" i="1" s="1"/>
  <c r="AR9" i="29"/>
  <c r="BU26" i="28"/>
  <c r="BU22" i="28"/>
  <c r="CQ153" i="1"/>
  <c r="CP156" i="1"/>
  <c r="DC54" i="28"/>
  <c r="DC58" i="28"/>
  <c r="DC56" i="28"/>
  <c r="DD53" i="28"/>
  <c r="CW50" i="28"/>
  <c r="CW46" i="28"/>
  <c r="CX45" i="28"/>
  <c r="CW48" i="28"/>
  <c r="CG37" i="28"/>
  <c r="CF38" i="28"/>
  <c r="CF42" i="28"/>
  <c r="BM34" i="28"/>
  <c r="BM30" i="28"/>
  <c r="BH6" i="24"/>
  <c r="BG9" i="24"/>
  <c r="CN45" i="1" s="1"/>
  <c r="CN46" i="1" s="1"/>
  <c r="CL120" i="1"/>
  <c r="CM119" i="1"/>
  <c r="BI2" i="29"/>
  <c r="BH13" i="29"/>
  <c r="BH28" i="29"/>
  <c r="BH25" i="29"/>
  <c r="BH29" i="29"/>
  <c r="BH20" i="29"/>
  <c r="BH21" i="29"/>
  <c r="BH34" i="29"/>
  <c r="BH24" i="29"/>
  <c r="BH19" i="29"/>
  <c r="BH27" i="29"/>
  <c r="BH17" i="29"/>
  <c r="BH16" i="29"/>
  <c r="BH33" i="29"/>
  <c r="BH26" i="29"/>
  <c r="BH35" i="29"/>
  <c r="BH22" i="29"/>
  <c r="BH32" i="29"/>
  <c r="BH15" i="29"/>
  <c r="BH14" i="29"/>
  <c r="BH30" i="29"/>
  <c r="BH18" i="29"/>
  <c r="BH23" i="29"/>
  <c r="BH10" i="29"/>
  <c r="BH11" i="29"/>
  <c r="BH12" i="29"/>
  <c r="BH31" i="29"/>
  <c r="AH40" i="29"/>
  <c r="AI40" i="29" s="1"/>
  <c r="BN18" i="28"/>
  <c r="BN14" i="28"/>
  <c r="BM13" i="1"/>
  <c r="AV17" i="30"/>
  <c r="BK72" i="28"/>
  <c r="BL71" i="28"/>
  <c r="BK73" i="28"/>
  <c r="BK71" i="28"/>
  <c r="BL31" i="28"/>
  <c r="BL72" i="28"/>
  <c r="BL33" i="28"/>
  <c r="BL73" i="28"/>
  <c r="BL51" i="28"/>
  <c r="BV21" i="28"/>
  <c r="BU24" i="28"/>
  <c r="BL49" i="28"/>
  <c r="BL47" i="28"/>
  <c r="BY40" i="28"/>
  <c r="BN29" i="28"/>
  <c r="BM32" i="28"/>
  <c r="BL35" i="28"/>
  <c r="BN16" i="28"/>
  <c r="BO13" i="28"/>
  <c r="BC7" i="1"/>
  <c r="BD7" i="1"/>
  <c r="BD9" i="1" s="1"/>
  <c r="BB12" i="1"/>
  <c r="BB137" i="1" s="1"/>
  <c r="BC12" i="1"/>
  <c r="BD12" i="1"/>
  <c r="BU31" i="1"/>
  <c r="AJ38" i="29"/>
  <c r="AE41" i="29"/>
  <c r="AS4" i="29"/>
  <c r="AS9" i="29" s="1"/>
  <c r="AS7" i="30"/>
  <c r="AS14" i="30" s="1"/>
  <c r="AS8" i="30"/>
  <c r="AS15" i="30" s="1"/>
  <c r="AS6" i="30"/>
  <c r="AS13" i="30" s="1"/>
  <c r="AT3" i="30"/>
  <c r="AS5" i="30"/>
  <c r="AS12" i="30" s="1"/>
  <c r="AS4" i="30"/>
  <c r="AS11" i="30" s="1"/>
  <c r="AO18" i="30"/>
  <c r="AK38" i="29"/>
  <c r="AS39" i="29" l="1"/>
  <c r="BN144" i="1" s="1"/>
  <c r="BV26" i="28"/>
  <c r="BV22" i="28"/>
  <c r="CQ156" i="1"/>
  <c r="CR153" i="1"/>
  <c r="DD54" i="28"/>
  <c r="DD58" i="28"/>
  <c r="DE53" i="28"/>
  <c r="DD56" i="28"/>
  <c r="CX46" i="28"/>
  <c r="CX50" i="28"/>
  <c r="CY45" i="28"/>
  <c r="CX48" i="28"/>
  <c r="CH37" i="28"/>
  <c r="CG38" i="28"/>
  <c r="CG42" i="28"/>
  <c r="BN34" i="28"/>
  <c r="BN30" i="28"/>
  <c r="BI6" i="24"/>
  <c r="BH9" i="24"/>
  <c r="CO45" i="1" s="1"/>
  <c r="CO46" i="1" s="1"/>
  <c r="CN119" i="1"/>
  <c r="CM120" i="1"/>
  <c r="BJ2" i="29"/>
  <c r="BI13" i="29"/>
  <c r="BI28" i="29"/>
  <c r="BI25" i="29"/>
  <c r="BI29" i="29"/>
  <c r="BI20" i="29"/>
  <c r="BI34" i="29"/>
  <c r="BI21" i="29"/>
  <c r="BI24" i="29"/>
  <c r="BI14" i="29"/>
  <c r="BI33" i="29"/>
  <c r="BI18" i="29"/>
  <c r="BI27" i="29"/>
  <c r="BI19" i="29"/>
  <c r="BI31" i="29"/>
  <c r="BI35" i="29"/>
  <c r="BI32" i="29"/>
  <c r="BI15" i="29"/>
  <c r="BI17" i="29"/>
  <c r="BI23" i="29"/>
  <c r="BI10" i="29"/>
  <c r="BI26" i="29"/>
  <c r="BI22" i="29"/>
  <c r="BI30" i="29"/>
  <c r="BI16" i="29"/>
  <c r="BI11" i="29"/>
  <c r="BI12" i="29"/>
  <c r="AJ40" i="29"/>
  <c r="AK40" i="29" s="1"/>
  <c r="BO14" i="28"/>
  <c r="BO18" i="28"/>
  <c r="BN13" i="1"/>
  <c r="AW17" i="30"/>
  <c r="BC137" i="1"/>
  <c r="BD137" i="1" s="1"/>
  <c r="BM33" i="28"/>
  <c r="BM31" i="28"/>
  <c r="BW21" i="28"/>
  <c r="BV24" i="28"/>
  <c r="BM51" i="28"/>
  <c r="BM47" i="28"/>
  <c r="BM48" i="28"/>
  <c r="BM49" i="28" s="1"/>
  <c r="BN48" i="28"/>
  <c r="BZ40" i="28"/>
  <c r="BO29" i="28"/>
  <c r="BN32" i="28"/>
  <c r="BM35" i="28"/>
  <c r="BP13" i="28"/>
  <c r="BO16" i="28"/>
  <c r="BF7" i="1"/>
  <c r="BB7" i="1"/>
  <c r="BE7" i="1"/>
  <c r="BE9" i="1" s="1"/>
  <c r="BE12" i="1"/>
  <c r="BF12" i="1"/>
  <c r="BV31" i="1"/>
  <c r="AF41" i="29"/>
  <c r="AT7" i="30"/>
  <c r="AT14" i="30" s="1"/>
  <c r="AT8" i="30"/>
  <c r="AT15" i="30" s="1"/>
  <c r="AT5" i="30"/>
  <c r="AT12" i="30" s="1"/>
  <c r="AT4" i="30"/>
  <c r="AT11" i="30" s="1"/>
  <c r="AU3" i="30"/>
  <c r="AT6" i="30"/>
  <c r="AT13" i="30" s="1"/>
  <c r="AP18" i="30"/>
  <c r="AG41" i="29"/>
  <c r="BW26" i="28" l="1"/>
  <c r="BW22" i="28"/>
  <c r="CS153" i="1"/>
  <c r="CR156" i="1"/>
  <c r="DE54" i="28"/>
  <c r="DE58" i="28"/>
  <c r="DF53" i="28"/>
  <c r="DE56" i="28"/>
  <c r="CY46" i="28"/>
  <c r="CY50" i="28"/>
  <c r="CY48" i="28"/>
  <c r="CZ45" i="28"/>
  <c r="CI37" i="28"/>
  <c r="CH38" i="28"/>
  <c r="CH42" i="28"/>
  <c r="BO34" i="28"/>
  <c r="BO30" i="28"/>
  <c r="BI9" i="24"/>
  <c r="CP45" i="1" s="1"/>
  <c r="CP46" i="1" s="1"/>
  <c r="BJ6" i="24"/>
  <c r="CO119" i="1"/>
  <c r="CN120" i="1"/>
  <c r="BK2" i="29"/>
  <c r="BJ13" i="29"/>
  <c r="BJ25" i="29"/>
  <c r="BJ29" i="29"/>
  <c r="BJ21" i="29"/>
  <c r="BJ24" i="29"/>
  <c r="BJ14" i="29"/>
  <c r="BJ33" i="29"/>
  <c r="BJ34" i="29"/>
  <c r="BJ17" i="29"/>
  <c r="BJ20" i="29"/>
  <c r="BJ18" i="29"/>
  <c r="BJ30" i="29"/>
  <c r="BJ32" i="29"/>
  <c r="BJ15" i="29"/>
  <c r="BJ27" i="29"/>
  <c r="BJ23" i="29"/>
  <c r="BJ28" i="29"/>
  <c r="BJ26" i="29"/>
  <c r="BJ22" i="29"/>
  <c r="BJ19" i="29"/>
  <c r="BJ16" i="29"/>
  <c r="BJ11" i="29"/>
  <c r="BJ31" i="29"/>
  <c r="BJ10" i="29"/>
  <c r="BJ12" i="29"/>
  <c r="BJ35" i="29"/>
  <c r="BP14" i="28"/>
  <c r="BP18" i="28"/>
  <c r="AX17" i="30"/>
  <c r="BE137" i="1"/>
  <c r="BF137" i="1" s="1"/>
  <c r="BM72" i="28"/>
  <c r="BN73" i="28"/>
  <c r="BN71" i="28"/>
  <c r="BM73" i="28"/>
  <c r="BM71" i="28"/>
  <c r="BN31" i="28"/>
  <c r="BN72" i="28"/>
  <c r="BX21" i="28"/>
  <c r="BW24" i="28"/>
  <c r="BN47" i="28"/>
  <c r="BN51" i="28"/>
  <c r="BN49" i="28"/>
  <c r="CA40" i="28"/>
  <c r="BP29" i="28"/>
  <c r="BO32" i="28"/>
  <c r="BN35" i="28"/>
  <c r="BQ13" i="28"/>
  <c r="BP16" i="28"/>
  <c r="BN33" i="28"/>
  <c r="AU4" i="29"/>
  <c r="AT4" i="29"/>
  <c r="BW31" i="1"/>
  <c r="AL38" i="29"/>
  <c r="AL40" i="29" s="1"/>
  <c r="AU7" i="30"/>
  <c r="AU14" i="30" s="1"/>
  <c r="AU8" i="30"/>
  <c r="AU15" i="30" s="1"/>
  <c r="AU6" i="30"/>
  <c r="AU13" i="30" s="1"/>
  <c r="AU5" i="30"/>
  <c r="AU12" i="30" s="1"/>
  <c r="AV3" i="30"/>
  <c r="AU4" i="30"/>
  <c r="AU11" i="30" s="1"/>
  <c r="AQ18" i="30"/>
  <c r="AH41" i="29"/>
  <c r="AT39" i="29" l="1"/>
  <c r="BO144" i="1" s="1"/>
  <c r="AU9" i="29"/>
  <c r="AT9" i="29"/>
  <c r="BX26" i="28"/>
  <c r="BX22" i="28"/>
  <c r="CS156" i="1"/>
  <c r="CT153" i="1"/>
  <c r="DF58" i="28"/>
  <c r="DF54" i="28"/>
  <c r="DF56" i="28"/>
  <c r="DG53" i="28"/>
  <c r="CZ46" i="28"/>
  <c r="CZ50" i="28"/>
  <c r="DA45" i="28"/>
  <c r="CZ48" i="28"/>
  <c r="CJ37" i="28"/>
  <c r="CI38" i="28"/>
  <c r="CI42" i="28"/>
  <c r="BP34" i="28"/>
  <c r="BP30" i="28"/>
  <c r="BK6" i="24"/>
  <c r="BJ9" i="24"/>
  <c r="CQ45" i="1" s="1"/>
  <c r="CQ46" i="1" s="1"/>
  <c r="CP119" i="1"/>
  <c r="CO120" i="1"/>
  <c r="AU39" i="29"/>
  <c r="BP144" i="1" s="1"/>
  <c r="BL2" i="29"/>
  <c r="BK13" i="29"/>
  <c r="BK24" i="29"/>
  <c r="BK14" i="29"/>
  <c r="BK20" i="29"/>
  <c r="BK33" i="29"/>
  <c r="BK34" i="29"/>
  <c r="BK21" i="29"/>
  <c r="BK17" i="29"/>
  <c r="BK30" i="29"/>
  <c r="BK32" i="29"/>
  <c r="BK15" i="29"/>
  <c r="BK29" i="29"/>
  <c r="BK22" i="29"/>
  <c r="BK26" i="29"/>
  <c r="BK35" i="29"/>
  <c r="BK28" i="29"/>
  <c r="BK23" i="29"/>
  <c r="BK18" i="29"/>
  <c r="BK19" i="29"/>
  <c r="BK11" i="29"/>
  <c r="BK25" i="29"/>
  <c r="BK31" i="29"/>
  <c r="BK27" i="29"/>
  <c r="BK10" i="29"/>
  <c r="BK16" i="29"/>
  <c r="BK12" i="29"/>
  <c r="BQ18" i="28"/>
  <c r="BQ14" i="28"/>
  <c r="BO13" i="1"/>
  <c r="BP13" i="1"/>
  <c r="AY17" i="30"/>
  <c r="BO31" i="28"/>
  <c r="BY21" i="28"/>
  <c r="BX24" i="28"/>
  <c r="BO47" i="28"/>
  <c r="BO48" i="28"/>
  <c r="BO49" i="28" s="1"/>
  <c r="BO51" i="28"/>
  <c r="CB40" i="28"/>
  <c r="BO35" i="28"/>
  <c r="BQ29" i="28"/>
  <c r="BP32" i="28"/>
  <c r="BO33" i="28"/>
  <c r="BQ16" i="28"/>
  <c r="BR13" i="28"/>
  <c r="BG7" i="1"/>
  <c r="BG12" i="1"/>
  <c r="BG137" i="1" s="1"/>
  <c r="BX31" i="1"/>
  <c r="AM38" i="29"/>
  <c r="AM40" i="29" s="1"/>
  <c r="AV8" i="30"/>
  <c r="AV15" i="30" s="1"/>
  <c r="AV6" i="30"/>
  <c r="AV13" i="30" s="1"/>
  <c r="AV5" i="30"/>
  <c r="AV12" i="30" s="1"/>
  <c r="AV4" i="30"/>
  <c r="AV11" i="30" s="1"/>
  <c r="AV7" i="30"/>
  <c r="AV14" i="30" s="1"/>
  <c r="AW3" i="30"/>
  <c r="AV4" i="29"/>
  <c r="AI41" i="29"/>
  <c r="AV39" i="29" l="1"/>
  <c r="BQ144" i="1" s="1"/>
  <c r="AV9" i="29"/>
  <c r="BY22" i="28"/>
  <c r="BY26" i="28"/>
  <c r="CT156" i="1"/>
  <c r="CU153" i="1"/>
  <c r="DG58" i="28"/>
  <c r="DG54" i="28"/>
  <c r="DH53" i="28"/>
  <c r="DG56" i="28"/>
  <c r="DA46" i="28"/>
  <c r="DA50" i="28"/>
  <c r="DA48" i="28"/>
  <c r="DB45" i="28"/>
  <c r="CK37" i="28"/>
  <c r="CJ42" i="28"/>
  <c r="CJ38" i="28"/>
  <c r="BQ30" i="28"/>
  <c r="BQ34" i="28"/>
  <c r="BL6" i="24"/>
  <c r="BK9" i="24"/>
  <c r="CR45" i="1" s="1"/>
  <c r="CR46" i="1" s="1"/>
  <c r="CQ119" i="1"/>
  <c r="CP120" i="1"/>
  <c r="BM2" i="29"/>
  <c r="BL13" i="29"/>
  <c r="BL21" i="29"/>
  <c r="BL14" i="29"/>
  <c r="BL20" i="29"/>
  <c r="BL33" i="29"/>
  <c r="BL34" i="29"/>
  <c r="BL17" i="29"/>
  <c r="BL18" i="29"/>
  <c r="BL27" i="29"/>
  <c r="BL29" i="29"/>
  <c r="BL30" i="29"/>
  <c r="BL24" i="29"/>
  <c r="BL22" i="29"/>
  <c r="BL26" i="29"/>
  <c r="BL28" i="29"/>
  <c r="BL35" i="29"/>
  <c r="BL23" i="29"/>
  <c r="BL16" i="29"/>
  <c r="BL25" i="29"/>
  <c r="BL11" i="29"/>
  <c r="BL10" i="29"/>
  <c r="BL19" i="29"/>
  <c r="BL32" i="29"/>
  <c r="BL31" i="29"/>
  <c r="BL15" i="29"/>
  <c r="BL12" i="29"/>
  <c r="BR14" i="28"/>
  <c r="BR18" i="28"/>
  <c r="BQ13" i="1"/>
  <c r="AZ17" i="30"/>
  <c r="BO72" i="28"/>
  <c r="BO73" i="28"/>
  <c r="BO71" i="28"/>
  <c r="BP31" i="28"/>
  <c r="BP35" i="28"/>
  <c r="BZ21" i="28"/>
  <c r="BY24" i="28"/>
  <c r="BP48" i="28"/>
  <c r="BP49" i="28" s="1"/>
  <c r="BP47" i="28"/>
  <c r="BP51" i="28"/>
  <c r="BQ48" i="28"/>
  <c r="CC40" i="28"/>
  <c r="BR29" i="28"/>
  <c r="BQ32" i="28"/>
  <c r="BP33" i="28"/>
  <c r="BS13" i="28"/>
  <c r="BR16" i="28"/>
  <c r="BH7" i="1"/>
  <c r="BH12" i="1"/>
  <c r="BH137" i="1" s="1"/>
  <c r="BY31" i="1"/>
  <c r="AW6" i="30"/>
  <c r="AW13" i="30" s="1"/>
  <c r="AW7" i="30"/>
  <c r="AW14" i="30" s="1"/>
  <c r="AW8" i="30"/>
  <c r="AW15" i="30" s="1"/>
  <c r="AW4" i="30"/>
  <c r="AW11" i="30" s="1"/>
  <c r="AX3" i="30"/>
  <c r="AW5" i="30"/>
  <c r="AW12" i="30" s="1"/>
  <c r="BZ22" i="28" l="1"/>
  <c r="BZ26" i="28"/>
  <c r="CU156" i="1"/>
  <c r="CV153" i="1"/>
  <c r="DH56" i="28"/>
  <c r="DH58" i="28"/>
  <c r="DH54" i="28"/>
  <c r="DB46" i="28"/>
  <c r="DB50" i="28"/>
  <c r="DC45" i="28"/>
  <c r="DB48" i="28"/>
  <c r="BQ73" i="28"/>
  <c r="CL37" i="28"/>
  <c r="CK42" i="28"/>
  <c r="CK38" i="28"/>
  <c r="BR34" i="28"/>
  <c r="BR30" i="28"/>
  <c r="BL9" i="24"/>
  <c r="CS45" i="1" s="1"/>
  <c r="CS46" i="1" s="1"/>
  <c r="BM6" i="24"/>
  <c r="CQ120" i="1"/>
  <c r="CR119" i="1"/>
  <c r="BN2" i="29"/>
  <c r="BM13" i="29"/>
  <c r="BM17" i="29"/>
  <c r="BM33" i="29"/>
  <c r="BM18" i="29"/>
  <c r="BM26" i="29"/>
  <c r="BM27" i="29"/>
  <c r="BM24" i="29"/>
  <c r="BM22" i="29"/>
  <c r="BM15" i="29"/>
  <c r="BM23" i="29"/>
  <c r="BM21" i="29"/>
  <c r="BM31" i="29"/>
  <c r="BM12" i="29"/>
  <c r="BM34" i="29"/>
  <c r="BM19" i="29"/>
  <c r="BM25" i="29"/>
  <c r="BM32" i="29"/>
  <c r="BM29" i="29"/>
  <c r="BM16" i="29"/>
  <c r="BM30" i="29"/>
  <c r="BM28" i="29"/>
  <c r="BM20" i="29"/>
  <c r="BM11" i="29"/>
  <c r="BM14" i="29"/>
  <c r="BM35" i="29"/>
  <c r="BM10" i="29"/>
  <c r="BS14" i="28"/>
  <c r="BS18" i="28"/>
  <c r="BA17" i="30"/>
  <c r="BB17" i="30" s="1"/>
  <c r="BP71" i="28"/>
  <c r="BP72" i="28"/>
  <c r="BP73" i="28"/>
  <c r="BQ31" i="28"/>
  <c r="BQ72" i="28"/>
  <c r="BQ35" i="28"/>
  <c r="BQ71" i="28"/>
  <c r="CA21" i="28"/>
  <c r="BZ24" i="28"/>
  <c r="BQ51" i="28"/>
  <c r="BQ47" i="28"/>
  <c r="BQ49" i="28"/>
  <c r="CD40" i="28"/>
  <c r="BS29" i="28"/>
  <c r="BR32" i="28"/>
  <c r="BQ33" i="28"/>
  <c r="BT13" i="28"/>
  <c r="BS16" i="28"/>
  <c r="AX4" i="29"/>
  <c r="AW4" i="29"/>
  <c r="BZ31" i="1"/>
  <c r="AJ41" i="29"/>
  <c r="AO38" i="29"/>
  <c r="AN38" i="29"/>
  <c r="AN40" i="29" s="1"/>
  <c r="AR18" i="30"/>
  <c r="AX8" i="30"/>
  <c r="AX15" i="30" s="1"/>
  <c r="AX4" i="30"/>
  <c r="AX11" i="30" s="1"/>
  <c r="AY3" i="30"/>
  <c r="AX7" i="30"/>
  <c r="AX14" i="30" s="1"/>
  <c r="AX6" i="30"/>
  <c r="AX13" i="30" s="1"/>
  <c r="AX5" i="30"/>
  <c r="AX12" i="30" s="1"/>
  <c r="AS18" i="30"/>
  <c r="AW39" i="29" l="1"/>
  <c r="BR144" i="1" s="1"/>
  <c r="AW9" i="29"/>
  <c r="AX9" i="29"/>
  <c r="CA22" i="28"/>
  <c r="CA26" i="28"/>
  <c r="CW153" i="1"/>
  <c r="CV156" i="1"/>
  <c r="DC50" i="28"/>
  <c r="DC46" i="28"/>
  <c r="DC48" i="28"/>
  <c r="DD45" i="28"/>
  <c r="CM37" i="28"/>
  <c r="CL38" i="28"/>
  <c r="CL42" i="28"/>
  <c r="BS34" i="28"/>
  <c r="BS30" i="28"/>
  <c r="BN6" i="24"/>
  <c r="BM9" i="24"/>
  <c r="CT45" i="1" s="1"/>
  <c r="CT46" i="1" s="1"/>
  <c r="CS119" i="1"/>
  <c r="CR120" i="1"/>
  <c r="AX39" i="29"/>
  <c r="BS144" i="1" s="1"/>
  <c r="BO2" i="29"/>
  <c r="BN13" i="29"/>
  <c r="BN24" i="29"/>
  <c r="BN25" i="29"/>
  <c r="BN18" i="29"/>
  <c r="BN28" i="29"/>
  <c r="BN33" i="29"/>
  <c r="BN22" i="29"/>
  <c r="BN19" i="29"/>
  <c r="BN14" i="29"/>
  <c r="BN34" i="29"/>
  <c r="BN20" i="29"/>
  <c r="BN27" i="29"/>
  <c r="BN16" i="29"/>
  <c r="BN26" i="29"/>
  <c r="BN32" i="29"/>
  <c r="BN21" i="29"/>
  <c r="BN11" i="29"/>
  <c r="BN10" i="29"/>
  <c r="BN30" i="29"/>
  <c r="BN12" i="29"/>
  <c r="BN31" i="29"/>
  <c r="BN35" i="29"/>
  <c r="BN29" i="29"/>
  <c r="BN23" i="29"/>
  <c r="BN17" i="29"/>
  <c r="BN15" i="29"/>
  <c r="AO40" i="29"/>
  <c r="BT18" i="28"/>
  <c r="BT14" i="28"/>
  <c r="BR13" i="1"/>
  <c r="BS13" i="1"/>
  <c r="BC17" i="30"/>
  <c r="BD17" i="30" s="1"/>
  <c r="BR35" i="28"/>
  <c r="BR31" i="28"/>
  <c r="CB21" i="28"/>
  <c r="CA24" i="28"/>
  <c r="BR51" i="28"/>
  <c r="BR48" i="28"/>
  <c r="BR49" i="28" s="1"/>
  <c r="BR47" i="28"/>
  <c r="CE40" i="28"/>
  <c r="BT29" i="28"/>
  <c r="BS32" i="28"/>
  <c r="BR33" i="28"/>
  <c r="BT16" i="28"/>
  <c r="BU13" i="28"/>
  <c r="BJ7" i="1"/>
  <c r="BI7" i="1"/>
  <c r="BI12" i="1"/>
  <c r="BI137" i="1" s="1"/>
  <c r="BJ12" i="1"/>
  <c r="CA31" i="1"/>
  <c r="AY4" i="29"/>
  <c r="AK41" i="29"/>
  <c r="AU18" i="30"/>
  <c r="AY7" i="30"/>
  <c r="AY14" i="30" s="1"/>
  <c r="AY4" i="30"/>
  <c r="AY11" i="30" s="1"/>
  <c r="AZ3" i="30"/>
  <c r="AY5" i="30"/>
  <c r="AY12" i="30" s="1"/>
  <c r="AY6" i="30"/>
  <c r="AY13" i="30" s="1"/>
  <c r="AY8" i="30"/>
  <c r="AY15" i="30" s="1"/>
  <c r="AY39" i="29" l="1"/>
  <c r="BT144" i="1" s="1"/>
  <c r="AY9" i="29"/>
  <c r="CB22" i="28"/>
  <c r="CB26" i="28"/>
  <c r="CW156" i="1"/>
  <c r="CX153" i="1"/>
  <c r="DD50" i="28"/>
  <c r="DD46" i="28"/>
  <c r="DE45" i="28"/>
  <c r="DD48" i="28"/>
  <c r="CN37" i="28"/>
  <c r="CM42" i="28"/>
  <c r="CM38" i="28"/>
  <c r="BT34" i="28"/>
  <c r="BT71" i="28" s="1"/>
  <c r="BT30" i="28"/>
  <c r="BO6" i="24"/>
  <c r="BN9" i="24"/>
  <c r="CU45" i="1" s="1"/>
  <c r="CU46" i="1" s="1"/>
  <c r="CT119" i="1"/>
  <c r="CS120" i="1"/>
  <c r="BP2" i="29"/>
  <c r="BO13" i="29"/>
  <c r="BO18" i="29"/>
  <c r="BO28" i="29"/>
  <c r="BO17" i="29"/>
  <c r="BO14" i="29"/>
  <c r="BO29" i="29"/>
  <c r="BO20" i="29"/>
  <c r="BO21" i="29"/>
  <c r="BO33" i="29"/>
  <c r="BO34" i="29"/>
  <c r="BO24" i="29"/>
  <c r="BO19" i="29"/>
  <c r="BO16" i="29"/>
  <c r="BO25" i="29"/>
  <c r="BO30" i="29"/>
  <c r="BO35" i="29"/>
  <c r="BO15" i="29"/>
  <c r="BO26" i="29"/>
  <c r="BO11" i="29"/>
  <c r="BO27" i="29"/>
  <c r="BO32" i="29"/>
  <c r="BO12" i="29"/>
  <c r="BO22" i="29"/>
  <c r="BO31" i="29"/>
  <c r="BO10" i="29"/>
  <c r="BO23" i="29"/>
  <c r="BU18" i="28"/>
  <c r="BU14" i="28"/>
  <c r="BT13" i="1"/>
  <c r="BE17" i="30"/>
  <c r="BJ137" i="1"/>
  <c r="BR72" i="28"/>
  <c r="BR71" i="28"/>
  <c r="BR73" i="28"/>
  <c r="BS35" i="28"/>
  <c r="BS31" i="28"/>
  <c r="CC21" i="28"/>
  <c r="CB24" i="28"/>
  <c r="BS48" i="28"/>
  <c r="BS49" i="28" s="1"/>
  <c r="BS47" i="28"/>
  <c r="BS51" i="28"/>
  <c r="BT48" i="28"/>
  <c r="CF40" i="28"/>
  <c r="BU29" i="28"/>
  <c r="BT32" i="28"/>
  <c r="BS33" i="28"/>
  <c r="BV13" i="28"/>
  <c r="BU16" i="28"/>
  <c r="CB31" i="1"/>
  <c r="AL41" i="29"/>
  <c r="AP38" i="29"/>
  <c r="AP40" i="29" s="1"/>
  <c r="AQ38" i="29"/>
  <c r="AZ7" i="30"/>
  <c r="AZ14" i="30" s="1"/>
  <c r="AZ8" i="30"/>
  <c r="AZ15" i="30" s="1"/>
  <c r="BA3" i="30"/>
  <c r="AZ6" i="30"/>
  <c r="AZ13" i="30" s="1"/>
  <c r="AZ5" i="30"/>
  <c r="AZ12" i="30" s="1"/>
  <c r="AZ4" i="30"/>
  <c r="AZ11" i="30" s="1"/>
  <c r="AT18" i="30"/>
  <c r="AZ4" i="29"/>
  <c r="AZ39" i="29" l="1"/>
  <c r="BU144" i="1" s="1"/>
  <c r="AZ9" i="29"/>
  <c r="CC26" i="28"/>
  <c r="CC22" i="28"/>
  <c r="CX156" i="1"/>
  <c r="CY153" i="1"/>
  <c r="DE50" i="28"/>
  <c r="DE46" i="28"/>
  <c r="DF45" i="28"/>
  <c r="DE48" i="28"/>
  <c r="CO37" i="28"/>
  <c r="CN38" i="28"/>
  <c r="CN42" i="28"/>
  <c r="BU34" i="28"/>
  <c r="BU30" i="28"/>
  <c r="BP6" i="24"/>
  <c r="BO9" i="24"/>
  <c r="CV45" i="1" s="1"/>
  <c r="CV46" i="1" s="1"/>
  <c r="CT120" i="1"/>
  <c r="CU119" i="1"/>
  <c r="BQ2" i="29"/>
  <c r="BP13" i="29"/>
  <c r="BP28" i="29"/>
  <c r="BP25" i="29"/>
  <c r="BP29" i="29"/>
  <c r="BP20" i="29"/>
  <c r="BP21" i="29"/>
  <c r="BP34" i="29"/>
  <c r="BP24" i="29"/>
  <c r="BP33" i="29"/>
  <c r="BP14" i="29"/>
  <c r="BP17" i="29"/>
  <c r="BP19" i="29"/>
  <c r="BP31" i="29"/>
  <c r="BP26" i="29"/>
  <c r="BP35" i="29"/>
  <c r="BP22" i="29"/>
  <c r="BP32" i="29"/>
  <c r="BP15" i="29"/>
  <c r="BP30" i="29"/>
  <c r="BP10" i="29"/>
  <c r="BP27" i="29"/>
  <c r="BP11" i="29"/>
  <c r="BP12" i="29"/>
  <c r="BP18" i="29"/>
  <c r="BP23" i="29"/>
  <c r="BP16" i="29"/>
  <c r="AQ40" i="29"/>
  <c r="BV18" i="28"/>
  <c r="BV14" i="28"/>
  <c r="BU13" i="1"/>
  <c r="BF17" i="30"/>
  <c r="BS71" i="28"/>
  <c r="BS73" i="28"/>
  <c r="BS72" i="28"/>
  <c r="BT73" i="28"/>
  <c r="BT31" i="28"/>
  <c r="BT72" i="28"/>
  <c r="CD21" i="28"/>
  <c r="CC24" i="28"/>
  <c r="BT49" i="28"/>
  <c r="BT47" i="28"/>
  <c r="BT51" i="28"/>
  <c r="BU48" i="28"/>
  <c r="CG40" i="28"/>
  <c r="BV29" i="28"/>
  <c r="BU32" i="28"/>
  <c r="BT33" i="28"/>
  <c r="BT35" i="28"/>
  <c r="BV16" i="28"/>
  <c r="BW13" i="28"/>
  <c r="BL7" i="1"/>
  <c r="BK7" i="1"/>
  <c r="BK12" i="1"/>
  <c r="BK137" i="1" s="1"/>
  <c r="BL12" i="1"/>
  <c r="CC31" i="1"/>
  <c r="AM41" i="29"/>
  <c r="AV18" i="30"/>
  <c r="BA7" i="30"/>
  <c r="BA14" i="30" s="1"/>
  <c r="BA8" i="30"/>
  <c r="BA15" i="30" s="1"/>
  <c r="BA6" i="30"/>
  <c r="BA13" i="30" s="1"/>
  <c r="BA5" i="30"/>
  <c r="BA12" i="30" s="1"/>
  <c r="BA4" i="30"/>
  <c r="BA11" i="30" s="1"/>
  <c r="BB3" i="30"/>
  <c r="CD26" i="28" l="1"/>
  <c r="CD22" i="28"/>
  <c r="CY156" i="1"/>
  <c r="CZ153" i="1"/>
  <c r="DF46" i="28"/>
  <c r="DF50" i="28"/>
  <c r="DF48" i="28"/>
  <c r="DG45" i="28"/>
  <c r="CP37" i="28"/>
  <c r="CO38" i="28"/>
  <c r="CO42" i="28"/>
  <c r="BV34" i="28"/>
  <c r="BV71" i="28" s="1"/>
  <c r="BV30" i="28"/>
  <c r="BQ6" i="24"/>
  <c r="BP9" i="24"/>
  <c r="CW45" i="1" s="1"/>
  <c r="CW46" i="1" s="1"/>
  <c r="CV119" i="1"/>
  <c r="CU120" i="1"/>
  <c r="BR2" i="29"/>
  <c r="BQ13" i="29"/>
  <c r="BQ25" i="29"/>
  <c r="BQ29" i="29"/>
  <c r="BQ20" i="29"/>
  <c r="BQ21" i="29"/>
  <c r="BQ34" i="29"/>
  <c r="BQ24" i="29"/>
  <c r="BQ14" i="29"/>
  <c r="BQ33" i="29"/>
  <c r="BQ27" i="29"/>
  <c r="BQ19" i="29"/>
  <c r="BQ28" i="29"/>
  <c r="BQ35" i="29"/>
  <c r="BQ32" i="29"/>
  <c r="BQ15" i="29"/>
  <c r="BQ18" i="29"/>
  <c r="BQ17" i="29"/>
  <c r="BQ23" i="29"/>
  <c r="BQ31" i="29"/>
  <c r="BQ30" i="29"/>
  <c r="BQ26" i="29"/>
  <c r="BQ16" i="29"/>
  <c r="BQ22" i="29"/>
  <c r="BQ12" i="29"/>
  <c r="BQ10" i="29"/>
  <c r="BQ11" i="29"/>
  <c r="BW18" i="28"/>
  <c r="BW14" i="28"/>
  <c r="BG17" i="30"/>
  <c r="BL137" i="1"/>
  <c r="BU73" i="28"/>
  <c r="BU71" i="28"/>
  <c r="BU31" i="28"/>
  <c r="BU72" i="28"/>
  <c r="BU47" i="28"/>
  <c r="BV47" i="28" s="1"/>
  <c r="BU51" i="28"/>
  <c r="BU49" i="28"/>
  <c r="CE21" i="28"/>
  <c r="CD24" i="28"/>
  <c r="BV48" i="28"/>
  <c r="CH40" i="28"/>
  <c r="BW29" i="28"/>
  <c r="BV32" i="28"/>
  <c r="BU33" i="28"/>
  <c r="BU35" i="28"/>
  <c r="BW16" i="28"/>
  <c r="BX13" i="28"/>
  <c r="BB4" i="29"/>
  <c r="BA4" i="29"/>
  <c r="CD31" i="1"/>
  <c r="AN41" i="29"/>
  <c r="BB7" i="30"/>
  <c r="BB14" i="30" s="1"/>
  <c r="BB8" i="30"/>
  <c r="BB15" i="30" s="1"/>
  <c r="BB6" i="30"/>
  <c r="BB13" i="30" s="1"/>
  <c r="BB4" i="30"/>
  <c r="BB11" i="30" s="1"/>
  <c r="BB5" i="30"/>
  <c r="BB12" i="30" s="1"/>
  <c r="BC3" i="30"/>
  <c r="AW18" i="30"/>
  <c r="BA39" i="29" l="1"/>
  <c r="BV144" i="1" s="1"/>
  <c r="BA9" i="29"/>
  <c r="BB9" i="29"/>
  <c r="CE26" i="28"/>
  <c r="CE22" i="28"/>
  <c r="DA153" i="1"/>
  <c r="CZ156" i="1"/>
  <c r="DG46" i="28"/>
  <c r="DG50" i="28"/>
  <c r="DH45" i="28"/>
  <c r="DG48" i="28"/>
  <c r="CQ37" i="28"/>
  <c r="CP38" i="28"/>
  <c r="CP42" i="28"/>
  <c r="BW34" i="28"/>
  <c r="BW30" i="28"/>
  <c r="BQ9" i="24"/>
  <c r="CX45" i="1" s="1"/>
  <c r="CX46" i="1" s="1"/>
  <c r="BR6" i="24"/>
  <c r="CW119" i="1"/>
  <c r="CV120" i="1"/>
  <c r="BB39" i="29"/>
  <c r="BW144" i="1" s="1"/>
  <c r="BS2" i="29"/>
  <c r="BR13" i="29"/>
  <c r="BR21" i="29"/>
  <c r="BR24" i="29"/>
  <c r="BR14" i="29"/>
  <c r="BR33" i="29"/>
  <c r="BR20" i="29"/>
  <c r="BR34" i="29"/>
  <c r="BR25" i="29"/>
  <c r="BR17" i="29"/>
  <c r="BR19" i="29"/>
  <c r="BR27" i="29"/>
  <c r="BR29" i="29"/>
  <c r="BR30" i="29"/>
  <c r="BR32" i="29"/>
  <c r="BR15" i="29"/>
  <c r="BR23" i="29"/>
  <c r="BR22" i="29"/>
  <c r="BR16" i="29"/>
  <c r="BR31" i="29"/>
  <c r="BR28" i="29"/>
  <c r="BR26" i="29"/>
  <c r="BR18" i="29"/>
  <c r="BR35" i="29"/>
  <c r="BR10" i="29"/>
  <c r="BR11" i="29"/>
  <c r="BR12" i="29"/>
  <c r="BX14" i="28"/>
  <c r="BX18" i="28"/>
  <c r="BW13" i="1"/>
  <c r="BV13" i="1"/>
  <c r="BH17" i="30"/>
  <c r="BV73" i="28"/>
  <c r="BV31" i="28"/>
  <c r="BV72" i="28"/>
  <c r="BV51" i="28"/>
  <c r="BV49" i="28"/>
  <c r="CF21" i="28"/>
  <c r="CE24" i="28"/>
  <c r="CI40" i="28"/>
  <c r="BV35" i="28"/>
  <c r="BX29" i="28"/>
  <c r="BW32" i="28"/>
  <c r="BV33" i="28"/>
  <c r="BP6" i="1"/>
  <c r="BY13" i="28"/>
  <c r="BX16" i="28"/>
  <c r="BC4" i="29"/>
  <c r="BC9" i="29" s="1"/>
  <c r="CE31" i="1"/>
  <c r="AO41" i="29"/>
  <c r="AS38" i="29"/>
  <c r="AR38" i="29"/>
  <c r="AR40" i="29" s="1"/>
  <c r="BC7" i="30"/>
  <c r="BC14" i="30" s="1"/>
  <c r="BC8" i="30"/>
  <c r="BC15" i="30" s="1"/>
  <c r="BC6" i="30"/>
  <c r="BC13" i="30" s="1"/>
  <c r="BC5" i="30"/>
  <c r="BC12" i="30" s="1"/>
  <c r="BD3" i="30"/>
  <c r="BC4" i="30"/>
  <c r="BC11" i="30" s="1"/>
  <c r="BC39" i="29" l="1"/>
  <c r="BX144" i="1" s="1"/>
  <c r="CF26" i="28"/>
  <c r="CF22" i="28"/>
  <c r="DA156" i="1"/>
  <c r="DB153" i="1"/>
  <c r="DH46" i="28"/>
  <c r="DH50" i="28"/>
  <c r="DH48" i="28"/>
  <c r="CR37" i="28"/>
  <c r="CQ38" i="28"/>
  <c r="CQ42" i="28"/>
  <c r="BX34" i="28"/>
  <c r="BX30" i="28"/>
  <c r="BS6" i="24"/>
  <c r="BR9" i="24"/>
  <c r="CY45" i="1" s="1"/>
  <c r="CY46" i="1" s="1"/>
  <c r="CX119" i="1"/>
  <c r="CW120" i="1"/>
  <c r="AS40" i="29"/>
  <c r="BT2" i="29"/>
  <c r="BS13" i="29"/>
  <c r="BS14" i="29"/>
  <c r="BS20" i="29"/>
  <c r="BS21" i="29"/>
  <c r="BS33" i="29"/>
  <c r="BS34" i="29"/>
  <c r="BS17" i="29"/>
  <c r="BS30" i="29"/>
  <c r="BS25" i="29"/>
  <c r="BS22" i="29"/>
  <c r="BS26" i="29"/>
  <c r="BS28" i="29"/>
  <c r="BS29" i="29"/>
  <c r="BS35" i="29"/>
  <c r="BS23" i="29"/>
  <c r="BS18" i="29"/>
  <c r="BS24" i="29"/>
  <c r="BS19" i="29"/>
  <c r="BS10" i="29"/>
  <c r="BS15" i="29"/>
  <c r="BS31" i="29"/>
  <c r="BS16" i="29"/>
  <c r="BS12" i="29"/>
  <c r="BS32" i="29"/>
  <c r="BS11" i="29"/>
  <c r="BS27" i="29"/>
  <c r="BY14" i="28"/>
  <c r="BY18" i="28"/>
  <c r="BI17" i="30"/>
  <c r="BX13" i="1"/>
  <c r="BW31" i="28"/>
  <c r="BW35" i="28"/>
  <c r="CG21" i="28"/>
  <c r="CF24" i="28"/>
  <c r="BW47" i="28"/>
  <c r="BW48" i="28"/>
  <c r="BW49" i="28" s="1"/>
  <c r="BW51" i="28"/>
  <c r="CJ40" i="28"/>
  <c r="BY29" i="28"/>
  <c r="BX32" i="28"/>
  <c r="BW33" i="28"/>
  <c r="BY16" i="28"/>
  <c r="BZ13" i="28"/>
  <c r="BN7" i="1"/>
  <c r="BM12" i="1"/>
  <c r="BM137" i="1" s="1"/>
  <c r="BN12" i="1"/>
  <c r="CF31" i="1"/>
  <c r="AP41" i="29"/>
  <c r="AT38" i="29"/>
  <c r="BD4" i="29"/>
  <c r="BD8" i="30"/>
  <c r="BD15" i="30" s="1"/>
  <c r="BD6" i="30"/>
  <c r="BD13" i="30" s="1"/>
  <c r="BD5" i="30"/>
  <c r="BD12" i="30" s="1"/>
  <c r="BD7" i="30"/>
  <c r="BD14" i="30" s="1"/>
  <c r="BD4" i="30"/>
  <c r="BD11" i="30" s="1"/>
  <c r="BE3" i="30"/>
  <c r="AX18" i="30"/>
  <c r="BD39" i="29" l="1"/>
  <c r="BD9" i="29"/>
  <c r="CG22" i="28"/>
  <c r="CG26" i="28"/>
  <c r="DB156" i="1"/>
  <c r="DC153" i="1"/>
  <c r="CS37" i="28"/>
  <c r="CR42" i="28"/>
  <c r="CR38" i="28"/>
  <c r="BY30" i="28"/>
  <c r="BY34" i="28"/>
  <c r="BS9" i="24"/>
  <c r="CZ45" i="1" s="1"/>
  <c r="CZ46" i="1" s="1"/>
  <c r="BT6" i="24"/>
  <c r="CY119" i="1"/>
  <c r="CX120" i="1"/>
  <c r="AT40" i="29"/>
  <c r="BU2" i="29"/>
  <c r="BT13" i="29"/>
  <c r="BT33" i="29"/>
  <c r="BT34" i="29"/>
  <c r="BT28" i="29"/>
  <c r="BT29" i="29"/>
  <c r="BT17" i="29"/>
  <c r="BT21" i="29"/>
  <c r="BT30" i="29"/>
  <c r="BT24" i="29"/>
  <c r="BT22" i="29"/>
  <c r="BT26" i="29"/>
  <c r="BT20" i="29"/>
  <c r="BT23" i="29"/>
  <c r="BT27" i="29"/>
  <c r="BT25" i="29"/>
  <c r="BT14" i="29"/>
  <c r="BT15" i="29"/>
  <c r="BT12" i="29"/>
  <c r="BT10" i="29"/>
  <c r="BT19" i="29"/>
  <c r="BT16" i="29"/>
  <c r="BT35" i="29"/>
  <c r="BT31" i="29"/>
  <c r="BT32" i="29"/>
  <c r="BT11" i="29"/>
  <c r="BT18" i="29"/>
  <c r="BZ14" i="28"/>
  <c r="BZ18" i="28"/>
  <c r="BY13" i="1"/>
  <c r="BJ17" i="30"/>
  <c r="BK17" i="30" s="1"/>
  <c r="BN137" i="1"/>
  <c r="BY144" i="1"/>
  <c r="BW72" i="28"/>
  <c r="BW73" i="28"/>
  <c r="BW71" i="28"/>
  <c r="BX31" i="28"/>
  <c r="BX35" i="28"/>
  <c r="CH21" i="28"/>
  <c r="CG24" i="28"/>
  <c r="BX48" i="28"/>
  <c r="BX49" i="28" s="1"/>
  <c r="BX51" i="28"/>
  <c r="BX47" i="28"/>
  <c r="CK40" i="28"/>
  <c r="BZ29" i="28"/>
  <c r="BY32" i="28"/>
  <c r="BX33" i="28"/>
  <c r="BR6" i="1"/>
  <c r="BQ6" i="1"/>
  <c r="CA13" i="28"/>
  <c r="BZ16" i="28"/>
  <c r="BO7" i="1"/>
  <c r="BO12" i="1"/>
  <c r="BM7" i="1"/>
  <c r="CG31" i="1"/>
  <c r="BE4" i="29"/>
  <c r="BE9" i="29" s="1"/>
  <c r="AQ41" i="29"/>
  <c r="AR41" i="29"/>
  <c r="AY18" i="30"/>
  <c r="BE6" i="30"/>
  <c r="BE13" i="30" s="1"/>
  <c r="BE7" i="30"/>
  <c r="BE14" i="30" s="1"/>
  <c r="BE5" i="30"/>
  <c r="BE12" i="30" s="1"/>
  <c r="BE4" i="30"/>
  <c r="BE11" i="30" s="1"/>
  <c r="BF3" i="30"/>
  <c r="BE8" i="30"/>
  <c r="BE15" i="30" s="1"/>
  <c r="BE39" i="29" l="1"/>
  <c r="BZ144" i="1" s="1"/>
  <c r="CH22" i="28"/>
  <c r="CH26" i="28"/>
  <c r="DD153" i="1"/>
  <c r="DC156" i="1"/>
  <c r="CT37" i="28"/>
  <c r="CS42" i="28"/>
  <c r="CS38" i="28"/>
  <c r="BZ34" i="28"/>
  <c r="BZ30" i="28"/>
  <c r="BU6" i="24"/>
  <c r="BT9" i="24"/>
  <c r="DA45" i="1" s="1"/>
  <c r="DA46" i="1" s="1"/>
  <c r="CY120" i="1"/>
  <c r="CZ119" i="1"/>
  <c r="BV2" i="29"/>
  <c r="BU13" i="29"/>
  <c r="BU29" i="29"/>
  <c r="BU17" i="29"/>
  <c r="BU25" i="29"/>
  <c r="BU18" i="29"/>
  <c r="BU26" i="29"/>
  <c r="BU27" i="29"/>
  <c r="BU24" i="29"/>
  <c r="BU22" i="29"/>
  <c r="BU21" i="29"/>
  <c r="BU34" i="29"/>
  <c r="BU19" i="29"/>
  <c r="BU30" i="29"/>
  <c r="BU16" i="29"/>
  <c r="BU31" i="29"/>
  <c r="BU33" i="29"/>
  <c r="BU15" i="29"/>
  <c r="BU11" i="29"/>
  <c r="BU14" i="29"/>
  <c r="BU32" i="29"/>
  <c r="BU28" i="29"/>
  <c r="BU20" i="29"/>
  <c r="BU12" i="29"/>
  <c r="BU35" i="29"/>
  <c r="BU23" i="29"/>
  <c r="BU10" i="29"/>
  <c r="CA14" i="28"/>
  <c r="CA18" i="28"/>
  <c r="BL17" i="30"/>
  <c r="BZ13" i="1"/>
  <c r="BO137" i="1"/>
  <c r="BX71" i="28"/>
  <c r="BX72" i="28"/>
  <c r="BX73" i="28"/>
  <c r="BY31" i="28"/>
  <c r="BY35" i="28"/>
  <c r="CI21" i="28"/>
  <c r="CH24" i="28"/>
  <c r="BY51" i="28"/>
  <c r="BY47" i="28"/>
  <c r="BY48" i="28"/>
  <c r="BY49" i="28" s="1"/>
  <c r="CL40" i="28"/>
  <c r="CA29" i="28"/>
  <c r="BZ32" i="28"/>
  <c r="BY33" i="28"/>
  <c r="CA16" i="28"/>
  <c r="CB13" i="28"/>
  <c r="BF4" i="29"/>
  <c r="BF9" i="29" s="1"/>
  <c r="CH31" i="1"/>
  <c r="AV38" i="29"/>
  <c r="AU38" i="29"/>
  <c r="AU40" i="29" s="1"/>
  <c r="AS41" i="29"/>
  <c r="BF8" i="30"/>
  <c r="BF15" i="30" s="1"/>
  <c r="BF7" i="30"/>
  <c r="BF14" i="30" s="1"/>
  <c r="BF4" i="30"/>
  <c r="BF11" i="30" s="1"/>
  <c r="BF5" i="30"/>
  <c r="BF12" i="30" s="1"/>
  <c r="BG3" i="30"/>
  <c r="BF6" i="30"/>
  <c r="BF13" i="30" s="1"/>
  <c r="AZ18" i="30"/>
  <c r="BA18" i="30"/>
  <c r="AW38" i="29"/>
  <c r="BF39" i="29" l="1"/>
  <c r="CA144" i="1" s="1"/>
  <c r="CI22" i="28"/>
  <c r="CI26" i="28"/>
  <c r="DD156" i="1"/>
  <c r="DE153" i="1"/>
  <c r="CU37" i="28"/>
  <c r="CT42" i="28"/>
  <c r="CT38" i="28"/>
  <c r="CA30" i="28"/>
  <c r="CA34" i="28"/>
  <c r="BU9" i="24"/>
  <c r="DB45" i="1" s="1"/>
  <c r="DB46" i="1" s="1"/>
  <c r="BV6" i="24"/>
  <c r="DA119" i="1"/>
  <c r="CZ120" i="1"/>
  <c r="BW2" i="29"/>
  <c r="BV13" i="29"/>
  <c r="BV24" i="29"/>
  <c r="BV25" i="29"/>
  <c r="BV18" i="29"/>
  <c r="BV28" i="29"/>
  <c r="BV14" i="29"/>
  <c r="BV29" i="29"/>
  <c r="BV20" i="29"/>
  <c r="BV22" i="29"/>
  <c r="BV19" i="29"/>
  <c r="BV21" i="29"/>
  <c r="BV34" i="29"/>
  <c r="BV27" i="29"/>
  <c r="BV16" i="29"/>
  <c r="BV15" i="29"/>
  <c r="BV26" i="29"/>
  <c r="BV32" i="29"/>
  <c r="BV35" i="29"/>
  <c r="BV30" i="29"/>
  <c r="BV12" i="29"/>
  <c r="BV11" i="29"/>
  <c r="BV23" i="29"/>
  <c r="BV10" i="29"/>
  <c r="BV17" i="29"/>
  <c r="BV33" i="29"/>
  <c r="BV31" i="29"/>
  <c r="AV40" i="29"/>
  <c r="AW40" i="29" s="1"/>
  <c r="CB18" i="28"/>
  <c r="CB14" i="28"/>
  <c r="CA13" i="1"/>
  <c r="BM17" i="30"/>
  <c r="BY73" i="28"/>
  <c r="BY71" i="28"/>
  <c r="BY72" i="28"/>
  <c r="BZ35" i="28"/>
  <c r="BZ31" i="28"/>
  <c r="CJ21" i="28"/>
  <c r="CI24" i="28"/>
  <c r="BZ51" i="28"/>
  <c r="BZ47" i="28"/>
  <c r="BZ48" i="28"/>
  <c r="BZ49" i="28" s="1"/>
  <c r="CM40" i="28"/>
  <c r="CB29" i="28"/>
  <c r="CA32" i="28"/>
  <c r="BZ33" i="28"/>
  <c r="CB16" i="28"/>
  <c r="CC13" i="28"/>
  <c r="BQ7" i="1"/>
  <c r="BQ9" i="1" s="1"/>
  <c r="BR7" i="1"/>
  <c r="BR9" i="1" s="1"/>
  <c r="BR12" i="1"/>
  <c r="BP12" i="1"/>
  <c r="BP137" i="1" s="1"/>
  <c r="BQ12" i="1"/>
  <c r="CI31" i="1"/>
  <c r="BG4" i="29"/>
  <c r="BG9" i="29" s="1"/>
  <c r="BG7" i="30"/>
  <c r="BG14" i="30" s="1"/>
  <c r="BG4" i="30"/>
  <c r="BG11" i="30" s="1"/>
  <c r="BH3" i="30"/>
  <c r="BG6" i="30"/>
  <c r="BG13" i="30" s="1"/>
  <c r="BG8" i="30"/>
  <c r="BG15" i="30" s="1"/>
  <c r="BG5" i="30"/>
  <c r="BG12" i="30" s="1"/>
  <c r="BB18" i="30"/>
  <c r="AT41" i="29"/>
  <c r="BG39" i="29" l="1"/>
  <c r="CB144" i="1" s="1"/>
  <c r="CJ22" i="28"/>
  <c r="CJ26" i="28"/>
  <c r="DF153" i="1"/>
  <c r="DE156" i="1"/>
  <c r="CV37" i="28"/>
  <c r="CU42" i="28"/>
  <c r="CU38" i="28"/>
  <c r="CB34" i="28"/>
  <c r="CB30" i="28"/>
  <c r="BV9" i="24"/>
  <c r="DC45" i="1" s="1"/>
  <c r="DC46" i="1" s="1"/>
  <c r="BW6" i="24"/>
  <c r="DB119" i="1"/>
  <c r="DA120" i="1"/>
  <c r="BX2" i="29"/>
  <c r="BW13" i="29"/>
  <c r="BW28" i="29"/>
  <c r="BW14" i="29"/>
  <c r="BW29" i="29"/>
  <c r="BW20" i="29"/>
  <c r="BW21" i="29"/>
  <c r="BW33" i="29"/>
  <c r="BW34" i="29"/>
  <c r="BW24" i="29"/>
  <c r="BW25" i="29"/>
  <c r="BW17" i="29"/>
  <c r="BW30" i="29"/>
  <c r="BW31" i="29"/>
  <c r="BW35" i="29"/>
  <c r="BW15" i="29"/>
  <c r="BW26" i="29"/>
  <c r="BW18" i="29"/>
  <c r="BW27" i="29"/>
  <c r="BW12" i="29"/>
  <c r="BW22" i="29"/>
  <c r="BW16" i="29"/>
  <c r="BW19" i="29"/>
  <c r="BW10" i="29"/>
  <c r="BW11" i="29"/>
  <c r="BW23" i="29"/>
  <c r="BW32" i="29"/>
  <c r="CC18" i="28"/>
  <c r="CC14" i="28"/>
  <c r="CB13" i="1"/>
  <c r="BN17" i="30"/>
  <c r="BQ137" i="1"/>
  <c r="BR137" i="1" s="1"/>
  <c r="BZ71" i="28"/>
  <c r="BZ73" i="28"/>
  <c r="BZ72" i="28"/>
  <c r="CA35" i="28"/>
  <c r="CA31" i="28"/>
  <c r="CK21" i="28"/>
  <c r="CJ24" i="28"/>
  <c r="CA51" i="28"/>
  <c r="CA48" i="28"/>
  <c r="CA49" i="28" s="1"/>
  <c r="CA47" i="28"/>
  <c r="CN40" i="28"/>
  <c r="CC29" i="28"/>
  <c r="CB32" i="28"/>
  <c r="CA33" i="28"/>
  <c r="CC16" i="28"/>
  <c r="CD13" i="28"/>
  <c r="BP7" i="1"/>
  <c r="BP9" i="1" s="1"/>
  <c r="CJ31" i="1"/>
  <c r="AX38" i="29"/>
  <c r="AX40" i="29" s="1"/>
  <c r="BH7" i="30"/>
  <c r="BH14" i="30" s="1"/>
  <c r="BH8" i="30"/>
  <c r="BH15" i="30" s="1"/>
  <c r="BI3" i="30"/>
  <c r="BH6" i="30"/>
  <c r="BH13" i="30" s="1"/>
  <c r="BH5" i="30"/>
  <c r="BH12" i="30" s="1"/>
  <c r="BH4" i="30"/>
  <c r="BH11" i="30" s="1"/>
  <c r="BH4" i="29"/>
  <c r="BC18" i="30"/>
  <c r="AU41" i="29"/>
  <c r="BH9" i="29" l="1"/>
  <c r="BH39" i="29"/>
  <c r="CC144" i="1" s="1"/>
  <c r="CK26" i="28"/>
  <c r="CK22" i="28"/>
  <c r="DG153" i="1"/>
  <c r="DG156" i="1" s="1"/>
  <c r="DF156" i="1"/>
  <c r="CA73" i="28"/>
  <c r="CV38" i="28"/>
  <c r="CV42" i="28"/>
  <c r="CW37" i="28"/>
  <c r="CC34" i="28"/>
  <c r="CC30" i="28"/>
  <c r="BX6" i="24"/>
  <c r="BW9" i="24"/>
  <c r="DD45" i="1" s="1"/>
  <c r="DD46" i="1" s="1"/>
  <c r="DB120" i="1"/>
  <c r="DC119" i="1"/>
  <c r="BY2" i="29"/>
  <c r="BX13" i="29"/>
  <c r="BX25" i="29"/>
  <c r="BX29" i="29"/>
  <c r="BX20" i="29"/>
  <c r="BX21" i="29"/>
  <c r="BX34" i="29"/>
  <c r="BX24" i="29"/>
  <c r="BX33" i="29"/>
  <c r="BX14" i="29"/>
  <c r="BX17" i="29"/>
  <c r="BX26" i="29"/>
  <c r="BX35" i="29"/>
  <c r="BX22" i="29"/>
  <c r="BX32" i="29"/>
  <c r="BX15" i="29"/>
  <c r="BX30" i="29"/>
  <c r="BX23" i="29"/>
  <c r="BX19" i="29"/>
  <c r="BX10" i="29"/>
  <c r="BX12" i="29"/>
  <c r="BX28" i="29"/>
  <c r="BX16" i="29"/>
  <c r="BX31" i="29"/>
  <c r="BX18" i="29"/>
  <c r="BX27" i="29"/>
  <c r="BX11" i="29"/>
  <c r="CD18" i="28"/>
  <c r="CD14" i="28"/>
  <c r="CC13" i="1"/>
  <c r="BO17" i="30"/>
  <c r="CA71" i="28"/>
  <c r="CA72" i="28"/>
  <c r="CB35" i="28"/>
  <c r="CB31" i="28"/>
  <c r="CB33" i="28"/>
  <c r="CL21" i="28"/>
  <c r="CK24" i="28"/>
  <c r="CB47" i="28"/>
  <c r="CB48" i="28"/>
  <c r="CB49" i="28" s="1"/>
  <c r="CB51" i="28"/>
  <c r="CO40" i="28"/>
  <c r="CD29" i="28"/>
  <c r="CC32" i="28"/>
  <c r="CD16" i="28"/>
  <c r="CE13" i="28"/>
  <c r="BS7" i="1"/>
  <c r="BS12" i="1"/>
  <c r="BS137" i="1" s="1"/>
  <c r="CK31" i="1"/>
  <c r="BD18" i="30"/>
  <c r="BI7" i="30"/>
  <c r="BI14" i="30" s="1"/>
  <c r="BI8" i="30"/>
  <c r="BI15" i="30" s="1"/>
  <c r="BI6" i="30"/>
  <c r="BI13" i="30" s="1"/>
  <c r="BI5" i="30"/>
  <c r="BI12" i="30" s="1"/>
  <c r="BI4" i="30"/>
  <c r="BI11" i="30" s="1"/>
  <c r="BJ3" i="30"/>
  <c r="CL26" i="28" l="1"/>
  <c r="CL22" i="28"/>
  <c r="CW38" i="28"/>
  <c r="CW42" i="28"/>
  <c r="CW40" i="28"/>
  <c r="CX37" i="28"/>
  <c r="CD34" i="28"/>
  <c r="CD30" i="28"/>
  <c r="BY6" i="24"/>
  <c r="BX9" i="24"/>
  <c r="DE45" i="1" s="1"/>
  <c r="DE46" i="1" s="1"/>
  <c r="DD119" i="1"/>
  <c r="DC120" i="1"/>
  <c r="BZ2" i="29"/>
  <c r="BY13" i="29"/>
  <c r="BY21" i="29"/>
  <c r="BY34" i="29"/>
  <c r="BY24" i="29"/>
  <c r="BY14" i="29"/>
  <c r="BY33" i="29"/>
  <c r="BY27" i="29"/>
  <c r="BY28" i="29"/>
  <c r="BY35" i="29"/>
  <c r="BY30" i="29"/>
  <c r="BY32" i="29"/>
  <c r="BY15" i="29"/>
  <c r="BY20" i="29"/>
  <c r="BY17" i="29"/>
  <c r="BY23" i="29"/>
  <c r="BY25" i="29"/>
  <c r="BY18" i="29"/>
  <c r="BY22" i="29"/>
  <c r="BY26" i="29"/>
  <c r="BY19" i="29"/>
  <c r="BY31" i="29"/>
  <c r="BY12" i="29"/>
  <c r="BY29" i="29"/>
  <c r="BY10" i="29"/>
  <c r="BY11" i="29"/>
  <c r="BY16" i="29"/>
  <c r="CE14" i="28"/>
  <c r="CE18" i="28"/>
  <c r="BP17" i="30"/>
  <c r="CB72" i="28"/>
  <c r="CB71" i="28"/>
  <c r="CB73" i="28"/>
  <c r="CC31" i="28"/>
  <c r="CC35" i="28"/>
  <c r="CC71" i="28"/>
  <c r="CC33" i="28"/>
  <c r="CM21" i="28"/>
  <c r="CL24" i="28"/>
  <c r="CC51" i="28"/>
  <c r="CC47" i="28"/>
  <c r="CC48" i="28"/>
  <c r="CC49" i="28" s="1"/>
  <c r="CD48" i="28"/>
  <c r="CP40" i="28"/>
  <c r="CE29" i="28"/>
  <c r="CD32" i="28"/>
  <c r="CE16" i="28"/>
  <c r="CF13" i="28"/>
  <c r="BJ4" i="29"/>
  <c r="BI4" i="29"/>
  <c r="CL31" i="1"/>
  <c r="AW41" i="29"/>
  <c r="AV41" i="29"/>
  <c r="AY38" i="29"/>
  <c r="AY40" i="29" s="1"/>
  <c r="AZ38" i="29"/>
  <c r="BJ7" i="30"/>
  <c r="BJ14" i="30" s="1"/>
  <c r="BJ8" i="30"/>
  <c r="BJ15" i="30" s="1"/>
  <c r="BJ6" i="30"/>
  <c r="BJ13" i="30" s="1"/>
  <c r="BJ5" i="30"/>
  <c r="BJ12" i="30" s="1"/>
  <c r="BJ4" i="30"/>
  <c r="BJ11" i="30" s="1"/>
  <c r="BK3" i="30"/>
  <c r="BI39" i="29" l="1"/>
  <c r="CD144" i="1" s="1"/>
  <c r="BI9" i="29"/>
  <c r="BJ9" i="29"/>
  <c r="CM26" i="28"/>
  <c r="CM22" i="28"/>
  <c r="CD73" i="28"/>
  <c r="CX38" i="28"/>
  <c r="CX42" i="28"/>
  <c r="CX40" i="28"/>
  <c r="CY37" i="28"/>
  <c r="CE34" i="28"/>
  <c r="CE30" i="28"/>
  <c r="BZ6" i="24"/>
  <c r="BZ9" i="24" s="1"/>
  <c r="DG45" i="1" s="1"/>
  <c r="DG46" i="1" s="1"/>
  <c r="BY9" i="24"/>
  <c r="DF45" i="1" s="1"/>
  <c r="DF46" i="1" s="1"/>
  <c r="DE119" i="1"/>
  <c r="DD120" i="1"/>
  <c r="BJ39" i="29"/>
  <c r="CE144" i="1" s="1"/>
  <c r="CA2" i="29"/>
  <c r="BZ13" i="29"/>
  <c r="BZ14" i="29"/>
  <c r="BZ20" i="29"/>
  <c r="BZ33" i="29"/>
  <c r="BZ34" i="29"/>
  <c r="BZ17" i="29"/>
  <c r="BZ21" i="29"/>
  <c r="BZ27" i="29"/>
  <c r="BZ29" i="29"/>
  <c r="BZ30" i="29"/>
  <c r="BZ24" i="29"/>
  <c r="BZ22" i="29"/>
  <c r="BZ26" i="29"/>
  <c r="BZ25" i="29"/>
  <c r="BZ23" i="29"/>
  <c r="BZ19" i="29"/>
  <c r="BZ31" i="29"/>
  <c r="BZ11" i="29"/>
  <c r="BZ28" i="29"/>
  <c r="BZ15" i="29"/>
  <c r="BZ16" i="29"/>
  <c r="BZ18" i="29"/>
  <c r="BZ12" i="29"/>
  <c r="BZ35" i="29"/>
  <c r="BZ32" i="29"/>
  <c r="BZ10" i="29"/>
  <c r="AZ40" i="29"/>
  <c r="CF14" i="28"/>
  <c r="CF18" i="28"/>
  <c r="CE13" i="1"/>
  <c r="CD13" i="1"/>
  <c r="BQ17" i="30"/>
  <c r="CC72" i="28"/>
  <c r="CC73" i="28"/>
  <c r="CD31" i="28"/>
  <c r="CD72" i="28"/>
  <c r="CD35" i="28"/>
  <c r="CD71" i="28"/>
  <c r="CD33" i="28"/>
  <c r="CN21" i="28"/>
  <c r="CM24" i="28"/>
  <c r="CD47" i="28"/>
  <c r="CD49" i="28"/>
  <c r="CD51" i="28"/>
  <c r="CQ40" i="28"/>
  <c r="CF29" i="28"/>
  <c r="CE32" i="28"/>
  <c r="BY25" i="1"/>
  <c r="CF16" i="28"/>
  <c r="CG13" i="28"/>
  <c r="BK4" i="29"/>
  <c r="BU7" i="1"/>
  <c r="BT7" i="1"/>
  <c r="BU12" i="1"/>
  <c r="BT12" i="1"/>
  <c r="BT137" i="1" s="1"/>
  <c r="CM31" i="1"/>
  <c r="BB38" i="29"/>
  <c r="BA38" i="29"/>
  <c r="AX41" i="29"/>
  <c r="BE18" i="30"/>
  <c r="BK7" i="30"/>
  <c r="BK14" i="30" s="1"/>
  <c r="BK8" i="30"/>
  <c r="BK6" i="30"/>
  <c r="BK13" i="30" s="1"/>
  <c r="BK5" i="30"/>
  <c r="BK12" i="30" s="1"/>
  <c r="BL3" i="30"/>
  <c r="BK4" i="30"/>
  <c r="BK11" i="30" s="1"/>
  <c r="BK39" i="29" l="1"/>
  <c r="CF144" i="1" s="1"/>
  <c r="BK9" i="29"/>
  <c r="CN26" i="28"/>
  <c r="CN22" i="28"/>
  <c r="CY38" i="28"/>
  <c r="CY42" i="28"/>
  <c r="CZ37" i="28"/>
  <c r="CY40" i="28"/>
  <c r="CF30" i="28"/>
  <c r="CF34" i="28"/>
  <c r="CF71" i="28" s="1"/>
  <c r="DF119" i="1"/>
  <c r="DE120" i="1"/>
  <c r="CB2" i="29"/>
  <c r="CA13" i="29"/>
  <c r="CA28" i="29"/>
  <c r="CA21" i="29"/>
  <c r="CA33" i="29"/>
  <c r="CA34" i="29"/>
  <c r="CA17" i="29"/>
  <c r="CA14" i="29"/>
  <c r="CA30" i="29"/>
  <c r="CA25" i="29"/>
  <c r="CA22" i="29"/>
  <c r="CA26" i="29"/>
  <c r="CA27" i="29"/>
  <c r="CA23" i="29"/>
  <c r="CA18" i="29"/>
  <c r="CA24" i="29"/>
  <c r="CA19" i="29"/>
  <c r="CA16" i="29"/>
  <c r="CA15" i="29"/>
  <c r="CA31" i="29"/>
  <c r="CA32" i="29"/>
  <c r="CA10" i="29"/>
  <c r="CA12" i="29"/>
  <c r="CA35" i="29"/>
  <c r="CA11" i="29"/>
  <c r="CA29" i="29"/>
  <c r="CA20" i="29"/>
  <c r="BA40" i="29"/>
  <c r="BB40" i="29" s="1"/>
  <c r="CG14" i="28"/>
  <c r="CG18" i="28"/>
  <c r="BR17" i="30"/>
  <c r="CF13" i="1"/>
  <c r="BU137" i="1"/>
  <c r="CE31" i="28"/>
  <c r="CE35" i="28"/>
  <c r="CE33" i="28"/>
  <c r="CO21" i="28"/>
  <c r="CN24" i="28"/>
  <c r="CE47" i="28"/>
  <c r="CE48" i="28"/>
  <c r="CE49" i="28" s="1"/>
  <c r="CE51" i="28"/>
  <c r="CF48" i="28"/>
  <c r="CR40" i="28"/>
  <c r="CG29" i="28"/>
  <c r="CF32" i="28"/>
  <c r="BY11" i="1"/>
  <c r="CH13" i="28"/>
  <c r="CG16" i="28"/>
  <c r="BW7" i="1"/>
  <c r="BV7" i="1"/>
  <c r="BW12" i="1"/>
  <c r="BV12" i="1"/>
  <c r="CN31" i="1"/>
  <c r="BC38" i="29"/>
  <c r="BL8" i="30"/>
  <c r="BL15" i="30" s="1"/>
  <c r="BL6" i="30"/>
  <c r="BL13" i="30" s="1"/>
  <c r="BL7" i="30"/>
  <c r="BL14" i="30" s="1"/>
  <c r="BL5" i="30"/>
  <c r="BL12" i="30" s="1"/>
  <c r="BL4" i="30"/>
  <c r="BL11" i="30" s="1"/>
  <c r="BM3" i="30"/>
  <c r="BF18" i="30"/>
  <c r="BK15" i="30"/>
  <c r="BL4" i="29"/>
  <c r="AY41" i="29"/>
  <c r="BL39" i="29" l="1"/>
  <c r="CG144" i="1" s="1"/>
  <c r="BL9" i="29"/>
  <c r="CO22" i="28"/>
  <c r="CO26" i="28"/>
  <c r="CE73" i="28"/>
  <c r="CZ42" i="28"/>
  <c r="CZ38" i="28"/>
  <c r="DA37" i="28"/>
  <c r="CZ40" i="28"/>
  <c r="CG30" i="28"/>
  <c r="CG34" i="28"/>
  <c r="DG119" i="1"/>
  <c r="DG120" i="1" s="1"/>
  <c r="DF120" i="1"/>
  <c r="CC2" i="29"/>
  <c r="CB13" i="29"/>
  <c r="CB17" i="29"/>
  <c r="CB34" i="29"/>
  <c r="CB30" i="29"/>
  <c r="CB24" i="29"/>
  <c r="CB26" i="29"/>
  <c r="CB20" i="29"/>
  <c r="CB22" i="29"/>
  <c r="CB28" i="29"/>
  <c r="CB14" i="29"/>
  <c r="CB27" i="29"/>
  <c r="CB25" i="29"/>
  <c r="CB29" i="29"/>
  <c r="CB31" i="29"/>
  <c r="CB32" i="29"/>
  <c r="CB33" i="29"/>
  <c r="CB35" i="29"/>
  <c r="CB11" i="29"/>
  <c r="CB10" i="29"/>
  <c r="CB16" i="29"/>
  <c r="CB15" i="29"/>
  <c r="CB23" i="29"/>
  <c r="CB18" i="29"/>
  <c r="CB19" i="29"/>
  <c r="CB12" i="29"/>
  <c r="CB21" i="29"/>
  <c r="BC40" i="29"/>
  <c r="CH14" i="28"/>
  <c r="CH18" i="28"/>
  <c r="CG13" i="1"/>
  <c r="BV137" i="1"/>
  <c r="BW137" i="1" s="1"/>
  <c r="BS17" i="30"/>
  <c r="BT17" i="30" s="1"/>
  <c r="CE71" i="28"/>
  <c r="CE72" i="28"/>
  <c r="CF31" i="28"/>
  <c r="CF72" i="28"/>
  <c r="CF33" i="28"/>
  <c r="CF73" i="28"/>
  <c r="CP21" i="28"/>
  <c r="CO24" i="28"/>
  <c r="CF47" i="28"/>
  <c r="CF51" i="28"/>
  <c r="CF49" i="28"/>
  <c r="CS40" i="28"/>
  <c r="CH29" i="28"/>
  <c r="CG32" i="28"/>
  <c r="CH16" i="28"/>
  <c r="CI13" i="28"/>
  <c r="CF35" i="28"/>
  <c r="BX7" i="1"/>
  <c r="BX12" i="1"/>
  <c r="CO31" i="1"/>
  <c r="BD38" i="29"/>
  <c r="BY7" i="1" s="1"/>
  <c r="BG18" i="30"/>
  <c r="BM4" i="29"/>
  <c r="BM6" i="30"/>
  <c r="BM13" i="30" s="1"/>
  <c r="BM7" i="30"/>
  <c r="BM14" i="30" s="1"/>
  <c r="BM5" i="30"/>
  <c r="BM12" i="30" s="1"/>
  <c r="BM4" i="30"/>
  <c r="BM11" i="30" s="1"/>
  <c r="BM8" i="30"/>
  <c r="BM15" i="30" s="1"/>
  <c r="AZ41" i="29"/>
  <c r="BM39" i="29" l="1"/>
  <c r="CH144" i="1" s="1"/>
  <c r="BM9" i="29"/>
  <c r="CP22" i="28"/>
  <c r="CP26" i="28"/>
  <c r="DA38" i="28"/>
  <c r="DA42" i="28"/>
  <c r="DB37" i="28"/>
  <c r="DA40" i="28"/>
  <c r="CH34" i="28"/>
  <c r="CH30" i="28"/>
  <c r="CD2" i="29"/>
  <c r="CC13" i="29"/>
  <c r="CC25" i="29"/>
  <c r="CC18" i="29"/>
  <c r="CC28" i="29"/>
  <c r="CC29" i="29"/>
  <c r="CC24" i="29"/>
  <c r="CC27" i="29"/>
  <c r="CC17" i="29"/>
  <c r="CC22" i="29"/>
  <c r="CC21" i="29"/>
  <c r="CC34" i="29"/>
  <c r="CC30" i="29"/>
  <c r="CC19" i="29"/>
  <c r="CC20" i="29"/>
  <c r="CC16" i="29"/>
  <c r="CC31" i="29"/>
  <c r="CC33" i="29"/>
  <c r="CC32" i="29"/>
  <c r="CC11" i="29"/>
  <c r="CC15" i="29"/>
  <c r="CC23" i="29"/>
  <c r="CC12" i="29"/>
  <c r="CC26" i="29"/>
  <c r="CC35" i="29"/>
  <c r="CC14" i="29"/>
  <c r="CC10" i="29"/>
  <c r="BD40" i="29"/>
  <c r="CI14" i="28"/>
  <c r="CI18" i="28"/>
  <c r="BX137" i="1"/>
  <c r="CH13" i="1"/>
  <c r="BU17" i="30"/>
  <c r="CG71" i="28"/>
  <c r="CG31" i="28"/>
  <c r="CG33" i="28"/>
  <c r="CQ21" i="28"/>
  <c r="CP24" i="28"/>
  <c r="CH48" i="28"/>
  <c r="CG48" i="28"/>
  <c r="CG49" i="28" s="1"/>
  <c r="CG51" i="28"/>
  <c r="CG47" i="28"/>
  <c r="CT40" i="28"/>
  <c r="CI29" i="28"/>
  <c r="CH32" i="28"/>
  <c r="CG35" i="28"/>
  <c r="CJ13" i="28"/>
  <c r="CI16" i="28"/>
  <c r="BY12" i="1"/>
  <c r="CP31" i="1"/>
  <c r="BH18" i="30"/>
  <c r="BN8" i="30"/>
  <c r="BN15" i="30" s="1"/>
  <c r="BN6" i="30"/>
  <c r="BN13" i="30" s="1"/>
  <c r="BN5" i="30"/>
  <c r="BN12" i="30" s="1"/>
  <c r="BN4" i="30"/>
  <c r="BN11" i="30" s="1"/>
  <c r="BO3" i="30"/>
  <c r="BN7" i="30"/>
  <c r="BN14" i="30" s="1"/>
  <c r="BN4" i="29"/>
  <c r="BN9" i="29" s="1"/>
  <c r="BA41" i="29"/>
  <c r="BN39" i="29" l="1"/>
  <c r="CI144" i="1" s="1"/>
  <c r="CQ22" i="28"/>
  <c r="CQ26" i="28"/>
  <c r="DB38" i="28"/>
  <c r="DB42" i="28"/>
  <c r="DC37" i="28"/>
  <c r="DB40" i="28"/>
  <c r="CI34" i="28"/>
  <c r="CI30" i="28"/>
  <c r="CE2" i="29"/>
  <c r="CD13" i="29"/>
  <c r="CD25" i="29"/>
  <c r="CD18" i="29"/>
  <c r="CD28" i="29"/>
  <c r="CD29" i="29"/>
  <c r="CD20" i="29"/>
  <c r="CD21" i="29"/>
  <c r="CD33" i="29"/>
  <c r="CD34" i="29"/>
  <c r="CD24" i="29"/>
  <c r="CD19" i="29"/>
  <c r="CD27" i="29"/>
  <c r="CD14" i="29"/>
  <c r="CD17" i="29"/>
  <c r="CD16" i="29"/>
  <c r="CD31" i="29"/>
  <c r="CD26" i="29"/>
  <c r="CD32" i="29"/>
  <c r="CD35" i="29"/>
  <c r="CD15" i="29"/>
  <c r="CD30" i="29"/>
  <c r="CD22" i="29"/>
  <c r="CD23" i="29"/>
  <c r="CD10" i="29"/>
  <c r="CD11" i="29"/>
  <c r="CD12" i="29"/>
  <c r="CJ18" i="28"/>
  <c r="CJ14" i="28"/>
  <c r="BY137" i="1"/>
  <c r="CI13" i="1"/>
  <c r="BV17" i="30"/>
  <c r="CH71" i="28"/>
  <c r="CG73" i="28"/>
  <c r="CG72" i="28"/>
  <c r="CH31" i="28"/>
  <c r="CH72" i="28"/>
  <c r="CH33" i="28"/>
  <c r="CH73" i="28"/>
  <c r="CR21" i="28"/>
  <c r="CQ24" i="28"/>
  <c r="CH49" i="28"/>
  <c r="CH47" i="28"/>
  <c r="CH51" i="28"/>
  <c r="CU40" i="28"/>
  <c r="CJ29" i="28"/>
  <c r="CI32" i="28"/>
  <c r="CH35" i="28"/>
  <c r="CJ16" i="28"/>
  <c r="CK13" i="28"/>
  <c r="CQ31" i="1"/>
  <c r="BG38" i="29"/>
  <c r="BE38" i="29"/>
  <c r="BE40" i="29" s="1"/>
  <c r="BF38" i="29"/>
  <c r="BO7" i="30"/>
  <c r="BO14" i="30" s="1"/>
  <c r="BO4" i="30"/>
  <c r="BO11" i="30" s="1"/>
  <c r="BP3" i="30"/>
  <c r="BO8" i="30"/>
  <c r="BO15" i="30" s="1"/>
  <c r="BO5" i="30"/>
  <c r="BO12" i="30" s="1"/>
  <c r="BO6" i="30"/>
  <c r="BO13" i="30" s="1"/>
  <c r="BI18" i="30"/>
  <c r="BB41" i="29"/>
  <c r="CR22" i="28" l="1"/>
  <c r="CR26" i="28"/>
  <c r="DC38" i="28"/>
  <c r="DC42" i="28"/>
  <c r="DD37" i="28"/>
  <c r="DC40" i="28"/>
  <c r="CJ34" i="28"/>
  <c r="CJ71" i="28" s="1"/>
  <c r="CJ30" i="28"/>
  <c r="CF2" i="29"/>
  <c r="CE13" i="29"/>
  <c r="CE29" i="29"/>
  <c r="CE20" i="29"/>
  <c r="CE21" i="29"/>
  <c r="CE25" i="29"/>
  <c r="CE33" i="29"/>
  <c r="CE34" i="29"/>
  <c r="CE24" i="29"/>
  <c r="CE14" i="29"/>
  <c r="CE28" i="29"/>
  <c r="CE26" i="29"/>
  <c r="CE27" i="29"/>
  <c r="CE35" i="29"/>
  <c r="CE15" i="29"/>
  <c r="CE32" i="29"/>
  <c r="CE18" i="29"/>
  <c r="CE19" i="29"/>
  <c r="CE23" i="29"/>
  <c r="CE22" i="29"/>
  <c r="CE16" i="29"/>
  <c r="CE11" i="29"/>
  <c r="CE17" i="29"/>
  <c r="CE31" i="29"/>
  <c r="CE30" i="29"/>
  <c r="CE12" i="29"/>
  <c r="CE10" i="29"/>
  <c r="BF40" i="29"/>
  <c r="BG40" i="29" s="1"/>
  <c r="CK18" i="28"/>
  <c r="CK14" i="28"/>
  <c r="BW17" i="30"/>
  <c r="CI33" i="28"/>
  <c r="CI31" i="28"/>
  <c r="CI72" i="28"/>
  <c r="CS21" i="28"/>
  <c r="CR24" i="28"/>
  <c r="CI51" i="28"/>
  <c r="CI48" i="28"/>
  <c r="CI49" i="28" s="1"/>
  <c r="CI47" i="28"/>
  <c r="CJ48" i="28"/>
  <c r="CV40" i="28"/>
  <c r="CK29" i="28"/>
  <c r="CJ32" i="28"/>
  <c r="CI35" i="28"/>
  <c r="CK16" i="28"/>
  <c r="CL13" i="28"/>
  <c r="CB7" i="1"/>
  <c r="CA7" i="1"/>
  <c r="BP4" i="29"/>
  <c r="BO4" i="29"/>
  <c r="CA12" i="1"/>
  <c r="BZ12" i="1"/>
  <c r="BZ137" i="1" s="1"/>
  <c r="CB12" i="1"/>
  <c r="CR31" i="1"/>
  <c r="BP7" i="30"/>
  <c r="BP14" i="30" s="1"/>
  <c r="BP8" i="30"/>
  <c r="BP15" i="30" s="1"/>
  <c r="BQ3" i="30"/>
  <c r="BP6" i="30"/>
  <c r="BP13" i="30" s="1"/>
  <c r="BP5" i="30"/>
  <c r="BP12" i="30" s="1"/>
  <c r="BP4" i="30"/>
  <c r="BP11" i="30" s="1"/>
  <c r="BK18" i="30"/>
  <c r="BJ18" i="30"/>
  <c r="BC41" i="29"/>
  <c r="BO39" i="29" l="1"/>
  <c r="CJ144" i="1" s="1"/>
  <c r="BP9" i="29"/>
  <c r="BO9" i="29"/>
  <c r="CS26" i="28"/>
  <c r="CS22" i="28"/>
  <c r="DD38" i="28"/>
  <c r="DD42" i="28"/>
  <c r="DD40" i="28"/>
  <c r="DE37" i="28"/>
  <c r="CK34" i="28"/>
  <c r="CK30" i="28"/>
  <c r="BP39" i="29"/>
  <c r="CK144" i="1" s="1"/>
  <c r="CG2" i="29"/>
  <c r="CF13" i="29"/>
  <c r="CF21" i="29"/>
  <c r="CF34" i="29"/>
  <c r="CF24" i="29"/>
  <c r="CF33" i="29"/>
  <c r="CF14" i="29"/>
  <c r="CF25" i="29"/>
  <c r="CF18" i="29"/>
  <c r="CF17" i="29"/>
  <c r="CF35" i="29"/>
  <c r="CF29" i="29"/>
  <c r="CF20" i="29"/>
  <c r="CF30" i="29"/>
  <c r="CF22" i="29"/>
  <c r="CF32" i="29"/>
  <c r="CF15" i="29"/>
  <c r="CF23" i="29"/>
  <c r="CF28" i="29"/>
  <c r="CF27" i="29"/>
  <c r="CF31" i="29"/>
  <c r="CF16" i="29"/>
  <c r="CF12" i="29"/>
  <c r="CF10" i="29"/>
  <c r="CF19" i="29"/>
  <c r="CF11" i="29"/>
  <c r="CF26" i="29"/>
  <c r="CA137" i="1"/>
  <c r="CB137" i="1" s="1"/>
  <c r="CL18" i="28"/>
  <c r="CL14" i="28"/>
  <c r="CJ13" i="1"/>
  <c r="CK13" i="1"/>
  <c r="BX17" i="30"/>
  <c r="BY17" i="30" s="1"/>
  <c r="CI71" i="28"/>
  <c r="CI73" i="28"/>
  <c r="CJ31" i="28"/>
  <c r="CJ72" i="28"/>
  <c r="CJ33" i="28"/>
  <c r="CJ73" i="28"/>
  <c r="CT21" i="28"/>
  <c r="CS24" i="28"/>
  <c r="CJ47" i="28"/>
  <c r="CJ49" i="28"/>
  <c r="CJ51" i="28"/>
  <c r="CL29" i="28"/>
  <c r="CK32" i="28"/>
  <c r="CJ35" i="28"/>
  <c r="CD6" i="1"/>
  <c r="CC6" i="1"/>
  <c r="CL16" i="28"/>
  <c r="CM13" i="28"/>
  <c r="BZ7" i="1"/>
  <c r="CS31" i="1"/>
  <c r="BQ4" i="29"/>
  <c r="BQ7" i="30"/>
  <c r="BQ14" i="30" s="1"/>
  <c r="BQ8" i="30"/>
  <c r="BQ15" i="30" s="1"/>
  <c r="BQ6" i="30"/>
  <c r="BQ13" i="30" s="1"/>
  <c r="BQ5" i="30"/>
  <c r="BQ12" i="30" s="1"/>
  <c r="BR3" i="30"/>
  <c r="BQ4" i="30"/>
  <c r="BQ11" i="30" s="1"/>
  <c r="BM18" i="30"/>
  <c r="BL18" i="30"/>
  <c r="BD41" i="29"/>
  <c r="BQ39" i="29" l="1"/>
  <c r="CL144" i="1" s="1"/>
  <c r="BQ9" i="29"/>
  <c r="CT26" i="28"/>
  <c r="CT22" i="28"/>
  <c r="DE38" i="28"/>
  <c r="DE42" i="28"/>
  <c r="DF37" i="28"/>
  <c r="DE40" i="28"/>
  <c r="CL34" i="28"/>
  <c r="CL71" i="28" s="1"/>
  <c r="CL30" i="28"/>
  <c r="CH2" i="29"/>
  <c r="CG13" i="29"/>
  <c r="CG14" i="29"/>
  <c r="CG33" i="29"/>
  <c r="CG17" i="29"/>
  <c r="CG34" i="29"/>
  <c r="CG19" i="29"/>
  <c r="CG28" i="29"/>
  <c r="CG30" i="29"/>
  <c r="CG25" i="29"/>
  <c r="CG22" i="29"/>
  <c r="CG26" i="29"/>
  <c r="CG24" i="29"/>
  <c r="CG35" i="29"/>
  <c r="CG20" i="29"/>
  <c r="CG27" i="29"/>
  <c r="CG23" i="29"/>
  <c r="CG21" i="29"/>
  <c r="CG29" i="29"/>
  <c r="CG15" i="29"/>
  <c r="CG10" i="29"/>
  <c r="CG11" i="29"/>
  <c r="CG31" i="29"/>
  <c r="CG12" i="29"/>
  <c r="CG16" i="29"/>
  <c r="CG32" i="29"/>
  <c r="CG18" i="29"/>
  <c r="CM14" i="28"/>
  <c r="CM18" i="28"/>
  <c r="BZ17" i="30"/>
  <c r="CL13" i="1"/>
  <c r="CK31" i="28"/>
  <c r="CK72" i="28"/>
  <c r="CK33" i="28"/>
  <c r="CU21" i="28"/>
  <c r="CT24" i="28"/>
  <c r="CL48" i="28"/>
  <c r="CK47" i="28"/>
  <c r="CK51" i="28"/>
  <c r="CK48" i="28"/>
  <c r="CK49" i="28" s="1"/>
  <c r="CM29" i="28"/>
  <c r="CL32" i="28"/>
  <c r="CK35" i="28"/>
  <c r="CE6" i="1"/>
  <c r="CM16" i="28"/>
  <c r="CN13" i="28"/>
  <c r="BR4" i="29"/>
  <c r="CT31" i="1"/>
  <c r="BH38" i="29"/>
  <c r="BH40" i="29" s="1"/>
  <c r="BR7" i="30"/>
  <c r="BR14" i="30" s="1"/>
  <c r="BR8" i="30"/>
  <c r="BR15" i="30" s="1"/>
  <c r="BR6" i="30"/>
  <c r="BR13" i="30" s="1"/>
  <c r="BR4" i="30"/>
  <c r="BR11" i="30" s="1"/>
  <c r="BR5" i="30"/>
  <c r="BR12" i="30" s="1"/>
  <c r="BS3" i="30"/>
  <c r="BN18" i="30"/>
  <c r="BR9" i="29" l="1"/>
  <c r="BR39" i="29"/>
  <c r="CM144" i="1" s="1"/>
  <c r="CU26" i="28"/>
  <c r="CU22" i="28"/>
  <c r="CK73" i="28"/>
  <c r="DF38" i="28"/>
  <c r="DF42" i="28"/>
  <c r="DG37" i="28"/>
  <c r="DF40" i="28"/>
  <c r="CM34" i="28"/>
  <c r="CM30" i="28"/>
  <c r="CI2" i="29"/>
  <c r="CH13" i="29"/>
  <c r="CH33" i="29"/>
  <c r="CH34" i="29"/>
  <c r="CH17" i="29"/>
  <c r="CH29" i="29"/>
  <c r="CH30" i="29"/>
  <c r="CH20" i="29"/>
  <c r="CH24" i="29"/>
  <c r="CH22" i="29"/>
  <c r="CH26" i="29"/>
  <c r="CH25" i="29"/>
  <c r="CH23" i="29"/>
  <c r="CH21" i="29"/>
  <c r="CH35" i="29"/>
  <c r="CH27" i="29"/>
  <c r="CH16" i="29"/>
  <c r="CH18" i="29"/>
  <c r="CH10" i="29"/>
  <c r="CH32" i="29"/>
  <c r="CH31" i="29"/>
  <c r="CH19" i="29"/>
  <c r="CH11" i="29"/>
  <c r="CH28" i="29"/>
  <c r="CH14" i="29"/>
  <c r="CH15" i="29"/>
  <c r="CH12" i="29"/>
  <c r="CN14" i="28"/>
  <c r="CN18" i="28"/>
  <c r="CM13" i="1"/>
  <c r="CA17" i="30"/>
  <c r="CK71" i="28"/>
  <c r="CL33" i="28"/>
  <c r="CL73" i="28"/>
  <c r="CL31" i="28"/>
  <c r="CL72" i="28"/>
  <c r="CV21" i="28"/>
  <c r="CU24" i="28"/>
  <c r="CL51" i="28"/>
  <c r="CL49" i="28"/>
  <c r="CL47" i="28"/>
  <c r="CN29" i="28"/>
  <c r="CM32" i="28"/>
  <c r="CL35" i="28"/>
  <c r="CO13" i="28"/>
  <c r="CN16" i="28"/>
  <c r="BS4" i="29"/>
  <c r="CC12" i="1"/>
  <c r="CC137" i="1" s="1"/>
  <c r="CU31" i="1"/>
  <c r="BE41" i="29"/>
  <c r="BS7" i="30"/>
  <c r="BS14" i="30" s="1"/>
  <c r="BS8" i="30"/>
  <c r="BS6" i="30"/>
  <c r="BS13" i="30" s="1"/>
  <c r="BS5" i="30"/>
  <c r="BS12" i="30" s="1"/>
  <c r="BT3" i="30"/>
  <c r="BS4" i="30"/>
  <c r="BS11" i="30" s="1"/>
  <c r="BO18" i="30"/>
  <c r="BF41" i="29"/>
  <c r="BS39" i="29" l="1"/>
  <c r="CN144" i="1" s="1"/>
  <c r="BS9" i="29"/>
  <c r="CW21" i="28"/>
  <c r="CV26" i="28"/>
  <c r="CV22" i="28"/>
  <c r="DG38" i="28"/>
  <c r="DG42" i="28"/>
  <c r="DH37" i="28"/>
  <c r="DG40" i="28"/>
  <c r="CN30" i="28"/>
  <c r="CN34" i="28"/>
  <c r="CJ2" i="29"/>
  <c r="CI13" i="29"/>
  <c r="CI17" i="29"/>
  <c r="CI28" i="29"/>
  <c r="CI33" i="29"/>
  <c r="CI30" i="29"/>
  <c r="CI25" i="29"/>
  <c r="CI22" i="29"/>
  <c r="CI26" i="29"/>
  <c r="CI21" i="29"/>
  <c r="CI18" i="29"/>
  <c r="CI24" i="29"/>
  <c r="CI19" i="29"/>
  <c r="CI34" i="29"/>
  <c r="CI16" i="29"/>
  <c r="CI31" i="29"/>
  <c r="CI29" i="29"/>
  <c r="CI20" i="29"/>
  <c r="CI27" i="29"/>
  <c r="CI32" i="29"/>
  <c r="CI12" i="29"/>
  <c r="CI35" i="29"/>
  <c r="CI23" i="29"/>
  <c r="CI14" i="29"/>
  <c r="CI11" i="29"/>
  <c r="CI10" i="29"/>
  <c r="CI15" i="29"/>
  <c r="CO18" i="28"/>
  <c r="CO14" i="28"/>
  <c r="CN13" i="1"/>
  <c r="CB17" i="30"/>
  <c r="CX21" i="28"/>
  <c r="CW24" i="28"/>
  <c r="CM71" i="28"/>
  <c r="CM31" i="28"/>
  <c r="CM72" i="28"/>
  <c r="CM33" i="28"/>
  <c r="CM35" i="28"/>
  <c r="CV24" i="28"/>
  <c r="CM47" i="28"/>
  <c r="CM48" i="28"/>
  <c r="CM49" i="28" s="1"/>
  <c r="CM51" i="28"/>
  <c r="CO29" i="28"/>
  <c r="CN32" i="28"/>
  <c r="CP13" i="28"/>
  <c r="CO16" i="28"/>
  <c r="CC7" i="1"/>
  <c r="CC9" i="1" s="1"/>
  <c r="CV31" i="1"/>
  <c r="BJ38" i="29"/>
  <c r="BK38" i="29"/>
  <c r="BI38" i="29"/>
  <c r="BI40" i="29" s="1"/>
  <c r="BS15" i="30"/>
  <c r="BT4" i="29"/>
  <c r="BT8" i="30"/>
  <c r="BT15" i="30" s="1"/>
  <c r="BT6" i="30"/>
  <c r="BT13" i="30" s="1"/>
  <c r="BT5" i="30"/>
  <c r="BT12" i="30" s="1"/>
  <c r="BT4" i="30"/>
  <c r="BT11" i="30" s="1"/>
  <c r="BU3" i="30"/>
  <c r="BT7" i="30"/>
  <c r="BT14" i="30" s="1"/>
  <c r="BG41" i="29"/>
  <c r="BT9" i="29" l="1"/>
  <c r="BT39" i="29"/>
  <c r="CO144" i="1" s="1"/>
  <c r="CX22" i="28"/>
  <c r="CX26" i="28"/>
  <c r="CW22" i="28"/>
  <c r="CW26" i="28"/>
  <c r="DH42" i="28"/>
  <c r="DH38" i="28"/>
  <c r="DH40" i="28"/>
  <c r="CO30" i="28"/>
  <c r="CO34" i="28"/>
  <c r="CK2" i="29"/>
  <c r="CJ13" i="29"/>
  <c r="CJ28" i="29"/>
  <c r="CJ17" i="29"/>
  <c r="CJ25" i="29"/>
  <c r="CJ29" i="29"/>
  <c r="CJ18" i="29"/>
  <c r="CJ24" i="29"/>
  <c r="CJ22" i="29"/>
  <c r="CJ26" i="29"/>
  <c r="CJ20" i="29"/>
  <c r="CJ14" i="29"/>
  <c r="CJ33" i="29"/>
  <c r="CJ19" i="29"/>
  <c r="CJ34" i="29"/>
  <c r="CJ31" i="29"/>
  <c r="CJ35" i="29"/>
  <c r="CJ11" i="29"/>
  <c r="CJ27" i="29"/>
  <c r="CJ16" i="29"/>
  <c r="CJ15" i="29"/>
  <c r="CJ23" i="29"/>
  <c r="CJ21" i="29"/>
  <c r="CJ12" i="29"/>
  <c r="CJ30" i="29"/>
  <c r="CJ32" i="29"/>
  <c r="CJ10" i="29"/>
  <c r="BJ40" i="29"/>
  <c r="BK40" i="29" s="1"/>
  <c r="CP14" i="28"/>
  <c r="CP18" i="28"/>
  <c r="CO13" i="1"/>
  <c r="CC17" i="30"/>
  <c r="CY21" i="28"/>
  <c r="CX24" i="28"/>
  <c r="CM73" i="28"/>
  <c r="CN33" i="28"/>
  <c r="CN35" i="28"/>
  <c r="CN71" i="28"/>
  <c r="CN31" i="28"/>
  <c r="CN48" i="28"/>
  <c r="CN49" i="28" s="1"/>
  <c r="CN47" i="28"/>
  <c r="CN51" i="28"/>
  <c r="CP29" i="28"/>
  <c r="CO32" i="28"/>
  <c r="CP16" i="28"/>
  <c r="CQ13" i="28"/>
  <c r="CF7" i="1"/>
  <c r="CE7" i="1"/>
  <c r="CE9" i="1" s="1"/>
  <c r="CD7" i="1"/>
  <c r="CD9" i="1" s="1"/>
  <c r="CE12" i="1"/>
  <c r="CD12" i="1"/>
  <c r="CD137" i="1" s="1"/>
  <c r="CF12" i="1"/>
  <c r="CW31" i="1"/>
  <c r="BU6" i="30"/>
  <c r="BU13" i="30" s="1"/>
  <c r="BU7" i="30"/>
  <c r="BU14" i="30" s="1"/>
  <c r="BU8" i="30"/>
  <c r="BU15" i="30" s="1"/>
  <c r="BU5" i="30"/>
  <c r="BU12" i="30" s="1"/>
  <c r="BU4" i="30"/>
  <c r="BU11" i="30" s="1"/>
  <c r="BV3" i="30"/>
  <c r="BP18" i="30"/>
  <c r="CY22" i="28" l="1"/>
  <c r="CY26" i="28"/>
  <c r="CP34" i="28"/>
  <c r="CP30" i="28"/>
  <c r="CL2" i="29"/>
  <c r="CK13" i="29"/>
  <c r="CK29" i="29"/>
  <c r="CK25" i="29"/>
  <c r="CK18" i="29"/>
  <c r="CK28" i="29"/>
  <c r="CK24" i="29"/>
  <c r="CK14" i="29"/>
  <c r="CK20" i="29"/>
  <c r="CK17" i="29"/>
  <c r="CK22" i="29"/>
  <c r="CK21" i="29"/>
  <c r="CK34" i="29"/>
  <c r="CK19" i="29"/>
  <c r="CK30" i="29"/>
  <c r="CK31" i="29"/>
  <c r="CK12" i="29"/>
  <c r="CK33" i="29"/>
  <c r="CK16" i="29"/>
  <c r="CK32" i="29"/>
  <c r="CK35" i="29"/>
  <c r="CK23" i="29"/>
  <c r="CK27" i="29"/>
  <c r="CK11" i="29"/>
  <c r="CK15" i="29"/>
  <c r="CK26" i="29"/>
  <c r="CK10" i="29"/>
  <c r="CQ14" i="28"/>
  <c r="CQ18" i="28"/>
  <c r="CD17" i="30"/>
  <c r="CE137" i="1"/>
  <c r="CF137" i="1" s="1"/>
  <c r="CZ21" i="28"/>
  <c r="CY24" i="28"/>
  <c r="CN72" i="28"/>
  <c r="CN73" i="28"/>
  <c r="CO35" i="28"/>
  <c r="CO71" i="28"/>
  <c r="CO33" i="28"/>
  <c r="CO31" i="28"/>
  <c r="CO72" i="28"/>
  <c r="CO51" i="28"/>
  <c r="CO48" i="28"/>
  <c r="CO49" i="28" s="1"/>
  <c r="CO47" i="28"/>
  <c r="CQ29" i="28"/>
  <c r="CP32" i="28"/>
  <c r="CQ16" i="28"/>
  <c r="CR13" i="28"/>
  <c r="BV4" i="29"/>
  <c r="BU4" i="29"/>
  <c r="CX31" i="1"/>
  <c r="BN38" i="29"/>
  <c r="BM38" i="29"/>
  <c r="BL38" i="29"/>
  <c r="BL40" i="29" s="1"/>
  <c r="BI41" i="29"/>
  <c r="BH41" i="29"/>
  <c r="BV8" i="30"/>
  <c r="BV15" i="30" s="1"/>
  <c r="BV5" i="30"/>
  <c r="BV12" i="30" s="1"/>
  <c r="BV4" i="30"/>
  <c r="BV11" i="30" s="1"/>
  <c r="BV6" i="30"/>
  <c r="BV13" i="30" s="1"/>
  <c r="BW3" i="30"/>
  <c r="BV7" i="30"/>
  <c r="BV14" i="30" s="1"/>
  <c r="BQ18" i="30"/>
  <c r="BO38" i="29"/>
  <c r="BU39" i="29" l="1"/>
  <c r="CP144" i="1" s="1"/>
  <c r="BU9" i="29"/>
  <c r="BV9" i="29"/>
  <c r="CZ22" i="28"/>
  <c r="CZ26" i="28"/>
  <c r="CQ34" i="28"/>
  <c r="CQ30" i="28"/>
  <c r="BV39" i="29"/>
  <c r="CQ144" i="1" s="1"/>
  <c r="CL13" i="29"/>
  <c r="CL28" i="29"/>
  <c r="CL14" i="29"/>
  <c r="CL29" i="29"/>
  <c r="CL20" i="29"/>
  <c r="CL21" i="29"/>
  <c r="CL33" i="29"/>
  <c r="CL34" i="29"/>
  <c r="CL25" i="29"/>
  <c r="CL30" i="29"/>
  <c r="CL27" i="29"/>
  <c r="CL17" i="29"/>
  <c r="CL18" i="29"/>
  <c r="CL26" i="29"/>
  <c r="CL19" i="29"/>
  <c r="CL32" i="29"/>
  <c r="CL24" i="29"/>
  <c r="CL35" i="29"/>
  <c r="CL22" i="29"/>
  <c r="CL15" i="29"/>
  <c r="CL23" i="29"/>
  <c r="CL11" i="29"/>
  <c r="CL31" i="29"/>
  <c r="CL10" i="29"/>
  <c r="CL16" i="29"/>
  <c r="CL12" i="29"/>
  <c r="BM40" i="29"/>
  <c r="BN40" i="29" s="1"/>
  <c r="BO40" i="29" s="1"/>
  <c r="CR18" i="28"/>
  <c r="CR14" i="28"/>
  <c r="CP13" i="1"/>
  <c r="CQ13" i="1"/>
  <c r="CE17" i="30"/>
  <c r="CF17" i="30" s="1"/>
  <c r="DA21" i="28"/>
  <c r="CZ24" i="28"/>
  <c r="CO73" i="28"/>
  <c r="CP35" i="28"/>
  <c r="CP33" i="28"/>
  <c r="CP31" i="28"/>
  <c r="CP72" i="28"/>
  <c r="CP51" i="28"/>
  <c r="CP47" i="28"/>
  <c r="CP48" i="28"/>
  <c r="CP49" i="28" s="1"/>
  <c r="CR29" i="28"/>
  <c r="CQ32" i="28"/>
  <c r="CR16" i="28"/>
  <c r="CS13" i="28"/>
  <c r="CJ7" i="1"/>
  <c r="CH7" i="1"/>
  <c r="CG7" i="1"/>
  <c r="CI7" i="1"/>
  <c r="CJ12" i="1"/>
  <c r="CG12" i="1"/>
  <c r="CG137" i="1" s="1"/>
  <c r="CH12" i="1"/>
  <c r="CI12" i="1"/>
  <c r="CY31" i="1"/>
  <c r="BW4" i="29"/>
  <c r="BW9" i="29" s="1"/>
  <c r="BK41" i="29"/>
  <c r="BJ41" i="29"/>
  <c r="BW7" i="30"/>
  <c r="BW14" i="30" s="1"/>
  <c r="BW5" i="30"/>
  <c r="BW12" i="30" s="1"/>
  <c r="BW4" i="30"/>
  <c r="BW11" i="30" s="1"/>
  <c r="BW8" i="30"/>
  <c r="BX3" i="30"/>
  <c r="BW6" i="30"/>
  <c r="BW13" i="30" s="1"/>
  <c r="BR18" i="30"/>
  <c r="BS18" i="30"/>
  <c r="BW39" i="29" l="1"/>
  <c r="CR144" i="1" s="1"/>
  <c r="DA26" i="28"/>
  <c r="DA22" i="28"/>
  <c r="CR34" i="28"/>
  <c r="CR30" i="28"/>
  <c r="CS18" i="28"/>
  <c r="CS14" i="28"/>
  <c r="CH137" i="1"/>
  <c r="CI137" i="1" s="1"/>
  <c r="CJ137" i="1" s="1"/>
  <c r="CG17" i="30"/>
  <c r="CH17" i="30" s="1"/>
  <c r="CR13" i="1"/>
  <c r="DB21" i="28"/>
  <c r="DA24" i="28"/>
  <c r="CP73" i="28"/>
  <c r="CP71" i="28"/>
  <c r="CQ35" i="28"/>
  <c r="CQ71" i="28"/>
  <c r="CQ31" i="28"/>
  <c r="CQ33" i="28"/>
  <c r="CQ47" i="28"/>
  <c r="CQ48" i="28"/>
  <c r="CQ49" i="28" s="1"/>
  <c r="CQ51" i="28"/>
  <c r="CR48" i="28"/>
  <c r="CS29" i="28"/>
  <c r="CR32" i="28"/>
  <c r="CS16" i="28"/>
  <c r="CT13" i="28"/>
  <c r="CZ31" i="1"/>
  <c r="BX7" i="30"/>
  <c r="BX14" i="30" s="1"/>
  <c r="BX8" i="30"/>
  <c r="BX15" i="30" s="1"/>
  <c r="BY3" i="30"/>
  <c r="BX6" i="30"/>
  <c r="BX13" i="30" s="1"/>
  <c r="BX5" i="30"/>
  <c r="BX12" i="30" s="1"/>
  <c r="BX4" i="30"/>
  <c r="BX11" i="30" s="1"/>
  <c r="BW15" i="30"/>
  <c r="BX4" i="29"/>
  <c r="BX9" i="29" s="1"/>
  <c r="BX39" i="29" l="1"/>
  <c r="CS144" i="1" s="1"/>
  <c r="DB26" i="28"/>
  <c r="DB22" i="28"/>
  <c r="CQ73" i="28"/>
  <c r="CS34" i="28"/>
  <c r="CS30" i="28"/>
  <c r="CT18" i="28"/>
  <c r="CT14" i="28"/>
  <c r="CS13" i="1"/>
  <c r="CI17" i="30"/>
  <c r="CJ17" i="30" s="1"/>
  <c r="CK17" i="30" s="1"/>
  <c r="DC21" i="28"/>
  <c r="DB24" i="28"/>
  <c r="CQ72" i="28"/>
  <c r="CR33" i="28"/>
  <c r="CR73" i="28"/>
  <c r="CR31" i="28"/>
  <c r="CR72" i="28"/>
  <c r="CR35" i="28"/>
  <c r="CR71" i="28"/>
  <c r="CR49" i="28"/>
  <c r="CR51" i="28"/>
  <c r="CR47" i="28"/>
  <c r="CT29" i="28"/>
  <c r="CS32" i="28"/>
  <c r="CU13" i="28"/>
  <c r="CT16" i="28"/>
  <c r="DA31" i="1"/>
  <c r="BL41" i="29"/>
  <c r="BY4" i="29"/>
  <c r="BY7" i="30"/>
  <c r="BY14" i="30" s="1"/>
  <c r="BY8" i="30"/>
  <c r="BY15" i="30" s="1"/>
  <c r="BY6" i="30"/>
  <c r="BY13" i="30" s="1"/>
  <c r="BZ3" i="30"/>
  <c r="BY5" i="30"/>
  <c r="BY12" i="30" s="1"/>
  <c r="BY4" i="30"/>
  <c r="BY11" i="30" s="1"/>
  <c r="BY39" i="29" l="1"/>
  <c r="CT144" i="1" s="1"/>
  <c r="BY9" i="29"/>
  <c r="DC26" i="28"/>
  <c r="DC22" i="28"/>
  <c r="CT34" i="28"/>
  <c r="CT30" i="28"/>
  <c r="CU14" i="28"/>
  <c r="CU18" i="28"/>
  <c r="CT13" i="1"/>
  <c r="DC24" i="28"/>
  <c r="DD21" i="28"/>
  <c r="CS31" i="28"/>
  <c r="CS33" i="28"/>
  <c r="CS51" i="28"/>
  <c r="CS47" i="28"/>
  <c r="CS48" i="28"/>
  <c r="CS49" i="28" s="1"/>
  <c r="CU29" i="28"/>
  <c r="CT32" i="28"/>
  <c r="CS35" i="28"/>
  <c r="CV13" i="28"/>
  <c r="CU16" i="28"/>
  <c r="DB31" i="1"/>
  <c r="BM41" i="29"/>
  <c r="BU18" i="30"/>
  <c r="BZ7" i="30"/>
  <c r="BZ14" i="30" s="1"/>
  <c r="BZ8" i="30"/>
  <c r="BZ15" i="30" s="1"/>
  <c r="BZ6" i="30"/>
  <c r="BZ13" i="30" s="1"/>
  <c r="BZ5" i="30"/>
  <c r="BZ12" i="30" s="1"/>
  <c r="BZ4" i="30"/>
  <c r="BZ11" i="30" s="1"/>
  <c r="CA3" i="30"/>
  <c r="BT18" i="30"/>
  <c r="BN41" i="29"/>
  <c r="DD26" i="28" l="1"/>
  <c r="DD22" i="28"/>
  <c r="CU34" i="28"/>
  <c r="CU30" i="28"/>
  <c r="CW13" i="28"/>
  <c r="CW16" i="28" s="1"/>
  <c r="CV14" i="28"/>
  <c r="CV18" i="28"/>
  <c r="DD24" i="28"/>
  <c r="DE21" i="28"/>
  <c r="CS72" i="28"/>
  <c r="CS73" i="28"/>
  <c r="CS71" i="28"/>
  <c r="CT31" i="28"/>
  <c r="CT72" i="28"/>
  <c r="CT33" i="28"/>
  <c r="CT47" i="28"/>
  <c r="CT48" i="28"/>
  <c r="CT49" i="28" s="1"/>
  <c r="CT51" i="28"/>
  <c r="CV29" i="28"/>
  <c r="CU32" i="28"/>
  <c r="CT35" i="28"/>
  <c r="CV16" i="28"/>
  <c r="CA4" i="29"/>
  <c r="BZ4" i="29"/>
  <c r="DC31" i="1"/>
  <c r="BP38" i="29"/>
  <c r="BP40" i="29" s="1"/>
  <c r="BQ38" i="29"/>
  <c r="CA7" i="30"/>
  <c r="CA14" i="30" s="1"/>
  <c r="CA8" i="30"/>
  <c r="CA15" i="30" s="1"/>
  <c r="CA6" i="30"/>
  <c r="CA13" i="30" s="1"/>
  <c r="CA5" i="30"/>
  <c r="CA12" i="30" s="1"/>
  <c r="CB3" i="30"/>
  <c r="CA4" i="30"/>
  <c r="CA11" i="30" s="1"/>
  <c r="BZ39" i="29" l="1"/>
  <c r="CU144" i="1" s="1"/>
  <c r="CA9" i="29"/>
  <c r="BZ9" i="29"/>
  <c r="DE22" i="28"/>
  <c r="DE26" i="28"/>
  <c r="CT73" i="28"/>
  <c r="CW29" i="28"/>
  <c r="CX29" i="28" s="1"/>
  <c r="CV30" i="28"/>
  <c r="CV34" i="28"/>
  <c r="CA39" i="29"/>
  <c r="CV144" i="1" s="1"/>
  <c r="BQ40" i="29"/>
  <c r="CX13" i="28"/>
  <c r="CX14" i="28" s="1"/>
  <c r="CW18" i="28"/>
  <c r="CW14" i="28"/>
  <c r="CU13" i="1"/>
  <c r="CV13" i="1"/>
  <c r="DF21" i="28"/>
  <c r="DE24" i="28"/>
  <c r="CT71" i="28"/>
  <c r="CU31" i="28"/>
  <c r="CU72" i="28"/>
  <c r="CW32" i="28"/>
  <c r="CU33" i="28"/>
  <c r="CU47" i="28"/>
  <c r="CU48" i="28"/>
  <c r="CU49" i="28" s="1"/>
  <c r="CU51" i="28"/>
  <c r="CV48" i="28"/>
  <c r="CV32" i="28"/>
  <c r="CU35" i="28"/>
  <c r="CL7" i="1"/>
  <c r="CL12" i="1"/>
  <c r="CK12" i="1"/>
  <c r="CK137" i="1" s="1"/>
  <c r="DD31" i="1"/>
  <c r="BO41" i="29"/>
  <c r="BR38" i="29"/>
  <c r="BS38" i="29"/>
  <c r="CB4" i="29"/>
  <c r="CB9" i="29" s="1"/>
  <c r="BW18" i="30"/>
  <c r="BV18" i="30"/>
  <c r="CB8" i="30"/>
  <c r="CB15" i="30" s="1"/>
  <c r="CB6" i="30"/>
  <c r="CB13" i="30" s="1"/>
  <c r="CB4" i="30"/>
  <c r="CB11" i="30" s="1"/>
  <c r="CB7" i="30"/>
  <c r="CB14" i="30" s="1"/>
  <c r="CB5" i="30"/>
  <c r="CB12" i="30" s="1"/>
  <c r="CC3" i="30"/>
  <c r="BP41" i="29"/>
  <c r="CB39" i="29" l="1"/>
  <c r="CW144" i="1" s="1"/>
  <c r="DF22" i="28"/>
  <c r="DF26" i="28"/>
  <c r="CU73" i="28"/>
  <c r="CX34" i="28"/>
  <c r="CX30" i="28"/>
  <c r="CW30" i="28"/>
  <c r="CW72" i="28" s="1"/>
  <c r="CW34" i="28"/>
  <c r="CW71" i="28" s="1"/>
  <c r="CX16" i="28"/>
  <c r="CY13" i="28"/>
  <c r="CY14" i="28" s="1"/>
  <c r="CX18" i="28"/>
  <c r="BR40" i="29"/>
  <c r="BS40" i="29" s="1"/>
  <c r="CL137" i="1"/>
  <c r="CW13" i="1"/>
  <c r="DF24" i="28"/>
  <c r="DG21" i="28"/>
  <c r="CV71" i="28"/>
  <c r="CU71" i="28"/>
  <c r="CY29" i="28"/>
  <c r="CX32" i="28"/>
  <c r="CV33" i="28"/>
  <c r="CW33" i="28" s="1"/>
  <c r="CV73" i="28"/>
  <c r="CW73" i="28"/>
  <c r="CV31" i="28"/>
  <c r="CW31" i="28" s="1"/>
  <c r="CV72" i="28"/>
  <c r="CV49" i="28"/>
  <c r="CW49" i="28" s="1"/>
  <c r="CX49" i="28" s="1"/>
  <c r="CY49" i="28" s="1"/>
  <c r="CZ49" i="28" s="1"/>
  <c r="DA49" i="28" s="1"/>
  <c r="DB49" i="28" s="1"/>
  <c r="DC49" i="28" s="1"/>
  <c r="DD49" i="28" s="1"/>
  <c r="DE49" i="28" s="1"/>
  <c r="DF49" i="28" s="1"/>
  <c r="DG49" i="28" s="1"/>
  <c r="DH49" i="28" s="1"/>
  <c r="CV51" i="28"/>
  <c r="CW51" i="28" s="1"/>
  <c r="CX51" i="28" s="1"/>
  <c r="CY51" i="28" s="1"/>
  <c r="CZ51" i="28" s="1"/>
  <c r="DA51" i="28" s="1"/>
  <c r="DB51" i="28" s="1"/>
  <c r="DC51" i="28" s="1"/>
  <c r="DD51" i="28" s="1"/>
  <c r="DE51" i="28" s="1"/>
  <c r="DF51" i="28" s="1"/>
  <c r="DG51" i="28" s="1"/>
  <c r="DH51" i="28" s="1"/>
  <c r="CV47" i="28"/>
  <c r="CW47" i="28" s="1"/>
  <c r="CX47" i="28" s="1"/>
  <c r="CY47" i="28" s="1"/>
  <c r="CZ47" i="28" s="1"/>
  <c r="DA47" i="28" s="1"/>
  <c r="DB47" i="28" s="1"/>
  <c r="DC47" i="28" s="1"/>
  <c r="DD47" i="28" s="1"/>
  <c r="DE47" i="28" s="1"/>
  <c r="DF47" i="28" s="1"/>
  <c r="DG47" i="28" s="1"/>
  <c r="DH47" i="28" s="1"/>
  <c r="CV35" i="28"/>
  <c r="CN7" i="1"/>
  <c r="CM7" i="1"/>
  <c r="CK7" i="1"/>
  <c r="CM12" i="1"/>
  <c r="CN12" i="1"/>
  <c r="DE31" i="1"/>
  <c r="CC4" i="29"/>
  <c r="BT38" i="29"/>
  <c r="BX18" i="30"/>
  <c r="CC6" i="30"/>
  <c r="CC13" i="30" s="1"/>
  <c r="CC4" i="30"/>
  <c r="CC11" i="30" s="1"/>
  <c r="CC7" i="30"/>
  <c r="CC14" i="30" s="1"/>
  <c r="CC8" i="30"/>
  <c r="CC15" i="30" s="1"/>
  <c r="CC5" i="30"/>
  <c r="CC12" i="30" s="1"/>
  <c r="CD3" i="30"/>
  <c r="CC39" i="29" l="1"/>
  <c r="CX144" i="1" s="1"/>
  <c r="CC9" i="29"/>
  <c r="DG22" i="28"/>
  <c r="DG26" i="28"/>
  <c r="CW35" i="28"/>
  <c r="CY30" i="28"/>
  <c r="CY34" i="28"/>
  <c r="CZ13" i="28"/>
  <c r="CZ14" i="28" s="1"/>
  <c r="CY18" i="28"/>
  <c r="CY16" i="28"/>
  <c r="BT40" i="29"/>
  <c r="CM137" i="1"/>
  <c r="CN137" i="1" s="1"/>
  <c r="CX13" i="1"/>
  <c r="DH21" i="28"/>
  <c r="DG24" i="28"/>
  <c r="CX73" i="28"/>
  <c r="CX33" i="28"/>
  <c r="CY32" i="28"/>
  <c r="CZ29" i="28"/>
  <c r="CX72" i="28"/>
  <c r="CX31" i="28"/>
  <c r="CX35" i="28"/>
  <c r="CX71" i="28"/>
  <c r="CQ6" i="1"/>
  <c r="CO12" i="1"/>
  <c r="CO7" i="1"/>
  <c r="DF31" i="1"/>
  <c r="CD4" i="29"/>
  <c r="BQ41" i="29"/>
  <c r="BY18" i="30"/>
  <c r="CD8" i="30"/>
  <c r="CD15" i="30" s="1"/>
  <c r="CD6" i="30"/>
  <c r="CD13" i="30" s="1"/>
  <c r="CD5" i="30"/>
  <c r="CD12" i="30" s="1"/>
  <c r="CD4" i="30"/>
  <c r="CD11" i="30" s="1"/>
  <c r="CE3" i="30"/>
  <c r="CD7" i="30"/>
  <c r="CD14" i="30" s="1"/>
  <c r="CZ16" i="28" l="1"/>
  <c r="CD39" i="29"/>
  <c r="CY144" i="1" s="1"/>
  <c r="CD9" i="29"/>
  <c r="CZ18" i="28"/>
  <c r="DA13" i="28"/>
  <c r="DA18" i="28" s="1"/>
  <c r="DH26" i="28"/>
  <c r="DH22" i="28"/>
  <c r="CZ34" i="28"/>
  <c r="CZ30" i="28"/>
  <c r="CO137" i="1"/>
  <c r="CY13" i="1"/>
  <c r="DH24" i="28"/>
  <c r="DA16" i="28"/>
  <c r="CY31" i="28"/>
  <c r="CY72" i="28"/>
  <c r="CZ32" i="28"/>
  <c r="DA29" i="28"/>
  <c r="CY73" i="28"/>
  <c r="CY33" i="28"/>
  <c r="CY35" i="28"/>
  <c r="CY71" i="28"/>
  <c r="CR6" i="1"/>
  <c r="DG31" i="1"/>
  <c r="CE4" i="29"/>
  <c r="CE9" i="29" s="1"/>
  <c r="BV38" i="29"/>
  <c r="BU38" i="29"/>
  <c r="BU40" i="29" s="1"/>
  <c r="BW38" i="29"/>
  <c r="BZ18" i="30"/>
  <c r="CE7" i="30"/>
  <c r="CE14" i="30" s="1"/>
  <c r="CE6" i="30"/>
  <c r="CE13" i="30" s="1"/>
  <c r="CE5" i="30"/>
  <c r="CE12" i="30" s="1"/>
  <c r="CE4" i="30"/>
  <c r="CE11" i="30" s="1"/>
  <c r="CF3" i="30"/>
  <c r="CE8" i="30"/>
  <c r="DB13" i="28" l="1"/>
  <c r="DB16" i="28" s="1"/>
  <c r="DA14" i="28"/>
  <c r="CE39" i="29"/>
  <c r="CZ144" i="1" s="1"/>
  <c r="DA34" i="28"/>
  <c r="DA30" i="28"/>
  <c r="BV40" i="29"/>
  <c r="BW40" i="29" s="1"/>
  <c r="DB18" i="28"/>
  <c r="DB14" i="28"/>
  <c r="CZ13" i="1"/>
  <c r="DC13" i="28"/>
  <c r="CZ35" i="28"/>
  <c r="CZ71" i="28"/>
  <c r="DB29" i="28"/>
  <c r="DA32" i="28"/>
  <c r="CZ33" i="28"/>
  <c r="CZ73" i="28"/>
  <c r="CZ31" i="28"/>
  <c r="CZ72" i="28"/>
  <c r="CR7" i="1"/>
  <c r="CR9" i="1" s="1"/>
  <c r="CQ7" i="1"/>
  <c r="CQ9" i="1" s="1"/>
  <c r="CQ12" i="1"/>
  <c r="CR12" i="1"/>
  <c r="CP12" i="1"/>
  <c r="CP137" i="1" s="1"/>
  <c r="BR41" i="29"/>
  <c r="CF7" i="30"/>
  <c r="CF14" i="30" s="1"/>
  <c r="CF8" i="30"/>
  <c r="CF15" i="30" s="1"/>
  <c r="CF6" i="30"/>
  <c r="CF13" i="30" s="1"/>
  <c r="CF5" i="30"/>
  <c r="CF12" i="30" s="1"/>
  <c r="CF4" i="30"/>
  <c r="CF11" i="30" s="1"/>
  <c r="CG3" i="30"/>
  <c r="CE15" i="30"/>
  <c r="CF4" i="29"/>
  <c r="BT41" i="29"/>
  <c r="CF9" i="29" l="1"/>
  <c r="CF39" i="29"/>
  <c r="DA144" i="1" s="1"/>
  <c r="DB34" i="28"/>
  <c r="DB30" i="28"/>
  <c r="DC14" i="28"/>
  <c r="DC18" i="28"/>
  <c r="DA13" i="1"/>
  <c r="CQ137" i="1"/>
  <c r="CR137" i="1" s="1"/>
  <c r="DC16" i="28"/>
  <c r="DD13" i="28"/>
  <c r="DA31" i="28"/>
  <c r="DA72" i="28"/>
  <c r="DA35" i="28"/>
  <c r="DA71" i="28"/>
  <c r="DA33" i="28"/>
  <c r="DA73" i="28"/>
  <c r="DC29" i="28"/>
  <c r="DB32" i="28"/>
  <c r="CP7" i="1"/>
  <c r="BS41" i="29"/>
  <c r="CB18" i="30"/>
  <c r="CA18" i="30"/>
  <c r="CG7" i="30"/>
  <c r="CG14" i="30" s="1"/>
  <c r="CG8" i="30"/>
  <c r="CG15" i="30" s="1"/>
  <c r="CG6" i="30"/>
  <c r="CG13" i="30" s="1"/>
  <c r="CG5" i="30"/>
  <c r="CG12" i="30" s="1"/>
  <c r="CG4" i="30"/>
  <c r="CG11" i="30" s="1"/>
  <c r="CH3" i="30"/>
  <c r="BV41" i="29"/>
  <c r="DC34" i="28" l="1"/>
  <c r="DC30" i="28"/>
  <c r="DD14" i="28"/>
  <c r="DD18" i="28"/>
  <c r="DE13" i="28"/>
  <c r="DD16" i="28"/>
  <c r="DB31" i="28"/>
  <c r="DB72" i="28"/>
  <c r="DB33" i="28"/>
  <c r="DB73" i="28"/>
  <c r="DB35" i="28"/>
  <c r="DB71" i="28"/>
  <c r="DD29" i="28"/>
  <c r="DC32" i="28"/>
  <c r="CH4" i="29"/>
  <c r="CG4" i="29"/>
  <c r="BU41" i="29"/>
  <c r="CD18" i="30"/>
  <c r="CH7" i="30"/>
  <c r="CH14" i="30" s="1"/>
  <c r="CH8" i="30"/>
  <c r="CH15" i="30" s="1"/>
  <c r="CH6" i="30"/>
  <c r="CH13" i="30" s="1"/>
  <c r="CH5" i="30"/>
  <c r="CH12" i="30" s="1"/>
  <c r="CH4" i="30"/>
  <c r="CH11" i="30" s="1"/>
  <c r="CI3" i="30"/>
  <c r="CC18" i="30"/>
  <c r="BW41" i="29"/>
  <c r="CG39" i="29" l="1"/>
  <c r="DB144" i="1" s="1"/>
  <c r="CG9" i="29"/>
  <c r="CH9" i="29"/>
  <c r="DD30" i="28"/>
  <c r="DD34" i="28"/>
  <c r="CH39" i="29"/>
  <c r="DC144" i="1" s="1"/>
  <c r="DE18" i="28"/>
  <c r="DE14" i="28"/>
  <c r="DB13" i="1"/>
  <c r="DC13" i="1"/>
  <c r="DF13" i="28"/>
  <c r="DE16" i="28"/>
  <c r="DC31" i="28"/>
  <c r="DC72" i="28"/>
  <c r="DE29" i="28"/>
  <c r="DD32" i="28"/>
  <c r="DC33" i="28"/>
  <c r="DC73" i="28"/>
  <c r="DC35" i="28"/>
  <c r="DC71" i="28"/>
  <c r="CI4" i="29"/>
  <c r="CI9" i="29" s="1"/>
  <c r="BX38" i="29"/>
  <c r="BX40" i="29" s="1"/>
  <c r="CI7" i="30"/>
  <c r="CI14" i="30" s="1"/>
  <c r="CI8" i="30"/>
  <c r="CI6" i="30"/>
  <c r="CI13" i="30" s="1"/>
  <c r="CI5" i="30"/>
  <c r="CI12" i="30" s="1"/>
  <c r="CI4" i="30"/>
  <c r="CI11" i="30" s="1"/>
  <c r="CJ3" i="30"/>
  <c r="CE18" i="30"/>
  <c r="CI39" i="29" l="1"/>
  <c r="DD144" i="1" s="1"/>
  <c r="DE30" i="28"/>
  <c r="DE34" i="28"/>
  <c r="DF14" i="28"/>
  <c r="DF18" i="28"/>
  <c r="DD13" i="1"/>
  <c r="DG13" i="28"/>
  <c r="DF16" i="28"/>
  <c r="DF29" i="28"/>
  <c r="DE32" i="28"/>
  <c r="DD35" i="28"/>
  <c r="DD71" i="28"/>
  <c r="DD33" i="28"/>
  <c r="DD73" i="28"/>
  <c r="DD31" i="28"/>
  <c r="DD72" i="28"/>
  <c r="CS12" i="1"/>
  <c r="CS137" i="1" s="1"/>
  <c r="BY38" i="29"/>
  <c r="BY40" i="29" s="1"/>
  <c r="CI15" i="30"/>
  <c r="CJ4" i="29"/>
  <c r="CJ8" i="30"/>
  <c r="CJ6" i="30"/>
  <c r="CJ13" i="30" s="1"/>
  <c r="CJ7" i="30"/>
  <c r="CJ14" i="30" s="1"/>
  <c r="CJ4" i="30"/>
  <c r="CJ11" i="30" s="1"/>
  <c r="CK3" i="30"/>
  <c r="CJ5" i="30"/>
  <c r="CJ12" i="30" s="1"/>
  <c r="CJ39" i="29" l="1"/>
  <c r="DE144" i="1" s="1"/>
  <c r="CJ9" i="29"/>
  <c r="DF34" i="28"/>
  <c r="DF30" i="28"/>
  <c r="DG14" i="28"/>
  <c r="DG18" i="28"/>
  <c r="DE13" i="1"/>
  <c r="DH13" i="28"/>
  <c r="DG16" i="28"/>
  <c r="DE35" i="28"/>
  <c r="DE71" i="28"/>
  <c r="DE31" i="28"/>
  <c r="DE72" i="28"/>
  <c r="DE33" i="28"/>
  <c r="DE73" i="28"/>
  <c r="DF32" i="28"/>
  <c r="DG29" i="28"/>
  <c r="CT12" i="1"/>
  <c r="CT137" i="1" s="1"/>
  <c r="CS7" i="1"/>
  <c r="CT7" i="1"/>
  <c r="BX41" i="29"/>
  <c r="CA38" i="29"/>
  <c r="BZ38" i="29"/>
  <c r="BZ40" i="29" s="1"/>
  <c r="CJ15" i="30"/>
  <c r="CK6" i="30"/>
  <c r="CK13" i="30" s="1"/>
  <c r="CK4" i="30"/>
  <c r="CK11" i="30" s="1"/>
  <c r="CK7" i="30"/>
  <c r="CK14" i="30" s="1"/>
  <c r="CK5" i="30"/>
  <c r="CK12" i="30" s="1"/>
  <c r="CK8" i="30"/>
  <c r="CK15" i="30" s="1"/>
  <c r="CF18" i="30"/>
  <c r="DG34" i="28" l="1"/>
  <c r="DG30" i="28"/>
  <c r="CA40" i="29"/>
  <c r="DH18" i="28"/>
  <c r="DH14" i="28"/>
  <c r="DH16" i="28"/>
  <c r="DF31" i="28"/>
  <c r="DF72" i="28"/>
  <c r="DF33" i="28"/>
  <c r="DF73" i="28"/>
  <c r="DF35" i="28"/>
  <c r="DF71" i="28"/>
  <c r="DH29" i="28"/>
  <c r="DG32" i="28"/>
  <c r="CV7" i="1"/>
  <c r="CU7" i="1"/>
  <c r="CL4" i="29"/>
  <c r="CK4" i="29"/>
  <c r="CU12" i="1"/>
  <c r="CU137" i="1" s="1"/>
  <c r="CV12" i="1"/>
  <c r="CB38" i="29"/>
  <c r="BZ41" i="29"/>
  <c r="CK39" i="29" l="1"/>
  <c r="DF144" i="1" s="1"/>
  <c r="CL9" i="29"/>
  <c r="CK9" i="29"/>
  <c r="DH34" i="28"/>
  <c r="DH30" i="28"/>
  <c r="CL39" i="29"/>
  <c r="DG144" i="1" s="1"/>
  <c r="CB40" i="29"/>
  <c r="DF13" i="1"/>
  <c r="DG13" i="1"/>
  <c r="CV137" i="1"/>
  <c r="DH32" i="28"/>
  <c r="DG31" i="28"/>
  <c r="DG72" i="28"/>
  <c r="DG33" i="28"/>
  <c r="DG73" i="28"/>
  <c r="DG35" i="28"/>
  <c r="DG71" i="28"/>
  <c r="CW12" i="1"/>
  <c r="CW7" i="1"/>
  <c r="BY41" i="29"/>
  <c r="CG18" i="30"/>
  <c r="CH18" i="30"/>
  <c r="CA41" i="29"/>
  <c r="CW137" i="1" l="1"/>
  <c r="DH35" i="28"/>
  <c r="DH71" i="28"/>
  <c r="DH33" i="28"/>
  <c r="DH73" i="28"/>
  <c r="DH31" i="28"/>
  <c r="DH72" i="28"/>
  <c r="CE38" i="29"/>
  <c r="CD38" i="29"/>
  <c r="CC38" i="29"/>
  <c r="CC40" i="29" s="1"/>
  <c r="CJ18" i="30"/>
  <c r="CD40" i="29" l="1"/>
  <c r="CE40" i="29" s="1"/>
  <c r="CZ7" i="1"/>
  <c r="CY7" i="1"/>
  <c r="CX12" i="1"/>
  <c r="CX137" i="1" s="1"/>
  <c r="CY12" i="1"/>
  <c r="CZ12" i="1"/>
  <c r="CF38" i="29"/>
  <c r="CB41" i="29"/>
  <c r="CI18" i="30"/>
  <c r="CK18" i="30"/>
  <c r="CG38" i="29"/>
  <c r="CF40" i="29" l="1"/>
  <c r="CG40" i="29" s="1"/>
  <c r="CY137" i="1"/>
  <c r="CZ137" i="1" s="1"/>
  <c r="DC6" i="1"/>
  <c r="CX7" i="1"/>
  <c r="DB7" i="1"/>
  <c r="DA7" i="1"/>
  <c r="DA12" i="1"/>
  <c r="DB12" i="1"/>
  <c r="CC41" i="29"/>
  <c r="DA137" i="1" l="1"/>
  <c r="DB137" i="1" s="1"/>
  <c r="DD6" i="1"/>
  <c r="CH38" i="29"/>
  <c r="CH40" i="29" s="1"/>
  <c r="DE6" i="1" l="1"/>
  <c r="DC12" i="1"/>
  <c r="DC137" i="1" s="1"/>
  <c r="CD41" i="29"/>
  <c r="CI38" i="29"/>
  <c r="CI40" i="29" s="1"/>
  <c r="DF6" i="1" l="1"/>
  <c r="DC7" i="1"/>
  <c r="DC9" i="1" s="1"/>
  <c r="DD12" i="1"/>
  <c r="DD137" i="1" s="1"/>
  <c r="CE41" i="29"/>
  <c r="CF41" i="29"/>
  <c r="DG6" i="1" l="1"/>
  <c r="DD7" i="1"/>
  <c r="DD9" i="1" s="1"/>
  <c r="CH41" i="29" l="1"/>
  <c r="CG41" i="29"/>
  <c r="CL38" i="29"/>
  <c r="DG12" i="1" s="1"/>
  <c r="CJ38" i="29"/>
  <c r="CJ40" i="29" s="1"/>
  <c r="CK38" i="29"/>
  <c r="CK40" i="29" l="1"/>
  <c r="CL40" i="29" s="1"/>
  <c r="DG7" i="1"/>
  <c r="DG9" i="1" s="1"/>
  <c r="DF7" i="1"/>
  <c r="DF9" i="1" s="1"/>
  <c r="DE12" i="1"/>
  <c r="DE137" i="1" s="1"/>
  <c r="DF12" i="1"/>
  <c r="DF137" i="1" l="1"/>
  <c r="DG137" i="1" s="1"/>
  <c r="DE7" i="1"/>
  <c r="DE9" i="1" s="1"/>
  <c r="CK41" i="29"/>
  <c r="CI41" i="29"/>
  <c r="CJ41" i="29" l="1"/>
  <c r="CL41" i="29" l="1"/>
  <c r="R9" i="28" l="1"/>
  <c r="R71" i="28" s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X165" i="1"/>
  <c r="X189" i="1" s="1"/>
  <c r="Y165" i="1"/>
  <c r="Z165" i="1"/>
  <c r="AA165" i="1"/>
  <c r="D50" i="5" s="1"/>
  <c r="AB165" i="1"/>
  <c r="AC165" i="1"/>
  <c r="AD165" i="1"/>
  <c r="AE165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AU66" i="1"/>
  <c r="AV66" i="1" s="1"/>
  <c r="AW66" i="1" s="1"/>
  <c r="AX66" i="1" s="1"/>
  <c r="AY66" i="1" s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AD28" i="1"/>
  <c r="AE28" i="1"/>
  <c r="AD57" i="1"/>
  <c r="AD78" i="1" s="1"/>
  <c r="AE57" i="1"/>
  <c r="AE78" i="1" s="1"/>
  <c r="AD88" i="1"/>
  <c r="AD91" i="1" s="1"/>
  <c r="AE88" i="1"/>
  <c r="AE91" i="1" s="1"/>
  <c r="AD106" i="1"/>
  <c r="AE106" i="1"/>
  <c r="AD111" i="1"/>
  <c r="AE111" i="1"/>
  <c r="AF183" i="1" s="1"/>
  <c r="AD125" i="1"/>
  <c r="AE125" i="1"/>
  <c r="AD158" i="1"/>
  <c r="AE158" i="1"/>
  <c r="AC28" i="1"/>
  <c r="AC57" i="1"/>
  <c r="AC78" i="1" s="1"/>
  <c r="AC88" i="1"/>
  <c r="AC91" i="1" s="1"/>
  <c r="AC106" i="1"/>
  <c r="AC111" i="1"/>
  <c r="AC125" i="1"/>
  <c r="AC158" i="1"/>
  <c r="G26" i="32"/>
  <c r="P39" i="25"/>
  <c r="G17" i="15"/>
  <c r="F17" i="15"/>
  <c r="E17" i="15"/>
  <c r="D17" i="15"/>
  <c r="C17" i="15"/>
  <c r="N13" i="15"/>
  <c r="N15" i="15" s="1"/>
  <c r="M13" i="15"/>
  <c r="M15" i="15" s="1"/>
  <c r="L13" i="15"/>
  <c r="L15" i="15" s="1"/>
  <c r="K13" i="15"/>
  <c r="K15" i="15" s="1"/>
  <c r="J13" i="15"/>
  <c r="J15" i="15" s="1"/>
  <c r="I13" i="15"/>
  <c r="I15" i="15" s="1"/>
  <c r="H13" i="15"/>
  <c r="H15" i="15" s="1"/>
  <c r="G13" i="15"/>
  <c r="G15" i="15" s="1"/>
  <c r="F13" i="15"/>
  <c r="F15" i="15" s="1"/>
  <c r="E13" i="15"/>
  <c r="E15" i="15" s="1"/>
  <c r="D13" i="15"/>
  <c r="D15" i="15" s="1"/>
  <c r="C13" i="15"/>
  <c r="H13" i="25"/>
  <c r="H15" i="25" s="1"/>
  <c r="F13" i="25"/>
  <c r="F15" i="25" s="1"/>
  <c r="D13" i="25"/>
  <c r="D15" i="25" s="1"/>
  <c r="C13" i="25"/>
  <c r="C15" i="25" s="1"/>
  <c r="E13" i="25"/>
  <c r="E15" i="25" s="1"/>
  <c r="AD1" i="24"/>
  <c r="AD2" i="24" s="1"/>
  <c r="AC1" i="24"/>
  <c r="AC2" i="24" s="1"/>
  <c r="AB1" i="24"/>
  <c r="AB2" i="24" s="1"/>
  <c r="AA1" i="24"/>
  <c r="AA2" i="24" s="1"/>
  <c r="Z1" i="24"/>
  <c r="Z2" i="24" s="1"/>
  <c r="Y1" i="24"/>
  <c r="Y2" i="24" s="1"/>
  <c r="X1" i="24"/>
  <c r="X2" i="24" s="1"/>
  <c r="W1" i="24"/>
  <c r="W2" i="24" s="1"/>
  <c r="V1" i="24"/>
  <c r="V2" i="24" s="1"/>
  <c r="U1" i="24"/>
  <c r="U2" i="24" s="1"/>
  <c r="T1" i="24"/>
  <c r="T2" i="24" s="1"/>
  <c r="S1" i="24"/>
  <c r="S2" i="24" s="1"/>
  <c r="R1" i="24"/>
  <c r="R2" i="24" s="1"/>
  <c r="Q1" i="24"/>
  <c r="Q2" i="24" s="1"/>
  <c r="P1" i="24"/>
  <c r="P2" i="24" s="1"/>
  <c r="O1" i="24"/>
  <c r="O2" i="24" s="1"/>
  <c r="N1" i="24"/>
  <c r="N2" i="24" s="1"/>
  <c r="M1" i="24"/>
  <c r="M2" i="24" s="1"/>
  <c r="L1" i="24"/>
  <c r="L2" i="24" s="1"/>
  <c r="K1" i="24"/>
  <c r="K2" i="24" s="1"/>
  <c r="J1" i="24"/>
  <c r="J2" i="24" s="1"/>
  <c r="I1" i="24"/>
  <c r="I2" i="24" s="1"/>
  <c r="H1" i="24"/>
  <c r="H2" i="24" s="1"/>
  <c r="G1" i="24"/>
  <c r="G2" i="24" s="1"/>
  <c r="G9" i="28"/>
  <c r="G71" i="28" s="1"/>
  <c r="H9" i="28"/>
  <c r="H71" i="28" s="1"/>
  <c r="I9" i="28"/>
  <c r="I71" i="28" s="1"/>
  <c r="J9" i="28"/>
  <c r="J71" i="28" s="1"/>
  <c r="K9" i="28"/>
  <c r="K71" i="28" s="1"/>
  <c r="L9" i="28"/>
  <c r="L71" i="28" s="1"/>
  <c r="M9" i="28"/>
  <c r="M71" i="28" s="1"/>
  <c r="N9" i="28"/>
  <c r="N71" i="28" s="1"/>
  <c r="O9" i="28"/>
  <c r="O71" i="28" s="1"/>
  <c r="P9" i="28"/>
  <c r="P71" i="28" s="1"/>
  <c r="Q9" i="28"/>
  <c r="Q71" i="28" s="1"/>
  <c r="F9" i="28"/>
  <c r="F71" i="28" s="1"/>
  <c r="E145" i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W189" i="1"/>
  <c r="V189" i="1"/>
  <c r="U189" i="1"/>
  <c r="T189" i="1"/>
  <c r="S189" i="1"/>
  <c r="R189" i="1"/>
  <c r="Q189" i="1"/>
  <c r="AB106" i="1"/>
  <c r="AA106" i="1"/>
  <c r="Z106" i="1"/>
  <c r="Y106" i="1"/>
  <c r="AA143" i="1"/>
  <c r="Z143" i="1"/>
  <c r="Y143" i="1"/>
  <c r="X143" i="1"/>
  <c r="W143" i="1"/>
  <c r="V143" i="1"/>
  <c r="U143" i="1"/>
  <c r="T143" i="1"/>
  <c r="F183" i="1"/>
  <c r="G183" i="1"/>
  <c r="H183" i="1"/>
  <c r="I183" i="1"/>
  <c r="J183" i="1"/>
  <c r="K183" i="1"/>
  <c r="L183" i="1"/>
  <c r="M183" i="1"/>
  <c r="N183" i="1"/>
  <c r="O183" i="1"/>
  <c r="F184" i="1"/>
  <c r="G184" i="1"/>
  <c r="H184" i="1"/>
  <c r="I184" i="1"/>
  <c r="J184" i="1"/>
  <c r="K184" i="1"/>
  <c r="L184" i="1"/>
  <c r="M184" i="1"/>
  <c r="N184" i="1"/>
  <c r="E194" i="1"/>
  <c r="E184" i="1"/>
  <c r="E183" i="1"/>
  <c r="N165" i="1"/>
  <c r="M165" i="1"/>
  <c r="L165" i="1"/>
  <c r="K165" i="1"/>
  <c r="J165" i="1"/>
  <c r="I165" i="1"/>
  <c r="H165" i="1"/>
  <c r="G165" i="1"/>
  <c r="F165" i="1"/>
  <c r="E165" i="1"/>
  <c r="D165" i="1"/>
  <c r="D176" i="1" s="1"/>
  <c r="D177" i="1" s="1"/>
  <c r="D178" i="1" s="1"/>
  <c r="O165" i="1"/>
  <c r="O176" i="1" s="1"/>
  <c r="P158" i="1"/>
  <c r="AB158" i="1"/>
  <c r="O133" i="1"/>
  <c r="N133" i="1"/>
  <c r="M133" i="1"/>
  <c r="L133" i="1"/>
  <c r="K133" i="1"/>
  <c r="J133" i="1"/>
  <c r="I133" i="1"/>
  <c r="H133" i="1"/>
  <c r="G133" i="1"/>
  <c r="F133" i="1"/>
  <c r="E133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B125" i="1"/>
  <c r="N106" i="1"/>
  <c r="N121" i="1" s="1"/>
  <c r="M106" i="1"/>
  <c r="M121" i="1" s="1"/>
  <c r="L106" i="1"/>
  <c r="L121" i="1" s="1"/>
  <c r="K106" i="1"/>
  <c r="K121" i="1" s="1"/>
  <c r="J106" i="1"/>
  <c r="J121" i="1" s="1"/>
  <c r="I106" i="1"/>
  <c r="I121" i="1" s="1"/>
  <c r="H106" i="1"/>
  <c r="H121" i="1" s="1"/>
  <c r="G106" i="1"/>
  <c r="G121" i="1" s="1"/>
  <c r="F106" i="1"/>
  <c r="E106" i="1"/>
  <c r="O106" i="1"/>
  <c r="O121" i="1" s="1"/>
  <c r="O91" i="1"/>
  <c r="O93" i="1" s="1"/>
  <c r="N91" i="1"/>
  <c r="N93" i="1" s="1"/>
  <c r="M91" i="1"/>
  <c r="M93" i="1" s="1"/>
  <c r="L91" i="1"/>
  <c r="L93" i="1" s="1"/>
  <c r="K91" i="1"/>
  <c r="K93" i="1" s="1"/>
  <c r="J91" i="1"/>
  <c r="J93" i="1" s="1"/>
  <c r="I91" i="1"/>
  <c r="I93" i="1" s="1"/>
  <c r="H91" i="1"/>
  <c r="H93" i="1" s="1"/>
  <c r="G91" i="1"/>
  <c r="G93" i="1" s="1"/>
  <c r="F91" i="1"/>
  <c r="F93" i="1" s="1"/>
  <c r="E91" i="1"/>
  <c r="E93" i="1" s="1"/>
  <c r="O68" i="1"/>
  <c r="N68" i="1"/>
  <c r="M68" i="1"/>
  <c r="L68" i="1"/>
  <c r="K68" i="1"/>
  <c r="J68" i="1"/>
  <c r="I68" i="1"/>
  <c r="H68" i="1"/>
  <c r="G68" i="1"/>
  <c r="F68" i="1"/>
  <c r="E68" i="1"/>
  <c r="N57" i="1"/>
  <c r="M57" i="1"/>
  <c r="L57" i="1"/>
  <c r="K57" i="1"/>
  <c r="J57" i="1"/>
  <c r="I57" i="1"/>
  <c r="H57" i="1"/>
  <c r="G57" i="1"/>
  <c r="F57" i="1"/>
  <c r="E57" i="1"/>
  <c r="O57" i="1"/>
  <c r="AB57" i="1"/>
  <c r="Q57" i="1"/>
  <c r="R57" i="1"/>
  <c r="S57" i="1"/>
  <c r="T57" i="1"/>
  <c r="U57" i="1"/>
  <c r="V57" i="1"/>
  <c r="W57" i="1"/>
  <c r="X57" i="1"/>
  <c r="Y57" i="1"/>
  <c r="Z57" i="1"/>
  <c r="AA57" i="1"/>
  <c r="P57" i="1"/>
  <c r="E1" i="1"/>
  <c r="E2" i="1" s="1"/>
  <c r="F1" i="1"/>
  <c r="F2" i="1" s="1"/>
  <c r="G1" i="1"/>
  <c r="G2" i="1" s="1"/>
  <c r="H1" i="1"/>
  <c r="H2" i="1" s="1"/>
  <c r="I1" i="1"/>
  <c r="I2" i="1" s="1"/>
  <c r="J1" i="1"/>
  <c r="K1" i="1"/>
  <c r="K2" i="1" s="1"/>
  <c r="L1" i="1"/>
  <c r="L2" i="1" s="1"/>
  <c r="M1" i="1"/>
  <c r="M2" i="1" s="1"/>
  <c r="N1" i="1"/>
  <c r="N2" i="1" s="1"/>
  <c r="O1" i="1"/>
  <c r="O2" i="1" s="1"/>
  <c r="D1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A158" i="1"/>
  <c r="Z158" i="1"/>
  <c r="Y158" i="1"/>
  <c r="X158" i="1"/>
  <c r="W158" i="1"/>
  <c r="V158" i="1"/>
  <c r="U158" i="1"/>
  <c r="T158" i="1"/>
  <c r="S158" i="1"/>
  <c r="R158" i="1"/>
  <c r="Q158" i="1"/>
  <c r="O158" i="1"/>
  <c r="AU58" i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AU72" i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AU71" i="1"/>
  <c r="AV71" i="1" s="1"/>
  <c r="AW71" i="1" s="1"/>
  <c r="AX71" i="1" s="1"/>
  <c r="AY71" i="1" s="1"/>
  <c r="AB28" i="1"/>
  <c r="AA27" i="1"/>
  <c r="AA28" i="1" s="1"/>
  <c r="N17" i="15" s="1"/>
  <c r="Z27" i="1"/>
  <c r="Z28" i="1" s="1"/>
  <c r="M17" i="15" s="1"/>
  <c r="Y27" i="1"/>
  <c r="Y28" i="1" s="1"/>
  <c r="L17" i="15" s="1"/>
  <c r="X27" i="1"/>
  <c r="X28" i="1" s="1"/>
  <c r="K17" i="15" s="1"/>
  <c r="W27" i="1"/>
  <c r="W28" i="1" s="1"/>
  <c r="J17" i="15" s="1"/>
  <c r="V27" i="1"/>
  <c r="V28" i="1" s="1"/>
  <c r="I17" i="15" s="1"/>
  <c r="U27" i="1"/>
  <c r="U28" i="1" s="1"/>
  <c r="H17" i="15" s="1"/>
  <c r="F8" i="28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Q8" i="28" s="1"/>
  <c r="R8" i="28" s="1"/>
  <c r="F5" i="28"/>
  <c r="G5" i="28"/>
  <c r="H5" i="28"/>
  <c r="I5" i="28"/>
  <c r="E5" i="28"/>
  <c r="P1" i="28"/>
  <c r="P2" i="28" s="1"/>
  <c r="O1" i="28"/>
  <c r="O2" i="28" s="1"/>
  <c r="N1" i="28"/>
  <c r="N2" i="28" s="1"/>
  <c r="M1" i="28"/>
  <c r="M2" i="28" s="1"/>
  <c r="L1" i="28"/>
  <c r="L2" i="28" s="1"/>
  <c r="K1" i="28"/>
  <c r="K2" i="28" s="1"/>
  <c r="J1" i="28"/>
  <c r="J2" i="28" s="1"/>
  <c r="I1" i="28"/>
  <c r="I2" i="28" s="1"/>
  <c r="H1" i="28"/>
  <c r="H2" i="28" s="1"/>
  <c r="G1" i="28"/>
  <c r="G2" i="28" s="1"/>
  <c r="F1" i="28"/>
  <c r="F2" i="28" s="1"/>
  <c r="E1" i="28"/>
  <c r="E2" i="28" s="1"/>
  <c r="C36" i="25"/>
  <c r="D36" i="25"/>
  <c r="N30" i="27"/>
  <c r="M30" i="27"/>
  <c r="L30" i="27"/>
  <c r="K30" i="27"/>
  <c r="J30" i="27"/>
  <c r="I30" i="27"/>
  <c r="H30" i="27"/>
  <c r="G30" i="27"/>
  <c r="F30" i="27"/>
  <c r="E30" i="27"/>
  <c r="D30" i="27"/>
  <c r="N29" i="27"/>
  <c r="M29" i="27"/>
  <c r="L29" i="27"/>
  <c r="K29" i="27"/>
  <c r="J29" i="27"/>
  <c r="I29" i="27"/>
  <c r="H29" i="27"/>
  <c r="G29" i="27"/>
  <c r="F29" i="27"/>
  <c r="E29" i="27"/>
  <c r="D29" i="27"/>
  <c r="AB159" i="1" l="1"/>
  <c r="AE159" i="1"/>
  <c r="AC159" i="1"/>
  <c r="AD159" i="1"/>
  <c r="AH126" i="1"/>
  <c r="AJ126" i="1"/>
  <c r="AG126" i="1"/>
  <c r="AI126" i="1"/>
  <c r="AB126" i="1"/>
  <c r="AC126" i="1"/>
  <c r="AD126" i="1"/>
  <c r="AE126" i="1"/>
  <c r="AF126" i="1"/>
  <c r="AB78" i="1"/>
  <c r="C23" i="31"/>
  <c r="D33" i="31"/>
  <c r="P78" i="1"/>
  <c r="P79" i="1" s="1"/>
  <c r="P83" i="1" s="1"/>
  <c r="P84" i="1" s="1"/>
  <c r="C36" i="32"/>
  <c r="C33" i="31"/>
  <c r="F36" i="32"/>
  <c r="F33" i="31"/>
  <c r="AF189" i="1"/>
  <c r="AF190" i="1" s="1"/>
  <c r="G33" i="31"/>
  <c r="E36" i="32"/>
  <c r="E33" i="31"/>
  <c r="D26" i="32"/>
  <c r="D23" i="31"/>
  <c r="E26" i="32"/>
  <c r="E23" i="31"/>
  <c r="F26" i="32"/>
  <c r="F23" i="31"/>
  <c r="AZ66" i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C26" i="32"/>
  <c r="AZ71" i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2" i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L58" i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D36" i="32"/>
  <c r="O78" i="1"/>
  <c r="O79" i="1" s="1"/>
  <c r="O82" i="1" s="1"/>
  <c r="O92" i="1" s="1"/>
  <c r="O182" i="1" s="1"/>
  <c r="F33" i="32"/>
  <c r="F30" i="31"/>
  <c r="E30" i="31"/>
  <c r="E33" i="32"/>
  <c r="D33" i="32"/>
  <c r="D30" i="31"/>
  <c r="F6" i="28"/>
  <c r="G6" i="28" s="1"/>
  <c r="H6" i="28" s="1"/>
  <c r="I6" i="28" s="1"/>
  <c r="G78" i="1"/>
  <c r="G79" i="1" s="1"/>
  <c r="F10" i="28"/>
  <c r="E78" i="1"/>
  <c r="E79" i="1" s="1"/>
  <c r="E82" i="1" s="1"/>
  <c r="M78" i="1"/>
  <c r="M79" i="1" s="1"/>
  <c r="M82" i="1" s="1"/>
  <c r="M92" i="1" s="1"/>
  <c r="M182" i="1" s="1"/>
  <c r="M186" i="1" s="1"/>
  <c r="F78" i="1"/>
  <c r="F79" i="1" s="1"/>
  <c r="N78" i="1"/>
  <c r="N79" i="1" s="1"/>
  <c r="L78" i="1"/>
  <c r="L79" i="1" s="1"/>
  <c r="AB10" i="1"/>
  <c r="AB34" i="1" s="1"/>
  <c r="H78" i="1"/>
  <c r="H79" i="1" s="1"/>
  <c r="C17" i="25"/>
  <c r="C19" i="25" s="1"/>
  <c r="C21" i="25" s="1"/>
  <c r="AC10" i="1"/>
  <c r="AD10" i="1"/>
  <c r="AD34" i="1" s="1"/>
  <c r="K78" i="1"/>
  <c r="K79" i="1" s="1"/>
  <c r="AE10" i="1"/>
  <c r="O189" i="1"/>
  <c r="O190" i="1" s="1"/>
  <c r="R78" i="1"/>
  <c r="R79" i="1" s="1"/>
  <c r="R83" i="1" s="1"/>
  <c r="I78" i="1"/>
  <c r="I79" i="1" s="1"/>
  <c r="J78" i="1"/>
  <c r="J79" i="1" s="1"/>
  <c r="T78" i="1"/>
  <c r="T79" i="1" s="1"/>
  <c r="T83" i="1" s="1"/>
  <c r="S8" i="28"/>
  <c r="T8" i="28" s="1"/>
  <c r="S78" i="1"/>
  <c r="S79" i="1" s="1"/>
  <c r="S83" i="1" s="1"/>
  <c r="W78" i="1"/>
  <c r="W79" i="1" s="1"/>
  <c r="V78" i="1"/>
  <c r="V79" i="1" s="1"/>
  <c r="Q78" i="1"/>
  <c r="Q79" i="1" s="1"/>
  <c r="Q83" i="1" s="1"/>
  <c r="Y78" i="1"/>
  <c r="Y79" i="1" s="1"/>
  <c r="U78" i="1"/>
  <c r="U79" i="1" s="1"/>
  <c r="X78" i="1"/>
  <c r="X79" i="1" s="1"/>
  <c r="E24" i="31"/>
  <c r="AA78" i="1"/>
  <c r="AA79" i="1" s="1"/>
  <c r="AC118" i="1"/>
  <c r="AC121" i="1" s="1"/>
  <c r="AE160" i="1"/>
  <c r="Z78" i="1"/>
  <c r="AD118" i="1"/>
  <c r="AD121" i="1" s="1"/>
  <c r="AC160" i="1"/>
  <c r="AE118" i="1"/>
  <c r="AE121" i="1" s="1"/>
  <c r="AD160" i="1"/>
  <c r="G36" i="32"/>
  <c r="AU75" i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AU73" i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AU64" i="1"/>
  <c r="AV64" i="1" s="1"/>
  <c r="AW64" i="1" s="1"/>
  <c r="AX64" i="1" s="1"/>
  <c r="AY64" i="1" s="1"/>
  <c r="AU70" i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AU76" i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T159" i="1"/>
  <c r="T160" i="1" s="1"/>
  <c r="C12" i="25"/>
  <c r="C14" i="25" s="1"/>
  <c r="Y189" i="1"/>
  <c r="D20" i="15"/>
  <c r="D22" i="15" s="1"/>
  <c r="L20" i="15"/>
  <c r="L22" i="15" s="1"/>
  <c r="I20" i="15"/>
  <c r="E20" i="15"/>
  <c r="M20" i="15"/>
  <c r="H20" i="15"/>
  <c r="P17" i="15"/>
  <c r="F20" i="15"/>
  <c r="N20" i="15"/>
  <c r="K20" i="15"/>
  <c r="G20" i="15"/>
  <c r="J20" i="15"/>
  <c r="P13" i="15"/>
  <c r="P15" i="15" s="1"/>
  <c r="C15" i="15"/>
  <c r="C20" i="15" s="1"/>
  <c r="I189" i="1"/>
  <c r="I190" i="1" s="1"/>
  <c r="L189" i="1"/>
  <c r="L190" i="1" s="1"/>
  <c r="Q159" i="1"/>
  <c r="Q160" i="1" s="1"/>
  <c r="P189" i="1"/>
  <c r="P190" i="1" s="1"/>
  <c r="K189" i="1"/>
  <c r="K190" i="1" s="1"/>
  <c r="E189" i="1"/>
  <c r="E190" i="1" s="1"/>
  <c r="M189" i="1"/>
  <c r="M190" i="1" s="1"/>
  <c r="Z189" i="1"/>
  <c r="N189" i="1"/>
  <c r="N190" i="1" s="1"/>
  <c r="F189" i="1"/>
  <c r="F190" i="1" s="1"/>
  <c r="G189" i="1"/>
  <c r="G190" i="1" s="1"/>
  <c r="AB189" i="1"/>
  <c r="U159" i="1"/>
  <c r="U160" i="1" s="1"/>
  <c r="H189" i="1"/>
  <c r="H190" i="1" s="1"/>
  <c r="J2" i="1"/>
  <c r="P159" i="1"/>
  <c r="P160" i="1" s="1"/>
  <c r="D2" i="1"/>
  <c r="AA189" i="1"/>
  <c r="AB160" i="1"/>
  <c r="J189" i="1"/>
  <c r="J190" i="1" s="1"/>
  <c r="O159" i="1"/>
  <c r="O160" i="1" s="1"/>
  <c r="O184" i="1" s="1"/>
  <c r="X159" i="1"/>
  <c r="X160" i="1" s="1"/>
  <c r="R159" i="1"/>
  <c r="R160" i="1" s="1"/>
  <c r="Z159" i="1"/>
  <c r="Z160" i="1" s="1"/>
  <c r="Y159" i="1"/>
  <c r="Y160" i="1" s="1"/>
  <c r="W159" i="1"/>
  <c r="W160" i="1" s="1"/>
  <c r="V159" i="1"/>
  <c r="V160" i="1" s="1"/>
  <c r="S159" i="1"/>
  <c r="S160" i="1" s="1"/>
  <c r="AA159" i="1"/>
  <c r="AA160" i="1" s="1"/>
  <c r="E36" i="25"/>
  <c r="E19" i="27"/>
  <c r="F19" i="27"/>
  <c r="G19" i="27"/>
  <c r="H19" i="27"/>
  <c r="I19" i="27"/>
  <c r="J19" i="27"/>
  <c r="K19" i="27"/>
  <c r="L19" i="27"/>
  <c r="L20" i="27" s="1"/>
  <c r="M19" i="27"/>
  <c r="N19" i="27"/>
  <c r="D19" i="27"/>
  <c r="E12" i="27"/>
  <c r="F12" i="27"/>
  <c r="G12" i="27"/>
  <c r="H12" i="27"/>
  <c r="I12" i="27"/>
  <c r="J12" i="27"/>
  <c r="K12" i="27"/>
  <c r="L12" i="27"/>
  <c r="M12" i="27"/>
  <c r="N12" i="27"/>
  <c r="E13" i="27"/>
  <c r="F13" i="27"/>
  <c r="G13" i="27"/>
  <c r="H13" i="27"/>
  <c r="I13" i="27"/>
  <c r="J13" i="27"/>
  <c r="K13" i="27"/>
  <c r="L13" i="27"/>
  <c r="M13" i="27"/>
  <c r="N13" i="27"/>
  <c r="D13" i="27"/>
  <c r="D12" i="27"/>
  <c r="C12" i="27"/>
  <c r="C25" i="27"/>
  <c r="N20" i="27"/>
  <c r="J20" i="27"/>
  <c r="F20" i="27"/>
  <c r="M20" i="27"/>
  <c r="K20" i="27"/>
  <c r="I20" i="27"/>
  <c r="H20" i="27"/>
  <c r="G20" i="27"/>
  <c r="E20" i="27"/>
  <c r="D20" i="27"/>
  <c r="C13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AE184" i="1" l="1"/>
  <c r="AF184" i="1"/>
  <c r="AF186" i="1" s="1"/>
  <c r="AF192" i="1" s="1"/>
  <c r="AD184" i="1"/>
  <c r="AC184" i="1"/>
  <c r="G10" i="28"/>
  <c r="S134" i="1"/>
  <c r="Q134" i="1"/>
  <c r="DB6" i="1"/>
  <c r="DB9" i="1" s="1"/>
  <c r="AU6" i="1"/>
  <c r="AU9" i="1" s="1"/>
  <c r="BU6" i="1"/>
  <c r="BU9" i="1" s="1"/>
  <c r="BG6" i="1"/>
  <c r="BG9" i="1" s="1"/>
  <c r="AV6" i="1"/>
  <c r="AV9" i="1" s="1"/>
  <c r="P134" i="1"/>
  <c r="V134" i="1"/>
  <c r="Y134" i="1"/>
  <c r="X134" i="1"/>
  <c r="U134" i="1"/>
  <c r="T134" i="1"/>
  <c r="R134" i="1"/>
  <c r="W134" i="1"/>
  <c r="D27" i="32"/>
  <c r="D28" i="32" s="1"/>
  <c r="D24" i="31"/>
  <c r="H24" i="31"/>
  <c r="F27" i="32"/>
  <c r="F28" i="32" s="1"/>
  <c r="F24" i="31"/>
  <c r="C27" i="32"/>
  <c r="C28" i="32" s="1"/>
  <c r="C24" i="31"/>
  <c r="BX72" i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BX58" i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BL66" i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L73" i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AE112" i="1"/>
  <c r="AE34" i="1"/>
  <c r="BL71" i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L75" i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L76" i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AC112" i="1"/>
  <c r="AC34" i="1"/>
  <c r="E92" i="1"/>
  <c r="E175" i="1" s="1"/>
  <c r="E176" i="1" s="1"/>
  <c r="E177" i="1" s="1"/>
  <c r="E178" i="1" s="1"/>
  <c r="BL70" i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AD79" i="1"/>
  <c r="E27" i="32"/>
  <c r="E28" i="32" s="1"/>
  <c r="AZ64" i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N12" i="31"/>
  <c r="C18" i="25"/>
  <c r="C20" i="25" s="1"/>
  <c r="AD112" i="1"/>
  <c r="E25" i="31"/>
  <c r="AC79" i="1"/>
  <c r="AE79" i="1"/>
  <c r="AB79" i="1"/>
  <c r="AB85" i="1" s="1"/>
  <c r="Z79" i="1"/>
  <c r="Z134" i="1" s="1"/>
  <c r="C24" i="15"/>
  <c r="M192" i="1"/>
  <c r="P20" i="15"/>
  <c r="P22" i="15" s="1"/>
  <c r="J22" i="15"/>
  <c r="M22" i="15"/>
  <c r="N22" i="15"/>
  <c r="E22" i="15"/>
  <c r="H22" i="15"/>
  <c r="G22" i="15"/>
  <c r="K22" i="15"/>
  <c r="F22" i="15"/>
  <c r="I22" i="15"/>
  <c r="C22" i="15"/>
  <c r="J6" i="28"/>
  <c r="K6" i="28" s="1"/>
  <c r="L6" i="28" s="1"/>
  <c r="O186" i="1"/>
  <c r="O192" i="1" s="1"/>
  <c r="L82" i="1"/>
  <c r="L92" i="1" s="1"/>
  <c r="L182" i="1" s="1"/>
  <c r="L186" i="1" s="1"/>
  <c r="L192" i="1" s="1"/>
  <c r="J82" i="1"/>
  <c r="J92" i="1" s="1"/>
  <c r="J182" i="1" s="1"/>
  <c r="J186" i="1" s="1"/>
  <c r="J192" i="1" s="1"/>
  <c r="H82" i="1"/>
  <c r="H92" i="1" s="1"/>
  <c r="H182" i="1" s="1"/>
  <c r="H186" i="1" s="1"/>
  <c r="H192" i="1" s="1"/>
  <c r="N82" i="1"/>
  <c r="N92" i="1" s="1"/>
  <c r="N182" i="1" s="1"/>
  <c r="N186" i="1" s="1"/>
  <c r="N192" i="1" s="1"/>
  <c r="F82" i="1"/>
  <c r="F92" i="1" s="1"/>
  <c r="K82" i="1"/>
  <c r="K92" i="1" s="1"/>
  <c r="K182" i="1" s="1"/>
  <c r="K186" i="1" s="1"/>
  <c r="K192" i="1" s="1"/>
  <c r="I82" i="1"/>
  <c r="I92" i="1" s="1"/>
  <c r="I182" i="1" s="1"/>
  <c r="I186" i="1" s="1"/>
  <c r="I192" i="1" s="1"/>
  <c r="G82" i="1"/>
  <c r="G92" i="1" s="1"/>
  <c r="G182" i="1" s="1"/>
  <c r="G186" i="1" s="1"/>
  <c r="G192" i="1" s="1"/>
  <c r="O177" i="1"/>
  <c r="O178" i="1" s="1"/>
  <c r="D17" i="25"/>
  <c r="I14" i="27"/>
  <c r="I16" i="27" s="1"/>
  <c r="I17" i="27" s="1"/>
  <c r="G14" i="27"/>
  <c r="G16" i="27" s="1"/>
  <c r="G17" i="27" s="1"/>
  <c r="M14" i="27"/>
  <c r="M16" i="27" s="1"/>
  <c r="M22" i="27" s="1"/>
  <c r="E14" i="27"/>
  <c r="E16" i="27" s="1"/>
  <c r="E22" i="27" s="1"/>
  <c r="K14" i="27"/>
  <c r="K16" i="27" s="1"/>
  <c r="K22" i="27" s="1"/>
  <c r="L14" i="27"/>
  <c r="L16" i="27" s="1"/>
  <c r="L22" i="27" s="1"/>
  <c r="F14" i="27"/>
  <c r="F16" i="27" s="1"/>
  <c r="F22" i="27" s="1"/>
  <c r="J14" i="27"/>
  <c r="J16" i="27" s="1"/>
  <c r="J22" i="27" s="1"/>
  <c r="C14" i="27"/>
  <c r="C16" i="27" s="1"/>
  <c r="C17" i="27" s="1"/>
  <c r="N14" i="27"/>
  <c r="N16" i="27" s="1"/>
  <c r="N22" i="27" s="1"/>
  <c r="H14" i="27"/>
  <c r="H16" i="27" s="1"/>
  <c r="H17" i="27" s="1"/>
  <c r="D14" i="27"/>
  <c r="D16" i="27" s="1"/>
  <c r="D22" i="27" s="1"/>
  <c r="P12" i="27"/>
  <c r="P14" i="27" s="1"/>
  <c r="P16" i="27" s="1"/>
  <c r="AA9" i="1"/>
  <c r="AA10" i="1" s="1"/>
  <c r="AB111" i="1"/>
  <c r="AB190" i="1"/>
  <c r="AC189" i="1"/>
  <c r="AB88" i="1"/>
  <c r="AB91" i="1" s="1"/>
  <c r="D31" i="25"/>
  <c r="C31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AE85" i="1" l="1"/>
  <c r="AJ134" i="1"/>
  <c r="AI134" i="1"/>
  <c r="AH134" i="1"/>
  <c r="H10" i="28"/>
  <c r="AC85" i="1"/>
  <c r="AG134" i="1"/>
  <c r="BF6" i="1"/>
  <c r="BF9" i="1" s="1"/>
  <c r="CF6" i="1"/>
  <c r="CF9" i="1" s="1"/>
  <c r="BS6" i="1"/>
  <c r="BS9" i="1" s="1"/>
  <c r="CS6" i="1"/>
  <c r="CS9" i="1" s="1"/>
  <c r="BH6" i="1"/>
  <c r="BH9" i="1" s="1"/>
  <c r="CT6" i="1"/>
  <c r="CT9" i="1" s="1"/>
  <c r="BT6" i="1"/>
  <c r="BT9" i="1" s="1"/>
  <c r="CG6" i="1"/>
  <c r="CG9" i="1" s="1"/>
  <c r="AB134" i="1"/>
  <c r="AF134" i="1"/>
  <c r="AA134" i="1"/>
  <c r="AD134" i="1"/>
  <c r="AE134" i="1"/>
  <c r="AC134" i="1"/>
  <c r="AD82" i="1"/>
  <c r="AD92" i="1" s="1"/>
  <c r="AD85" i="1"/>
  <c r="E182" i="1"/>
  <c r="E186" i="1" s="1"/>
  <c r="E192" i="1" s="1"/>
  <c r="E195" i="1" s="1"/>
  <c r="E196" i="1" s="1"/>
  <c r="AG182" i="1"/>
  <c r="BX75" i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BX70" i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BX73" i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BX66" i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BX71" i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58" i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BX76" i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2" i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F175" i="1"/>
  <c r="G175" i="1" s="1"/>
  <c r="BL64" i="1"/>
  <c r="N14" i="31"/>
  <c r="C33" i="32"/>
  <c r="C30" i="31"/>
  <c r="G30" i="31"/>
  <c r="G33" i="32"/>
  <c r="N13" i="25"/>
  <c r="N15" i="25" s="1"/>
  <c r="AC82" i="1"/>
  <c r="AC92" i="1" s="1"/>
  <c r="W19" i="28"/>
  <c r="X19" i="28" s="1"/>
  <c r="Y19" i="28" s="1"/>
  <c r="Z19" i="28" s="1"/>
  <c r="AA19" i="28" s="1"/>
  <c r="AB19" i="28" s="1"/>
  <c r="AC19" i="28" s="1"/>
  <c r="AD19" i="28" s="1"/>
  <c r="AE19" i="28" s="1"/>
  <c r="AF19" i="28" s="1"/>
  <c r="AG19" i="28" s="1"/>
  <c r="AH19" i="28" s="1"/>
  <c r="AI19" i="28" s="1"/>
  <c r="AJ19" i="28" s="1"/>
  <c r="AK19" i="28" s="1"/>
  <c r="AL19" i="28" s="1"/>
  <c r="AM19" i="28" s="1"/>
  <c r="AN19" i="28" s="1"/>
  <c r="AO19" i="28" s="1"/>
  <c r="AP19" i="28" s="1"/>
  <c r="AQ19" i="28" s="1"/>
  <c r="AR19" i="28" s="1"/>
  <c r="AS19" i="28" s="1"/>
  <c r="AT19" i="28" s="1"/>
  <c r="AU19" i="28" s="1"/>
  <c r="AV19" i="28" s="1"/>
  <c r="AW19" i="28" s="1"/>
  <c r="AX19" i="28" s="1"/>
  <c r="AY19" i="28" s="1"/>
  <c r="AZ19" i="28" s="1"/>
  <c r="BA19" i="28" s="1"/>
  <c r="BB19" i="28" s="1"/>
  <c r="BC19" i="28" s="1"/>
  <c r="BD19" i="28" s="1"/>
  <c r="BE19" i="28" s="1"/>
  <c r="BF19" i="28" s="1"/>
  <c r="BG19" i="28" s="1"/>
  <c r="BH19" i="28" s="1"/>
  <c r="BI19" i="28" s="1"/>
  <c r="BJ19" i="28" s="1"/>
  <c r="BK19" i="28" s="1"/>
  <c r="BL19" i="28" s="1"/>
  <c r="BM19" i="28" s="1"/>
  <c r="BN19" i="28" s="1"/>
  <c r="BO19" i="28" s="1"/>
  <c r="BP19" i="28" s="1"/>
  <c r="BQ19" i="28" s="1"/>
  <c r="BR19" i="28" s="1"/>
  <c r="BS19" i="28" s="1"/>
  <c r="BT19" i="28" s="1"/>
  <c r="BU19" i="28" s="1"/>
  <c r="BV19" i="28" s="1"/>
  <c r="BW19" i="28" s="1"/>
  <c r="BX19" i="28" s="1"/>
  <c r="BY19" i="28" s="1"/>
  <c r="BZ19" i="28" s="1"/>
  <c r="CA19" i="28" s="1"/>
  <c r="CB19" i="28" s="1"/>
  <c r="CC19" i="28" s="1"/>
  <c r="CD19" i="28" s="1"/>
  <c r="CE19" i="28" s="1"/>
  <c r="CF19" i="28" s="1"/>
  <c r="CG19" i="28" s="1"/>
  <c r="CH19" i="28" s="1"/>
  <c r="CI19" i="28" s="1"/>
  <c r="CJ19" i="28" s="1"/>
  <c r="CK19" i="28" s="1"/>
  <c r="CL19" i="28" s="1"/>
  <c r="CM19" i="28" s="1"/>
  <c r="CN19" i="28" s="1"/>
  <c r="CO19" i="28" s="1"/>
  <c r="CP19" i="28" s="1"/>
  <c r="CQ19" i="28" s="1"/>
  <c r="CR19" i="28" s="1"/>
  <c r="CS19" i="28" s="1"/>
  <c r="CT19" i="28" s="1"/>
  <c r="CU19" i="28" s="1"/>
  <c r="CV19" i="28" s="1"/>
  <c r="CW19" i="28" s="1"/>
  <c r="CX19" i="28" s="1"/>
  <c r="CY19" i="28" s="1"/>
  <c r="CZ19" i="28" s="1"/>
  <c r="DA19" i="28" s="1"/>
  <c r="DB19" i="28" s="1"/>
  <c r="DC19" i="28" s="1"/>
  <c r="DD19" i="28" s="1"/>
  <c r="DE19" i="28" s="1"/>
  <c r="DF19" i="28" s="1"/>
  <c r="DG19" i="28" s="1"/>
  <c r="DH19" i="28" s="1"/>
  <c r="F25" i="31"/>
  <c r="D25" i="31"/>
  <c r="E27" i="31"/>
  <c r="AE82" i="1"/>
  <c r="AE92" i="1" s="1"/>
  <c r="F182" i="1"/>
  <c r="F186" i="1" s="1"/>
  <c r="F192" i="1" s="1"/>
  <c r="D19" i="25"/>
  <c r="D21" i="25" s="1"/>
  <c r="M6" i="28"/>
  <c r="N6" i="28" s="1"/>
  <c r="O6" i="28" s="1"/>
  <c r="H27" i="32"/>
  <c r="I22" i="27"/>
  <c r="I23" i="27" s="1"/>
  <c r="G22" i="27"/>
  <c r="G23" i="27" s="1"/>
  <c r="J17" i="27"/>
  <c r="E17" i="27"/>
  <c r="K17" i="27"/>
  <c r="M17" i="27"/>
  <c r="H22" i="27"/>
  <c r="H23" i="27" s="1"/>
  <c r="F17" i="27"/>
  <c r="D17" i="27"/>
  <c r="L17" i="27"/>
  <c r="D25" i="27"/>
  <c r="D26" i="27" s="1"/>
  <c r="D27" i="27" s="1"/>
  <c r="N17" i="27"/>
  <c r="F23" i="27"/>
  <c r="J23" i="27"/>
  <c r="E23" i="27"/>
  <c r="D23" i="27"/>
  <c r="L23" i="27"/>
  <c r="M23" i="27"/>
  <c r="N23" i="27"/>
  <c r="P17" i="27"/>
  <c r="K23" i="27"/>
  <c r="AA88" i="1"/>
  <c r="AA91" i="1" s="1"/>
  <c r="AA111" i="1"/>
  <c r="AB183" i="1" s="1"/>
  <c r="AA117" i="1"/>
  <c r="AB184" i="1" s="1"/>
  <c r="AA190" i="1"/>
  <c r="F36" i="25"/>
  <c r="Z9" i="1"/>
  <c r="Z10" i="1" s="1"/>
  <c r="W9" i="1"/>
  <c r="W10" i="1" s="1"/>
  <c r="X9" i="1"/>
  <c r="X10" i="1" s="1"/>
  <c r="Y9" i="1"/>
  <c r="Y10" i="1" s="1"/>
  <c r="Y88" i="1"/>
  <c r="Y91" i="1" s="1"/>
  <c r="Y111" i="1"/>
  <c r="Y117" i="1"/>
  <c r="Z88" i="1"/>
  <c r="Z91" i="1" s="1"/>
  <c r="Z117" i="1"/>
  <c r="I10" i="28" l="1"/>
  <c r="J10" i="28" s="1"/>
  <c r="K10" i="28" s="1"/>
  <c r="L10" i="28" s="1"/>
  <c r="M10" i="28" s="1"/>
  <c r="N10" i="28" s="1"/>
  <c r="O10" i="28" s="1"/>
  <c r="P10" i="28" s="1"/>
  <c r="Q10" i="28" s="1"/>
  <c r="R10" i="28" s="1"/>
  <c r="S10" i="28" s="1"/>
  <c r="T10" i="28" s="1"/>
  <c r="F23" i="28"/>
  <c r="F25" i="28"/>
  <c r="F39" i="28"/>
  <c r="G39" i="28" s="1"/>
  <c r="H39" i="28" s="1"/>
  <c r="I39" i="28" s="1"/>
  <c r="J39" i="28" s="1"/>
  <c r="K39" i="28" s="1"/>
  <c r="L39" i="28" s="1"/>
  <c r="M39" i="28" s="1"/>
  <c r="N39" i="28" s="1"/>
  <c r="O39" i="28" s="1"/>
  <c r="P39" i="28" s="1"/>
  <c r="Q39" i="28" s="1"/>
  <c r="R39" i="28" s="1"/>
  <c r="S39" i="28" s="1"/>
  <c r="T39" i="28" s="1"/>
  <c r="U39" i="28" s="1"/>
  <c r="V39" i="28" s="1"/>
  <c r="W39" i="28" s="1"/>
  <c r="X39" i="28" s="1"/>
  <c r="Y39" i="28" s="1"/>
  <c r="Z39" i="28" s="1"/>
  <c r="AA39" i="28" s="1"/>
  <c r="AB39" i="28" s="1"/>
  <c r="AC39" i="28" s="1"/>
  <c r="AD39" i="28" s="1"/>
  <c r="AE39" i="28" s="1"/>
  <c r="AF39" i="28" s="1"/>
  <c r="AG39" i="28" s="1"/>
  <c r="AH39" i="28" s="1"/>
  <c r="AI39" i="28" s="1"/>
  <c r="AJ39" i="28" s="1"/>
  <c r="AK39" i="28" s="1"/>
  <c r="AL39" i="28" s="1"/>
  <c r="AM39" i="28" s="1"/>
  <c r="AN39" i="28" s="1"/>
  <c r="AO39" i="28" s="1"/>
  <c r="AP39" i="28" s="1"/>
  <c r="AQ39" i="28" s="1"/>
  <c r="AR39" i="28" s="1"/>
  <c r="AS39" i="28" s="1"/>
  <c r="AT39" i="28" s="1"/>
  <c r="AU39" i="28" s="1"/>
  <c r="AV39" i="28" s="1"/>
  <c r="AW39" i="28" s="1"/>
  <c r="AX39" i="28" s="1"/>
  <c r="AY39" i="28" s="1"/>
  <c r="AZ39" i="28" s="1"/>
  <c r="BA39" i="28" s="1"/>
  <c r="BB39" i="28" s="1"/>
  <c r="BC39" i="28" s="1"/>
  <c r="BD39" i="28" s="1"/>
  <c r="BE39" i="28" s="1"/>
  <c r="BF39" i="28" s="1"/>
  <c r="BG39" i="28" s="1"/>
  <c r="BH39" i="28" s="1"/>
  <c r="BI39" i="28" s="1"/>
  <c r="BJ39" i="28" s="1"/>
  <c r="BK39" i="28" s="1"/>
  <c r="BL39" i="28" s="1"/>
  <c r="BM39" i="28" s="1"/>
  <c r="BN39" i="28" s="1"/>
  <c r="BO39" i="28" s="1"/>
  <c r="BP39" i="28" s="1"/>
  <c r="BQ39" i="28" s="1"/>
  <c r="BR39" i="28" s="1"/>
  <c r="BS39" i="28" s="1"/>
  <c r="BT39" i="28" s="1"/>
  <c r="BU39" i="28" s="1"/>
  <c r="BV39" i="28" s="1"/>
  <c r="BW39" i="28" s="1"/>
  <c r="BX39" i="28" s="1"/>
  <c r="BY39" i="28" s="1"/>
  <c r="BZ39" i="28" s="1"/>
  <c r="CA39" i="28" s="1"/>
  <c r="CB39" i="28" s="1"/>
  <c r="CC39" i="28" s="1"/>
  <c r="CD39" i="28" s="1"/>
  <c r="CE39" i="28" s="1"/>
  <c r="CF39" i="28" s="1"/>
  <c r="CG39" i="28" s="1"/>
  <c r="CH39" i="28" s="1"/>
  <c r="CI39" i="28" s="1"/>
  <c r="CJ39" i="28" s="1"/>
  <c r="CK39" i="28" s="1"/>
  <c r="CL39" i="28" s="1"/>
  <c r="CM39" i="28" s="1"/>
  <c r="CN39" i="28" s="1"/>
  <c r="CO39" i="28" s="1"/>
  <c r="CP39" i="28" s="1"/>
  <c r="CQ39" i="28" s="1"/>
  <c r="CR39" i="28" s="1"/>
  <c r="CS39" i="28" s="1"/>
  <c r="CT39" i="28" s="1"/>
  <c r="CU39" i="28" s="1"/>
  <c r="CV39" i="28" s="1"/>
  <c r="CW39" i="28" s="1"/>
  <c r="CX39" i="28" s="1"/>
  <c r="CY39" i="28" s="1"/>
  <c r="CZ39" i="28" s="1"/>
  <c r="DA39" i="28" s="1"/>
  <c r="DB39" i="28" s="1"/>
  <c r="DC39" i="28" s="1"/>
  <c r="DD39" i="28" s="1"/>
  <c r="DE39" i="28" s="1"/>
  <c r="DF39" i="28" s="1"/>
  <c r="DG39" i="28" s="1"/>
  <c r="DH39" i="28" s="1"/>
  <c r="F43" i="28"/>
  <c r="G43" i="28" s="1"/>
  <c r="H43" i="28" s="1"/>
  <c r="I43" i="28" s="1"/>
  <c r="J43" i="28" s="1"/>
  <c r="K43" i="28" s="1"/>
  <c r="L43" i="28" s="1"/>
  <c r="M43" i="28" s="1"/>
  <c r="N43" i="28" s="1"/>
  <c r="O43" i="28" s="1"/>
  <c r="P43" i="28" s="1"/>
  <c r="Q43" i="28" s="1"/>
  <c r="R43" i="28" s="1"/>
  <c r="S43" i="28" s="1"/>
  <c r="T43" i="28" s="1"/>
  <c r="U43" i="28" s="1"/>
  <c r="V43" i="28" s="1"/>
  <c r="W43" i="28" s="1"/>
  <c r="X43" i="28" s="1"/>
  <c r="Y43" i="28" s="1"/>
  <c r="Z43" i="28" s="1"/>
  <c r="AA43" i="28" s="1"/>
  <c r="AB43" i="28" s="1"/>
  <c r="AC43" i="28" s="1"/>
  <c r="AD43" i="28" s="1"/>
  <c r="AE43" i="28" s="1"/>
  <c r="AF43" i="28" s="1"/>
  <c r="AG43" i="28" s="1"/>
  <c r="AH43" i="28" s="1"/>
  <c r="AI43" i="28" s="1"/>
  <c r="AJ43" i="28" s="1"/>
  <c r="AK43" i="28" s="1"/>
  <c r="AL43" i="28" s="1"/>
  <c r="AM43" i="28" s="1"/>
  <c r="AN43" i="28" s="1"/>
  <c r="AO43" i="28" s="1"/>
  <c r="AP43" i="28" s="1"/>
  <c r="AQ43" i="28" s="1"/>
  <c r="AR43" i="28" s="1"/>
  <c r="AS43" i="28" s="1"/>
  <c r="AT43" i="28" s="1"/>
  <c r="AU43" i="28" s="1"/>
  <c r="AV43" i="28" s="1"/>
  <c r="AW43" i="28" s="1"/>
  <c r="AX43" i="28" s="1"/>
  <c r="AY43" i="28" s="1"/>
  <c r="AZ43" i="28" s="1"/>
  <c r="BA43" i="28" s="1"/>
  <c r="BB43" i="28" s="1"/>
  <c r="BC43" i="28" s="1"/>
  <c r="BD43" i="28" s="1"/>
  <c r="BE43" i="28" s="1"/>
  <c r="BF43" i="28" s="1"/>
  <c r="BG43" i="28" s="1"/>
  <c r="BH43" i="28" s="1"/>
  <c r="BI43" i="28" s="1"/>
  <c r="BJ43" i="28" s="1"/>
  <c r="BK43" i="28" s="1"/>
  <c r="BL43" i="28" s="1"/>
  <c r="BM43" i="28" s="1"/>
  <c r="BN43" i="28" s="1"/>
  <c r="BO43" i="28" s="1"/>
  <c r="BP43" i="28" s="1"/>
  <c r="BQ43" i="28" s="1"/>
  <c r="BR43" i="28" s="1"/>
  <c r="BS43" i="28" s="1"/>
  <c r="BT43" i="28" s="1"/>
  <c r="BU43" i="28" s="1"/>
  <c r="BV43" i="28" s="1"/>
  <c r="BW43" i="28" s="1"/>
  <c r="BX43" i="28" s="1"/>
  <c r="BY43" i="28" s="1"/>
  <c r="BZ43" i="28" s="1"/>
  <c r="CA43" i="28" s="1"/>
  <c r="CB43" i="28" s="1"/>
  <c r="CC43" i="28" s="1"/>
  <c r="CD43" i="28" s="1"/>
  <c r="CE43" i="28" s="1"/>
  <c r="CF43" i="28" s="1"/>
  <c r="CG43" i="28" s="1"/>
  <c r="CH43" i="28" s="1"/>
  <c r="CI43" i="28" s="1"/>
  <c r="CJ43" i="28" s="1"/>
  <c r="CK43" i="28" s="1"/>
  <c r="CL43" i="28" s="1"/>
  <c r="CM43" i="28" s="1"/>
  <c r="CN43" i="28" s="1"/>
  <c r="CO43" i="28" s="1"/>
  <c r="CP43" i="28" s="1"/>
  <c r="CQ43" i="28" s="1"/>
  <c r="CR43" i="28" s="1"/>
  <c r="CS43" i="28" s="1"/>
  <c r="CT43" i="28" s="1"/>
  <c r="CU43" i="28" s="1"/>
  <c r="CV43" i="28" s="1"/>
  <c r="CW43" i="28" s="1"/>
  <c r="CX43" i="28" s="1"/>
  <c r="CY43" i="28" s="1"/>
  <c r="CZ43" i="28" s="1"/>
  <c r="DA43" i="28" s="1"/>
  <c r="DB43" i="28" s="1"/>
  <c r="DC43" i="28" s="1"/>
  <c r="DD43" i="28" s="1"/>
  <c r="DE43" i="28" s="1"/>
  <c r="DF43" i="28" s="1"/>
  <c r="DG43" i="28" s="1"/>
  <c r="DH43" i="28" s="1"/>
  <c r="F41" i="28"/>
  <c r="G41" i="28" s="1"/>
  <c r="H41" i="28" s="1"/>
  <c r="I41" i="28" s="1"/>
  <c r="J41" i="28" s="1"/>
  <c r="K41" i="28" s="1"/>
  <c r="L41" i="28" s="1"/>
  <c r="M41" i="28" s="1"/>
  <c r="N41" i="28" s="1"/>
  <c r="O41" i="28" s="1"/>
  <c r="P41" i="28" s="1"/>
  <c r="Q41" i="28" s="1"/>
  <c r="R41" i="28" s="1"/>
  <c r="S41" i="28" s="1"/>
  <c r="T41" i="28" s="1"/>
  <c r="U41" i="28" s="1"/>
  <c r="V41" i="28" s="1"/>
  <c r="W41" i="28" s="1"/>
  <c r="X41" i="28" s="1"/>
  <c r="Y41" i="28" s="1"/>
  <c r="Z41" i="28" s="1"/>
  <c r="AA41" i="28" s="1"/>
  <c r="AB41" i="28" s="1"/>
  <c r="AC41" i="28" s="1"/>
  <c r="AD41" i="28" s="1"/>
  <c r="AE41" i="28" s="1"/>
  <c r="AF41" i="28" s="1"/>
  <c r="AG41" i="28" s="1"/>
  <c r="AH41" i="28" s="1"/>
  <c r="AI41" i="28" s="1"/>
  <c r="AJ41" i="28" s="1"/>
  <c r="AK41" i="28" s="1"/>
  <c r="AL41" i="28" s="1"/>
  <c r="AM41" i="28" s="1"/>
  <c r="AN41" i="28" s="1"/>
  <c r="AO41" i="28" s="1"/>
  <c r="AP41" i="28" s="1"/>
  <c r="AQ41" i="28" s="1"/>
  <c r="AR41" i="28" s="1"/>
  <c r="AS41" i="28" s="1"/>
  <c r="AT41" i="28" s="1"/>
  <c r="AU41" i="28" s="1"/>
  <c r="AV41" i="28" s="1"/>
  <c r="AW41" i="28" s="1"/>
  <c r="AX41" i="28" s="1"/>
  <c r="AY41" i="28" s="1"/>
  <c r="AZ41" i="28" s="1"/>
  <c r="BA41" i="28" s="1"/>
  <c r="BB41" i="28" s="1"/>
  <c r="BC41" i="28" s="1"/>
  <c r="BD41" i="28" s="1"/>
  <c r="BE41" i="28" s="1"/>
  <c r="BF41" i="28" s="1"/>
  <c r="BG41" i="28" s="1"/>
  <c r="BH41" i="28" s="1"/>
  <c r="BI41" i="28" s="1"/>
  <c r="BJ41" i="28" s="1"/>
  <c r="BK41" i="28" s="1"/>
  <c r="BL41" i="28" s="1"/>
  <c r="BM41" i="28" s="1"/>
  <c r="BN41" i="28" s="1"/>
  <c r="BO41" i="28" s="1"/>
  <c r="BP41" i="28" s="1"/>
  <c r="BQ41" i="28" s="1"/>
  <c r="BR41" i="28" s="1"/>
  <c r="BS41" i="28" s="1"/>
  <c r="BT41" i="28" s="1"/>
  <c r="BU41" i="28" s="1"/>
  <c r="BV41" i="28" s="1"/>
  <c r="BW41" i="28" s="1"/>
  <c r="BX41" i="28" s="1"/>
  <c r="BY41" i="28" s="1"/>
  <c r="BZ41" i="28" s="1"/>
  <c r="CA41" i="28" s="1"/>
  <c r="CB41" i="28" s="1"/>
  <c r="CC41" i="28" s="1"/>
  <c r="CD41" i="28" s="1"/>
  <c r="CE41" i="28" s="1"/>
  <c r="CF41" i="28" s="1"/>
  <c r="CG41" i="28" s="1"/>
  <c r="CH41" i="28" s="1"/>
  <c r="CI41" i="28" s="1"/>
  <c r="CJ41" i="28" s="1"/>
  <c r="CK41" i="28" s="1"/>
  <c r="CL41" i="28" s="1"/>
  <c r="CM41" i="28" s="1"/>
  <c r="CN41" i="28" s="1"/>
  <c r="CO41" i="28" s="1"/>
  <c r="CP41" i="28" s="1"/>
  <c r="CQ41" i="28" s="1"/>
  <c r="CR41" i="28" s="1"/>
  <c r="CS41" i="28" s="1"/>
  <c r="CT41" i="28" s="1"/>
  <c r="CU41" i="28" s="1"/>
  <c r="CV41" i="28" s="1"/>
  <c r="CW41" i="28" s="1"/>
  <c r="CX41" i="28" s="1"/>
  <c r="CY41" i="28" s="1"/>
  <c r="CZ41" i="28" s="1"/>
  <c r="DA41" i="28" s="1"/>
  <c r="DB41" i="28" s="1"/>
  <c r="DC41" i="28" s="1"/>
  <c r="DD41" i="28" s="1"/>
  <c r="DE41" i="28" s="1"/>
  <c r="DF41" i="28" s="1"/>
  <c r="DG41" i="28" s="1"/>
  <c r="DH41" i="28" s="1"/>
  <c r="F27" i="28"/>
  <c r="F176" i="1"/>
  <c r="F177" i="1" s="1"/>
  <c r="F178" i="1" s="1"/>
  <c r="F194" i="1"/>
  <c r="BB6" i="1"/>
  <c r="BB9" i="1" s="1"/>
  <c r="BC6" i="1"/>
  <c r="BC9" i="1" s="1"/>
  <c r="CJ76" i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J71" i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J73" i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58" i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CJ70" i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J75" i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2" i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CJ66" i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G25" i="31"/>
  <c r="G27" i="32"/>
  <c r="G28" i="32" s="1"/>
  <c r="BM64" i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AY6" i="1"/>
  <c r="AY9" i="1" s="1"/>
  <c r="AW6" i="1"/>
  <c r="AW9" i="1" s="1"/>
  <c r="BA6" i="1"/>
  <c r="BA9" i="1" s="1"/>
  <c r="AZ6" i="1"/>
  <c r="AZ9" i="1" s="1"/>
  <c r="AX6" i="1"/>
  <c r="AX9" i="1" s="1"/>
  <c r="E31" i="31"/>
  <c r="E32" i="31" s="1"/>
  <c r="E28" i="31"/>
  <c r="C25" i="31"/>
  <c r="D27" i="31"/>
  <c r="F27" i="31"/>
  <c r="F195" i="1"/>
  <c r="F196" i="1" s="1"/>
  <c r="G176" i="1"/>
  <c r="G177" i="1" s="1"/>
  <c r="G178" i="1" s="1"/>
  <c r="H175" i="1"/>
  <c r="H36" i="32"/>
  <c r="Y34" i="1"/>
  <c r="AA34" i="1"/>
  <c r="C19" i="27"/>
  <c r="AA184" i="1"/>
  <c r="Y118" i="1"/>
  <c r="Y112" i="1"/>
  <c r="X88" i="1"/>
  <c r="X91" i="1" s="1"/>
  <c r="X106" i="1"/>
  <c r="X111" i="1"/>
  <c r="X117" i="1"/>
  <c r="AU54" i="1"/>
  <c r="AV54" i="1" s="1"/>
  <c r="AW54" i="1" s="1"/>
  <c r="AX54" i="1" s="1"/>
  <c r="AY54" i="1" s="1"/>
  <c r="X34" i="1"/>
  <c r="AU55" i="1"/>
  <c r="AV55" i="1" s="1"/>
  <c r="AW55" i="1" s="1"/>
  <c r="AX55" i="1" s="1"/>
  <c r="AY55" i="1" s="1"/>
  <c r="W88" i="1"/>
  <c r="W91" i="1" s="1"/>
  <c r="W106" i="1"/>
  <c r="W111" i="1"/>
  <c r="W117" i="1"/>
  <c r="W190" i="1"/>
  <c r="I32" i="15"/>
  <c r="H32" i="15"/>
  <c r="G32" i="15"/>
  <c r="F32" i="15"/>
  <c r="E32" i="15"/>
  <c r="D32" i="15"/>
  <c r="C32" i="15"/>
  <c r="V117" i="1"/>
  <c r="U117" i="1"/>
  <c r="T117" i="1"/>
  <c r="S117" i="1"/>
  <c r="R117" i="1"/>
  <c r="Q117" i="1"/>
  <c r="P117" i="1"/>
  <c r="P184" i="1" s="1"/>
  <c r="V9" i="1"/>
  <c r="V10" i="1" s="1"/>
  <c r="U9" i="1"/>
  <c r="U10" i="1" s="1"/>
  <c r="S9" i="1"/>
  <c r="S10" i="1" s="1"/>
  <c r="S106" i="1"/>
  <c r="T106" i="1"/>
  <c r="U106" i="1"/>
  <c r="V106" i="1"/>
  <c r="S111" i="1"/>
  <c r="T111" i="1"/>
  <c r="U111" i="1"/>
  <c r="V111" i="1"/>
  <c r="T88" i="1"/>
  <c r="T91" i="1" s="1"/>
  <c r="T93" i="1" s="1"/>
  <c r="U88" i="1"/>
  <c r="U91" i="1" s="1"/>
  <c r="V88" i="1"/>
  <c r="V91" i="1" s="1"/>
  <c r="S88" i="1"/>
  <c r="S91" i="1" s="1"/>
  <c r="S93" i="1" s="1"/>
  <c r="T9" i="1"/>
  <c r="T10" i="1" s="1"/>
  <c r="Y121" i="1" l="1"/>
  <c r="Y120" i="1"/>
  <c r="G25" i="28"/>
  <c r="G23" i="28"/>
  <c r="G27" i="28"/>
  <c r="X82" i="1"/>
  <c r="Y82" i="1"/>
  <c r="Y92" i="1" s="1"/>
  <c r="AA82" i="1"/>
  <c r="AA92" i="1" s="1"/>
  <c r="AA182" i="1" s="1"/>
  <c r="CJ6" i="1"/>
  <c r="CJ9" i="1" s="1"/>
  <c r="CI6" i="1"/>
  <c r="CI9" i="1" s="1"/>
  <c r="BI6" i="1"/>
  <c r="BI9" i="1" s="1"/>
  <c r="AU134" i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CP134" i="1" s="1"/>
  <c r="CQ134" i="1" s="1"/>
  <c r="CR134" i="1" s="1"/>
  <c r="CS134" i="1" s="1"/>
  <c r="CT134" i="1" s="1"/>
  <c r="CU134" i="1" s="1"/>
  <c r="CV134" i="1" s="1"/>
  <c r="CW134" i="1" s="1"/>
  <c r="CX134" i="1" s="1"/>
  <c r="CY134" i="1" s="1"/>
  <c r="CZ134" i="1" s="1"/>
  <c r="DA134" i="1" s="1"/>
  <c r="DB134" i="1" s="1"/>
  <c r="DC134" i="1" s="1"/>
  <c r="DD134" i="1" s="1"/>
  <c r="DE134" i="1" s="1"/>
  <c r="DF134" i="1" s="1"/>
  <c r="DG134" i="1" s="1"/>
  <c r="CV70" i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CV73" i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CV75" i="1"/>
  <c r="CW75" i="1" s="1"/>
  <c r="CX75" i="1" s="1"/>
  <c r="CY75" i="1" s="1"/>
  <c r="CZ75" i="1" s="1"/>
  <c r="DA75" i="1" s="1"/>
  <c r="DB75" i="1" s="1"/>
  <c r="DC75" i="1" s="1"/>
  <c r="DD75" i="1" s="1"/>
  <c r="DE75" i="1" s="1"/>
  <c r="DF75" i="1" s="1"/>
  <c r="DG75" i="1" s="1"/>
  <c r="CV71" i="1"/>
  <c r="CW71" i="1" s="1"/>
  <c r="CX71" i="1" s="1"/>
  <c r="CY71" i="1" s="1"/>
  <c r="CZ71" i="1" s="1"/>
  <c r="DA71" i="1" s="1"/>
  <c r="DB71" i="1" s="1"/>
  <c r="DC71" i="1" s="1"/>
  <c r="DD71" i="1" s="1"/>
  <c r="DE71" i="1" s="1"/>
  <c r="DF71" i="1" s="1"/>
  <c r="DG71" i="1" s="1"/>
  <c r="CV76" i="1"/>
  <c r="CW76" i="1" s="1"/>
  <c r="CX76" i="1" s="1"/>
  <c r="CY76" i="1" s="1"/>
  <c r="CZ76" i="1" s="1"/>
  <c r="DA76" i="1" s="1"/>
  <c r="DB76" i="1" s="1"/>
  <c r="DC76" i="1" s="1"/>
  <c r="DD76" i="1" s="1"/>
  <c r="DE76" i="1" s="1"/>
  <c r="DF76" i="1" s="1"/>
  <c r="DG76" i="1" s="1"/>
  <c r="AZ54" i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AZ55" i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X64" i="1"/>
  <c r="BO6" i="1"/>
  <c r="BO9" i="1" s="1"/>
  <c r="BN6" i="1"/>
  <c r="BN9" i="1" s="1"/>
  <c r="BL6" i="1"/>
  <c r="BL9" i="1" s="1"/>
  <c r="BK6" i="1"/>
  <c r="BK9" i="1" s="1"/>
  <c r="BM6" i="1"/>
  <c r="BM9" i="1" s="1"/>
  <c r="BJ6" i="1"/>
  <c r="BJ9" i="1" s="1"/>
  <c r="F28" i="31"/>
  <c r="F31" i="31"/>
  <c r="F32" i="31" s="1"/>
  <c r="D31" i="31"/>
  <c r="D32" i="31" s="1"/>
  <c r="D28" i="31"/>
  <c r="C27" i="31"/>
  <c r="G194" i="1"/>
  <c r="G195" i="1" s="1"/>
  <c r="G196" i="1" s="1"/>
  <c r="H176" i="1"/>
  <c r="H177" i="1" s="1"/>
  <c r="H178" i="1" s="1"/>
  <c r="I175" i="1"/>
  <c r="AU170" i="1"/>
  <c r="U34" i="1"/>
  <c r="V34" i="1"/>
  <c r="W34" i="1"/>
  <c r="T34" i="1"/>
  <c r="G36" i="25"/>
  <c r="C20" i="27"/>
  <c r="C22" i="27" s="1"/>
  <c r="P19" i="27"/>
  <c r="P20" i="27" s="1"/>
  <c r="P22" i="27" s="1"/>
  <c r="C23" i="25"/>
  <c r="C24" i="25" s="1"/>
  <c r="C27" i="25" s="1"/>
  <c r="AA112" i="1"/>
  <c r="X118" i="1"/>
  <c r="X112" i="1"/>
  <c r="W184" i="1"/>
  <c r="W118" i="1"/>
  <c r="W112" i="1"/>
  <c r="T184" i="1"/>
  <c r="S34" i="1"/>
  <c r="V184" i="1"/>
  <c r="J32" i="15"/>
  <c r="U184" i="1"/>
  <c r="S118" i="1"/>
  <c r="U118" i="1"/>
  <c r="V118" i="1"/>
  <c r="T118" i="1"/>
  <c r="V112" i="1"/>
  <c r="U112" i="1"/>
  <c r="T112" i="1"/>
  <c r="R88" i="1"/>
  <c r="R91" i="1" s="1"/>
  <c r="R93" i="1" s="1"/>
  <c r="R106" i="1"/>
  <c r="R111" i="1"/>
  <c r="S184" i="1"/>
  <c r="R9" i="1"/>
  <c r="R10" i="1" s="1"/>
  <c r="Q9" i="1"/>
  <c r="Q10" i="1" s="1"/>
  <c r="Q88" i="1"/>
  <c r="Q91" i="1" s="1"/>
  <c r="Q93" i="1" s="1"/>
  <c r="Q106" i="1"/>
  <c r="Q111" i="1"/>
  <c r="P106" i="1"/>
  <c r="P88" i="1"/>
  <c r="P91" i="1" s="1"/>
  <c r="P93" i="1" s="1"/>
  <c r="P9" i="1"/>
  <c r="X121" i="1" l="1"/>
  <c r="X120" i="1"/>
  <c r="W121" i="1"/>
  <c r="W120" i="1"/>
  <c r="U121" i="1"/>
  <c r="U120" i="1"/>
  <c r="V121" i="1"/>
  <c r="V120" i="1"/>
  <c r="S121" i="1"/>
  <c r="S120" i="1"/>
  <c r="T121" i="1"/>
  <c r="T120" i="1"/>
  <c r="H25" i="28"/>
  <c r="H23" i="28"/>
  <c r="Q11" i="1"/>
  <c r="Q84" i="1" s="1"/>
  <c r="R11" i="1"/>
  <c r="R84" i="1" s="1"/>
  <c r="H27" i="28"/>
  <c r="W82" i="1"/>
  <c r="S82" i="1"/>
  <c r="X126" i="1"/>
  <c r="T82" i="1"/>
  <c r="Y126" i="1"/>
  <c r="BV6" i="1"/>
  <c r="BV9" i="1" s="1"/>
  <c r="AG186" i="1"/>
  <c r="AG192" i="1" s="1"/>
  <c r="I36" i="32"/>
  <c r="I33" i="31"/>
  <c r="I27" i="32"/>
  <c r="I24" i="31"/>
  <c r="BL54" i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L55" i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Y64" i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BW6" i="1"/>
  <c r="BW9" i="1" s="1"/>
  <c r="CK6" i="1"/>
  <c r="CK9" i="1" s="1"/>
  <c r="CA6" i="1"/>
  <c r="CA9" i="1" s="1"/>
  <c r="BZ6" i="1"/>
  <c r="BZ9" i="1" s="1"/>
  <c r="BX6" i="1"/>
  <c r="BX9" i="1" s="1"/>
  <c r="BY6" i="1"/>
  <c r="BY9" i="1" s="1"/>
  <c r="CB6" i="1"/>
  <c r="CB9" i="1" s="1"/>
  <c r="C31" i="31"/>
  <c r="C32" i="31" s="1"/>
  <c r="C28" i="31"/>
  <c r="H194" i="1"/>
  <c r="H195" i="1" s="1"/>
  <c r="H196" i="1" s="1"/>
  <c r="P10" i="1"/>
  <c r="C12" i="15"/>
  <c r="C14" i="15" s="1"/>
  <c r="C19" i="15" s="1"/>
  <c r="C21" i="15" s="1"/>
  <c r="C29" i="25"/>
  <c r="C33" i="25"/>
  <c r="C35" i="25" s="1"/>
  <c r="V82" i="1"/>
  <c r="V92" i="1" s="1"/>
  <c r="I176" i="1"/>
  <c r="I177" i="1" s="1"/>
  <c r="I178" i="1" s="1"/>
  <c r="J175" i="1"/>
  <c r="U82" i="1"/>
  <c r="AV170" i="1"/>
  <c r="H36" i="25"/>
  <c r="P23" i="27"/>
  <c r="C26" i="27"/>
  <c r="C27" i="27" s="1"/>
  <c r="C23" i="27"/>
  <c r="S112" i="1"/>
  <c r="K32" i="15"/>
  <c r="Q184" i="1"/>
  <c r="R34" i="1"/>
  <c r="R184" i="1"/>
  <c r="X184" i="1"/>
  <c r="Q118" i="1"/>
  <c r="R118" i="1"/>
  <c r="C30" i="6"/>
  <c r="C31" i="6"/>
  <c r="R121" i="1" l="1"/>
  <c r="R120" i="1"/>
  <c r="Q121" i="1"/>
  <c r="Q120" i="1"/>
  <c r="G59" i="28"/>
  <c r="H59" i="28" s="1"/>
  <c r="I27" i="28"/>
  <c r="I23" i="28"/>
  <c r="I25" i="28"/>
  <c r="G55" i="28"/>
  <c r="G57" i="28"/>
  <c r="R82" i="1"/>
  <c r="W126" i="1"/>
  <c r="P34" i="1"/>
  <c r="P112" i="1"/>
  <c r="CH6" i="1"/>
  <c r="CH9" i="1" s="1"/>
  <c r="J36" i="32"/>
  <c r="J33" i="31"/>
  <c r="J27" i="32"/>
  <c r="J24" i="31"/>
  <c r="BX55" i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BX54" i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64" i="1"/>
  <c r="CO6" i="1"/>
  <c r="CO9" i="1" s="1"/>
  <c r="CM6" i="1"/>
  <c r="CM9" i="1" s="1"/>
  <c r="CX6" i="1"/>
  <c r="CX9" i="1" s="1"/>
  <c r="CY6" i="1"/>
  <c r="CY9" i="1" s="1"/>
  <c r="DA6" i="1"/>
  <c r="DA9" i="1" s="1"/>
  <c r="CN6" i="1"/>
  <c r="CN9" i="1" s="1"/>
  <c r="CZ6" i="1"/>
  <c r="CZ9" i="1" s="1"/>
  <c r="CW6" i="1"/>
  <c r="CW9" i="1" s="1"/>
  <c r="CP6" i="1"/>
  <c r="CP9" i="1" s="1"/>
  <c r="CL6" i="1"/>
  <c r="CL9" i="1" s="1"/>
  <c r="I194" i="1"/>
  <c r="I195" i="1" s="1"/>
  <c r="I196" i="1" s="1"/>
  <c r="U92" i="1"/>
  <c r="J176" i="1"/>
  <c r="J177" i="1" s="1"/>
  <c r="J178" i="1" s="1"/>
  <c r="K175" i="1"/>
  <c r="AW170" i="1"/>
  <c r="Q34" i="1"/>
  <c r="I36" i="25"/>
  <c r="T92" i="1"/>
  <c r="X92" i="1"/>
  <c r="R112" i="1"/>
  <c r="S92" i="1"/>
  <c r="C19" i="6"/>
  <c r="K18" i="19"/>
  <c r="J27" i="28" l="1"/>
  <c r="J25" i="28"/>
  <c r="H55" i="28"/>
  <c r="S11" i="1"/>
  <c r="S84" i="1" s="1"/>
  <c r="J23" i="28"/>
  <c r="H57" i="28"/>
  <c r="P82" i="1"/>
  <c r="P92" i="1" s="1"/>
  <c r="U126" i="1"/>
  <c r="S126" i="1"/>
  <c r="Q126" i="1"/>
  <c r="T126" i="1"/>
  <c r="P126" i="1"/>
  <c r="R126" i="1"/>
  <c r="Q82" i="1"/>
  <c r="V126" i="1"/>
  <c r="CU6" i="1"/>
  <c r="CU9" i="1" s="1"/>
  <c r="K36" i="32"/>
  <c r="K33" i="31"/>
  <c r="K27" i="32"/>
  <c r="K24" i="31"/>
  <c r="CJ54" i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J55" i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K64" i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CV6" i="1"/>
  <c r="CV9" i="1" s="1"/>
  <c r="J194" i="1"/>
  <c r="J195" i="1" s="1"/>
  <c r="J196" i="1" s="1"/>
  <c r="W17" i="28"/>
  <c r="X17" i="28" s="1"/>
  <c r="Y17" i="28" s="1"/>
  <c r="Z17" i="28" s="1"/>
  <c r="AA17" i="28" s="1"/>
  <c r="AB17" i="28" s="1"/>
  <c r="K176" i="1"/>
  <c r="K177" i="1" s="1"/>
  <c r="K178" i="1" s="1"/>
  <c r="L175" i="1"/>
  <c r="AX170" i="1"/>
  <c r="J36" i="25"/>
  <c r="R92" i="1"/>
  <c r="D20" i="6"/>
  <c r="E20" i="6"/>
  <c r="F20" i="6"/>
  <c r="G20" i="6"/>
  <c r="H20" i="6"/>
  <c r="I20" i="6"/>
  <c r="J20" i="6"/>
  <c r="K20" i="6"/>
  <c r="L20" i="6"/>
  <c r="M20" i="6"/>
  <c r="C20" i="6"/>
  <c r="N20" i="6"/>
  <c r="I59" i="28" l="1"/>
  <c r="K27" i="28"/>
  <c r="K25" i="28"/>
  <c r="I55" i="28"/>
  <c r="T11" i="1"/>
  <c r="K23" i="28"/>
  <c r="I57" i="28"/>
  <c r="L36" i="32"/>
  <c r="L33" i="31"/>
  <c r="L27" i="32"/>
  <c r="L24" i="31"/>
  <c r="CV55" i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CV54" i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K194" i="1"/>
  <c r="K195" i="1" s="1"/>
  <c r="L194" i="1" s="1"/>
  <c r="L195" i="1" s="1"/>
  <c r="W15" i="28"/>
  <c r="X15" i="28" s="1"/>
  <c r="L176" i="1"/>
  <c r="L177" i="1" s="1"/>
  <c r="L178" i="1" s="1"/>
  <c r="M175" i="1"/>
  <c r="P182" i="1"/>
  <c r="P175" i="1"/>
  <c r="P176" i="1" s="1"/>
  <c r="AY170" i="1"/>
  <c r="K36" i="25"/>
  <c r="P20" i="6"/>
  <c r="C45" i="18"/>
  <c r="B34" i="18"/>
  <c r="C34" i="18" s="1"/>
  <c r="B12" i="18"/>
  <c r="C12" i="18" s="1"/>
  <c r="E3" i="18"/>
  <c r="C2" i="18"/>
  <c r="K27" i="16"/>
  <c r="J57" i="28" l="1"/>
  <c r="L23" i="28"/>
  <c r="T145" i="1"/>
  <c r="T84" i="1"/>
  <c r="J55" i="28"/>
  <c r="U11" i="1"/>
  <c r="L25" i="28"/>
  <c r="J59" i="28"/>
  <c r="L27" i="28"/>
  <c r="Y15" i="28"/>
  <c r="Z15" i="28" s="1"/>
  <c r="AA15" i="28" s="1"/>
  <c r="AB15" i="28" s="1"/>
  <c r="K196" i="1"/>
  <c r="M27" i="32"/>
  <c r="M24" i="31"/>
  <c r="L196" i="1"/>
  <c r="M194" i="1"/>
  <c r="M195" i="1" s="1"/>
  <c r="M176" i="1"/>
  <c r="M177" i="1" s="1"/>
  <c r="M178" i="1" s="1"/>
  <c r="N175" i="1"/>
  <c r="N176" i="1" s="1"/>
  <c r="N177" i="1" s="1"/>
  <c r="N178" i="1" s="1"/>
  <c r="AZ170" i="1"/>
  <c r="AU171" i="1"/>
  <c r="L36" i="25"/>
  <c r="N10" i="15"/>
  <c r="M10" i="15"/>
  <c r="L10" i="15"/>
  <c r="K10" i="15"/>
  <c r="J10" i="15"/>
  <c r="I10" i="15"/>
  <c r="H10" i="15"/>
  <c r="G10" i="15"/>
  <c r="F10" i="15"/>
  <c r="E10" i="15"/>
  <c r="D10" i="15"/>
  <c r="C10" i="15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2" i="1" s="1"/>
  <c r="R1" i="1"/>
  <c r="R2" i="1" s="1"/>
  <c r="S1" i="1"/>
  <c r="S2" i="1" s="1"/>
  <c r="T1" i="1"/>
  <c r="T2" i="1" s="1"/>
  <c r="U1" i="1"/>
  <c r="U2" i="1" s="1"/>
  <c r="V1" i="1"/>
  <c r="V2" i="1" s="1"/>
  <c r="W1" i="1"/>
  <c r="W2" i="1" s="1"/>
  <c r="X1" i="1"/>
  <c r="X2" i="1" s="1"/>
  <c r="Y1" i="1"/>
  <c r="Y2" i="1" s="1"/>
  <c r="Z1" i="1"/>
  <c r="Z2" i="1" s="1"/>
  <c r="AA1" i="1"/>
  <c r="AA2" i="1" s="1"/>
  <c r="AB1" i="1"/>
  <c r="AB2" i="1" s="1"/>
  <c r="AC1" i="1"/>
  <c r="AC2" i="1" s="1"/>
  <c r="AD1" i="1"/>
  <c r="AD2" i="1" s="1"/>
  <c r="AE1" i="1"/>
  <c r="AE2" i="1" s="1"/>
  <c r="AF1" i="1"/>
  <c r="AF2" i="1" s="1"/>
  <c r="AG1" i="1"/>
  <c r="AG2" i="1" s="1"/>
  <c r="AH1" i="1"/>
  <c r="AH2" i="1" s="1"/>
  <c r="AI1" i="1"/>
  <c r="AI2" i="1" s="1"/>
  <c r="AJ1" i="1"/>
  <c r="AJ2" i="1" s="1"/>
  <c r="AK1" i="1"/>
  <c r="AK2" i="1" s="1"/>
  <c r="AL1" i="1"/>
  <c r="AL2" i="1" s="1"/>
  <c r="AM1" i="1"/>
  <c r="AM2" i="1" s="1"/>
  <c r="AN1" i="1"/>
  <c r="AO1" i="1"/>
  <c r="AP1" i="1"/>
  <c r="AQ1" i="1"/>
  <c r="AQ2" i="1" s="1"/>
  <c r="AR1" i="1"/>
  <c r="AR2" i="1" s="1"/>
  <c r="AS1" i="1"/>
  <c r="AS2" i="1" s="1"/>
  <c r="AT1" i="1"/>
  <c r="AT2" i="1" s="1"/>
  <c r="AU1" i="1"/>
  <c r="AU2" i="1" s="1"/>
  <c r="AV1" i="1"/>
  <c r="AV2" i="1" s="1"/>
  <c r="AW1" i="1"/>
  <c r="AW2" i="1" s="1"/>
  <c r="AX1" i="1"/>
  <c r="AX2" i="1" s="1"/>
  <c r="AY1" i="1"/>
  <c r="AY2" i="1" s="1"/>
  <c r="AZ1" i="1"/>
  <c r="BA1" i="1"/>
  <c r="BB1" i="1"/>
  <c r="BB2" i="1" s="1"/>
  <c r="BC1" i="1"/>
  <c r="BC2" i="1" s="1"/>
  <c r="BD1" i="1"/>
  <c r="BD2" i="1" s="1"/>
  <c r="BE1" i="1"/>
  <c r="BE2" i="1" s="1"/>
  <c r="BF1" i="1"/>
  <c r="BF2" i="1" s="1"/>
  <c r="BG1" i="1"/>
  <c r="BG2" i="1" s="1"/>
  <c r="BH1" i="1"/>
  <c r="BH2" i="1" s="1"/>
  <c r="BI1" i="1"/>
  <c r="BI2" i="1" s="1"/>
  <c r="BJ1" i="1"/>
  <c r="BJ2" i="1" s="1"/>
  <c r="BK1" i="1"/>
  <c r="BK2" i="1" s="1"/>
  <c r="BL1" i="1"/>
  <c r="BL2" i="1" s="1"/>
  <c r="BM1" i="1"/>
  <c r="BM2" i="1" s="1"/>
  <c r="BN1" i="1"/>
  <c r="BN2" i="1" s="1"/>
  <c r="BO1" i="1"/>
  <c r="BO2" i="1" s="1"/>
  <c r="BP1" i="1"/>
  <c r="BP2" i="1" s="1"/>
  <c r="BQ1" i="1"/>
  <c r="BQ2" i="1" s="1"/>
  <c r="BR1" i="1"/>
  <c r="BR2" i="1" s="1"/>
  <c r="BS1" i="1"/>
  <c r="BS2" i="1" s="1"/>
  <c r="BT1" i="1"/>
  <c r="BT2" i="1" s="1"/>
  <c r="BU1" i="1"/>
  <c r="BU2" i="1" s="1"/>
  <c r="BV1" i="1"/>
  <c r="BV2" i="1" s="1"/>
  <c r="BW1" i="1"/>
  <c r="BW2" i="1" s="1"/>
  <c r="BX1" i="1"/>
  <c r="BX2" i="1" s="1"/>
  <c r="BY1" i="1"/>
  <c r="BY2" i="1" s="1"/>
  <c r="BZ1" i="1"/>
  <c r="BZ2" i="1" s="1"/>
  <c r="CA1" i="1"/>
  <c r="CA2" i="1" s="1"/>
  <c r="CB1" i="1"/>
  <c r="CB2" i="1" s="1"/>
  <c r="CC1" i="1"/>
  <c r="CC2" i="1" s="1"/>
  <c r="CD1" i="1"/>
  <c r="CD2" i="1" s="1"/>
  <c r="CE1" i="1"/>
  <c r="CE2" i="1" s="1"/>
  <c r="CF1" i="1"/>
  <c r="CF2" i="1" s="1"/>
  <c r="CG1" i="1"/>
  <c r="CG2" i="1" s="1"/>
  <c r="CH1" i="1"/>
  <c r="CH2" i="1" s="1"/>
  <c r="CI1" i="1"/>
  <c r="CI2" i="1" s="1"/>
  <c r="CJ1" i="1"/>
  <c r="CJ2" i="1" s="1"/>
  <c r="CK1" i="1"/>
  <c r="CK2" i="1" s="1"/>
  <c r="CL1" i="1"/>
  <c r="CL2" i="1" s="1"/>
  <c r="CM1" i="1"/>
  <c r="CM2" i="1" s="1"/>
  <c r="CN1" i="1"/>
  <c r="CN2" i="1" s="1"/>
  <c r="CO1" i="1"/>
  <c r="CO2" i="1" s="1"/>
  <c r="CP1" i="1"/>
  <c r="CP2" i="1" s="1"/>
  <c r="CQ1" i="1"/>
  <c r="CQ2" i="1" s="1"/>
  <c r="CR1" i="1"/>
  <c r="CR2" i="1" s="1"/>
  <c r="CS1" i="1"/>
  <c r="CS2" i="1" s="1"/>
  <c r="CT1" i="1"/>
  <c r="CT2" i="1" s="1"/>
  <c r="CU1" i="1"/>
  <c r="CU2" i="1" s="1"/>
  <c r="CV1" i="1"/>
  <c r="CV2" i="1" s="1"/>
  <c r="CW1" i="1"/>
  <c r="CW2" i="1" s="1"/>
  <c r="CX1" i="1"/>
  <c r="CX2" i="1" s="1"/>
  <c r="CY1" i="1"/>
  <c r="CY2" i="1" s="1"/>
  <c r="CZ1" i="1"/>
  <c r="CZ2" i="1" s="1"/>
  <c r="DA1" i="1"/>
  <c r="DA2" i="1" s="1"/>
  <c r="DB1" i="1"/>
  <c r="DB2" i="1" s="1"/>
  <c r="DC1" i="1"/>
  <c r="DC2" i="1" s="1"/>
  <c r="DD1" i="1"/>
  <c r="DD2" i="1" s="1"/>
  <c r="DE1" i="1"/>
  <c r="DE2" i="1" s="1"/>
  <c r="DF1" i="1"/>
  <c r="DF2" i="1" s="1"/>
  <c r="DG1" i="1"/>
  <c r="DG2" i="1" s="1"/>
  <c r="AU53" i="1"/>
  <c r="AV53" i="1" s="1"/>
  <c r="AW53" i="1" s="1"/>
  <c r="AX53" i="1" s="1"/>
  <c r="AY53" i="1" s="1"/>
  <c r="AU39" i="1"/>
  <c r="AV39" i="1" s="1"/>
  <c r="AW39" i="1" s="1"/>
  <c r="AX39" i="1" s="1"/>
  <c r="AY39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I15" i="5" l="1"/>
  <c r="L15" i="5"/>
  <c r="J15" i="5"/>
  <c r="G15" i="5"/>
  <c r="K15" i="5"/>
  <c r="D15" i="5"/>
  <c r="E15" i="5"/>
  <c r="H15" i="5"/>
  <c r="L19" i="5"/>
  <c r="D19" i="5"/>
  <c r="E19" i="5"/>
  <c r="G19" i="5"/>
  <c r="J19" i="5"/>
  <c r="H19" i="5"/>
  <c r="I19" i="5"/>
  <c r="K19" i="5"/>
  <c r="AP2" i="1"/>
  <c r="AU41" i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U35" i="1"/>
  <c r="U83" i="1" s="1"/>
  <c r="U93" i="1" s="1"/>
  <c r="C26" i="34"/>
  <c r="BA2" i="1"/>
  <c r="AO2" i="1"/>
  <c r="K57" i="28"/>
  <c r="U145" i="1"/>
  <c r="M23" i="28"/>
  <c r="K59" i="28"/>
  <c r="M25" i="28"/>
  <c r="M27" i="28"/>
  <c r="K55" i="28"/>
  <c r="V11" i="1"/>
  <c r="D16" i="5"/>
  <c r="D35" i="5"/>
  <c r="K14" i="5"/>
  <c r="G17" i="5"/>
  <c r="D26" i="5"/>
  <c r="H16" i="5"/>
  <c r="L14" i="5"/>
  <c r="D43" i="5"/>
  <c r="E17" i="5"/>
  <c r="D17" i="5"/>
  <c r="D14" i="5"/>
  <c r="I36" i="5"/>
  <c r="J16" i="5"/>
  <c r="L16" i="5"/>
  <c r="G14" i="5"/>
  <c r="H17" i="5"/>
  <c r="G36" i="5"/>
  <c r="D34" i="5"/>
  <c r="K16" i="5"/>
  <c r="D24" i="5"/>
  <c r="E35" i="5"/>
  <c r="I14" i="5"/>
  <c r="I17" i="5"/>
  <c r="D25" i="5"/>
  <c r="K36" i="5"/>
  <c r="J14" i="5"/>
  <c r="J17" i="5"/>
  <c r="D23" i="5"/>
  <c r="H36" i="5"/>
  <c r="I16" i="5"/>
  <c r="H14" i="5"/>
  <c r="L17" i="5"/>
  <c r="D36" i="5"/>
  <c r="L36" i="5"/>
  <c r="E36" i="5"/>
  <c r="E14" i="5"/>
  <c r="J36" i="5"/>
  <c r="K17" i="5"/>
  <c r="AN2" i="1"/>
  <c r="P37" i="34"/>
  <c r="P36" i="34"/>
  <c r="AZ2" i="1"/>
  <c r="M36" i="32"/>
  <c r="M33" i="31"/>
  <c r="N27" i="32"/>
  <c r="N24" i="31"/>
  <c r="AZ39" i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AZ53" i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P2" i="1"/>
  <c r="N194" i="1"/>
  <c r="N195" i="1" s="1"/>
  <c r="M196" i="1"/>
  <c r="AV171" i="1"/>
  <c r="BA170" i="1"/>
  <c r="M36" i="25"/>
  <c r="AA18" i="1"/>
  <c r="AA19" i="1"/>
  <c r="AA17" i="1"/>
  <c r="Q17" i="1"/>
  <c r="R19" i="1"/>
  <c r="L14" i="6"/>
  <c r="L16" i="6" s="1"/>
  <c r="J14" i="6"/>
  <c r="J16" i="6" s="1"/>
  <c r="J17" i="6" s="1"/>
  <c r="K14" i="6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C12" i="37" l="1"/>
  <c r="C13" i="37"/>
  <c r="D13" i="37"/>
  <c r="F13" i="37"/>
  <c r="H13" i="37"/>
  <c r="F15" i="5"/>
  <c r="C14" i="37"/>
  <c r="H14" i="37"/>
  <c r="D14" i="37"/>
  <c r="F14" i="37"/>
  <c r="F36" i="5"/>
  <c r="F14" i="5"/>
  <c r="F19" i="5"/>
  <c r="F35" i="5"/>
  <c r="F17" i="5"/>
  <c r="C27" i="37"/>
  <c r="C19" i="37"/>
  <c r="H16" i="37"/>
  <c r="C34" i="37"/>
  <c r="C16" i="37"/>
  <c r="C20" i="37"/>
  <c r="D16" i="37"/>
  <c r="C28" i="37"/>
  <c r="F16" i="37"/>
  <c r="C18" i="37"/>
  <c r="D26" i="34"/>
  <c r="V35" i="1"/>
  <c r="V83" i="1" s="1"/>
  <c r="V93" i="1" s="1"/>
  <c r="U84" i="1"/>
  <c r="AU167" i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AU166" i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N27" i="28"/>
  <c r="V145" i="1"/>
  <c r="L57" i="28"/>
  <c r="N25" i="28"/>
  <c r="N23" i="28"/>
  <c r="L59" i="28"/>
  <c r="L55" i="28"/>
  <c r="W11" i="1"/>
  <c r="W35" i="1" s="1"/>
  <c r="W83" i="1" s="1"/>
  <c r="W93" i="1" s="1"/>
  <c r="H20" i="5"/>
  <c r="L20" i="5"/>
  <c r="I20" i="5"/>
  <c r="J20" i="5"/>
  <c r="D37" i="5"/>
  <c r="K20" i="5"/>
  <c r="D20" i="5"/>
  <c r="D28" i="5" s="1"/>
  <c r="BL39" i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L53" i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AU65" i="1"/>
  <c r="N196" i="1"/>
  <c r="O194" i="1"/>
  <c r="O195" i="1" s="1"/>
  <c r="BB170" i="1"/>
  <c r="AW171" i="1"/>
  <c r="N36" i="25"/>
  <c r="P36" i="25" s="1"/>
  <c r="AA16" i="1"/>
  <c r="AA20" i="1" s="1"/>
  <c r="M26" i="6"/>
  <c r="N26" i="6"/>
  <c r="K16" i="6"/>
  <c r="L17" i="6"/>
  <c r="I16" i="37" l="1"/>
  <c r="AU52" i="1"/>
  <c r="E14" i="37"/>
  <c r="G14" i="37"/>
  <c r="I14" i="37"/>
  <c r="K14" i="37"/>
  <c r="C15" i="37"/>
  <c r="E16" i="37"/>
  <c r="I13" i="37"/>
  <c r="AU40" i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C21" i="37"/>
  <c r="AO184" i="1"/>
  <c r="E13" i="37"/>
  <c r="C25" i="37"/>
  <c r="K13" i="37"/>
  <c r="G13" i="37"/>
  <c r="G16" i="37"/>
  <c r="K16" i="37"/>
  <c r="C29" i="37"/>
  <c r="V84" i="1"/>
  <c r="W49" i="1"/>
  <c r="W50" i="1"/>
  <c r="M59" i="28"/>
  <c r="N59" i="28" s="1"/>
  <c r="W145" i="1"/>
  <c r="M57" i="28"/>
  <c r="O27" i="28"/>
  <c r="X11" i="1"/>
  <c r="X35" i="1" s="1"/>
  <c r="X83" i="1" s="1"/>
  <c r="X93" i="1" s="1"/>
  <c r="M55" i="28"/>
  <c r="O23" i="28"/>
  <c r="O25" i="28"/>
  <c r="W30" i="1"/>
  <c r="W29" i="1"/>
  <c r="W31" i="1"/>
  <c r="W84" i="1"/>
  <c r="D40" i="5"/>
  <c r="D45" i="5" s="1"/>
  <c r="D49" i="5" s="1"/>
  <c r="D30" i="5"/>
  <c r="BX53" i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BX39" i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P194" i="1"/>
  <c r="O196" i="1"/>
  <c r="AV65" i="1"/>
  <c r="BC170" i="1"/>
  <c r="AX171" i="1"/>
  <c r="AA21" i="1"/>
  <c r="K17" i="6"/>
  <c r="AV52" i="1" l="1"/>
  <c r="AU57" i="1"/>
  <c r="C23" i="37"/>
  <c r="C24" i="37" s="1"/>
  <c r="F26" i="34"/>
  <c r="X49" i="1"/>
  <c r="X50" i="1"/>
  <c r="N57" i="28"/>
  <c r="X30" i="1"/>
  <c r="X29" i="1"/>
  <c r="X31" i="1"/>
  <c r="X84" i="1"/>
  <c r="P25" i="28"/>
  <c r="N55" i="28"/>
  <c r="Y11" i="1"/>
  <c r="Y35" i="1" s="1"/>
  <c r="Y83" i="1" s="1"/>
  <c r="Y93" i="1" s="1"/>
  <c r="P27" i="28"/>
  <c r="P23" i="28"/>
  <c r="O59" i="28"/>
  <c r="X145" i="1"/>
  <c r="E26" i="34"/>
  <c r="CJ39" i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J53" i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AW65" i="1"/>
  <c r="AY171" i="1"/>
  <c r="BD170" i="1"/>
  <c r="W92" i="1"/>
  <c r="W183" i="1"/>
  <c r="AW52" i="1" l="1"/>
  <c r="AV57" i="1"/>
  <c r="C31" i="37"/>
  <c r="C32" i="37" s="1"/>
  <c r="Y49" i="1"/>
  <c r="Y50" i="1"/>
  <c r="Y145" i="1"/>
  <c r="Q23" i="28"/>
  <c r="Q25" i="28"/>
  <c r="P59" i="28"/>
  <c r="O57" i="28"/>
  <c r="Q27" i="28"/>
  <c r="O55" i="28"/>
  <c r="Z11" i="1"/>
  <c r="Z35" i="1" s="1"/>
  <c r="Z83" i="1" s="1"/>
  <c r="Z93" i="1" s="1"/>
  <c r="Y30" i="1"/>
  <c r="Y31" i="1"/>
  <c r="Y29" i="1"/>
  <c r="Y84" i="1"/>
  <c r="CV39" i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CV53" i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AX65" i="1"/>
  <c r="BE170" i="1"/>
  <c r="AZ171" i="1"/>
  <c r="AU132" i="1"/>
  <c r="AU90" i="1"/>
  <c r="W182" i="1"/>
  <c r="W186" i="1" s="1"/>
  <c r="W192" i="1" s="1"/>
  <c r="AX52" i="1" l="1"/>
  <c r="AW57" i="1"/>
  <c r="D28" i="37"/>
  <c r="C35" i="37"/>
  <c r="C36" i="37" s="1"/>
  <c r="H26" i="34"/>
  <c r="Z49" i="1"/>
  <c r="Z50" i="1"/>
  <c r="Z145" i="1"/>
  <c r="R23" i="28"/>
  <c r="R25" i="28"/>
  <c r="Z29" i="1"/>
  <c r="Z30" i="1"/>
  <c r="Z31" i="1"/>
  <c r="Z84" i="1"/>
  <c r="P57" i="28"/>
  <c r="R27" i="28"/>
  <c r="P55" i="28"/>
  <c r="G26" i="34"/>
  <c r="AY65" i="1"/>
  <c r="AZ65" i="1" s="1"/>
  <c r="AU62" i="1"/>
  <c r="BA171" i="1"/>
  <c r="BF170" i="1"/>
  <c r="AV132" i="1"/>
  <c r="AV90" i="1"/>
  <c r="AD189" i="1"/>
  <c r="Y184" i="1"/>
  <c r="E28" i="37" l="1"/>
  <c r="E29" i="37" s="1"/>
  <c r="AY52" i="1"/>
  <c r="AX57" i="1"/>
  <c r="S23" i="28"/>
  <c r="Q55" i="28"/>
  <c r="Q57" i="28"/>
  <c r="S25" i="28"/>
  <c r="Q59" i="28"/>
  <c r="S27" i="28"/>
  <c r="I26" i="34"/>
  <c r="AV62" i="1"/>
  <c r="BG170" i="1"/>
  <c r="BB171" i="1"/>
  <c r="AW132" i="1"/>
  <c r="AW90" i="1"/>
  <c r="AU59" i="1"/>
  <c r="AU61" i="1" s="1"/>
  <c r="AU63" i="1"/>
  <c r="AU68" i="1" s="1"/>
  <c r="AE189" i="1"/>
  <c r="Z184" i="1"/>
  <c r="AY57" i="1" l="1"/>
  <c r="AZ52" i="1"/>
  <c r="AU78" i="1"/>
  <c r="J26" i="34" s="1"/>
  <c r="R59" i="28"/>
  <c r="R57" i="28"/>
  <c r="R55" i="28"/>
  <c r="T23" i="28"/>
  <c r="T27" i="28"/>
  <c r="T25" i="28"/>
  <c r="BA65" i="1"/>
  <c r="AW62" i="1"/>
  <c r="BH170" i="1"/>
  <c r="BC171" i="1"/>
  <c r="AX132" i="1"/>
  <c r="AX90" i="1"/>
  <c r="AV63" i="1"/>
  <c r="AV68" i="1" s="1"/>
  <c r="AV59" i="1"/>
  <c r="AV61" i="1" s="1"/>
  <c r="AV78" i="1" l="1"/>
  <c r="K26" i="34" s="1"/>
  <c r="F28" i="37"/>
  <c r="BA52" i="1"/>
  <c r="AZ57" i="1"/>
  <c r="S59" i="28"/>
  <c r="S57" i="28"/>
  <c r="S55" i="28"/>
  <c r="BB65" i="1"/>
  <c r="AX62" i="1"/>
  <c r="BI170" i="1"/>
  <c r="BD171" i="1"/>
  <c r="AY132" i="1"/>
  <c r="AY90" i="1"/>
  <c r="AW59" i="1"/>
  <c r="AW61" i="1" s="1"/>
  <c r="AW63" i="1"/>
  <c r="AW68" i="1" s="1"/>
  <c r="G28" i="37" l="1"/>
  <c r="BB52" i="1"/>
  <c r="BA57" i="1"/>
  <c r="AW78" i="1"/>
  <c r="T57" i="28"/>
  <c r="T55" i="28"/>
  <c r="T59" i="28"/>
  <c r="BC65" i="1"/>
  <c r="AY62" i="1"/>
  <c r="BJ170" i="1"/>
  <c r="BE171" i="1"/>
  <c r="AZ132" i="1"/>
  <c r="AZ90" i="1"/>
  <c r="AX59" i="1"/>
  <c r="AX61" i="1" s="1"/>
  <c r="AX63" i="1"/>
  <c r="AX68" i="1" s="1"/>
  <c r="L26" i="34" l="1"/>
  <c r="BC52" i="1"/>
  <c r="BB57" i="1"/>
  <c r="AX78" i="1"/>
  <c r="M26" i="34" s="1"/>
  <c r="BD65" i="1"/>
  <c r="AZ62" i="1"/>
  <c r="BK170" i="1"/>
  <c r="BF171" i="1"/>
  <c r="BA132" i="1"/>
  <c r="BA90" i="1"/>
  <c r="AY63" i="1"/>
  <c r="AY68" i="1" s="1"/>
  <c r="AY59" i="1"/>
  <c r="L32" i="15"/>
  <c r="BD52" i="1" l="1"/>
  <c r="BC57" i="1"/>
  <c r="AY61" i="1"/>
  <c r="AY78" i="1" s="1"/>
  <c r="H28" i="37" s="1"/>
  <c r="AZ59" i="1"/>
  <c r="AZ61" i="1" s="1"/>
  <c r="AZ63" i="1"/>
  <c r="AZ68" i="1" s="1"/>
  <c r="BE65" i="1"/>
  <c r="BA62" i="1"/>
  <c r="BG171" i="1"/>
  <c r="BL170" i="1"/>
  <c r="BB132" i="1"/>
  <c r="BB90" i="1"/>
  <c r="M32" i="15"/>
  <c r="I28" i="37" l="1"/>
  <c r="K28" i="37"/>
  <c r="BE52" i="1"/>
  <c r="BD57" i="1"/>
  <c r="N26" i="34"/>
  <c r="P26" i="34" s="1"/>
  <c r="BF65" i="1"/>
  <c r="BB62" i="1"/>
  <c r="BH171" i="1"/>
  <c r="BM170" i="1"/>
  <c r="BC132" i="1"/>
  <c r="BC90" i="1"/>
  <c r="BA59" i="1"/>
  <c r="BA61" i="1" s="1"/>
  <c r="BA63" i="1"/>
  <c r="BA68" i="1" s="1"/>
  <c r="N32" i="15"/>
  <c r="AK189" i="1"/>
  <c r="BF52" i="1" l="1"/>
  <c r="BE57" i="1"/>
  <c r="BG65" i="1"/>
  <c r="BC62" i="1"/>
  <c r="BI171" i="1"/>
  <c r="BN170" i="1"/>
  <c r="BD132" i="1"/>
  <c r="BD90" i="1"/>
  <c r="BB63" i="1"/>
  <c r="BB68" i="1" s="1"/>
  <c r="BB59" i="1"/>
  <c r="BB61" i="1" s="1"/>
  <c r="AL189" i="1"/>
  <c r="P32" i="15"/>
  <c r="BG52" i="1" l="1"/>
  <c r="BF57" i="1"/>
  <c r="BH65" i="1"/>
  <c r="BD62" i="1"/>
  <c r="BO170" i="1"/>
  <c r="BJ171" i="1"/>
  <c r="BE132" i="1"/>
  <c r="BE90" i="1"/>
  <c r="BC63" i="1"/>
  <c r="BC68" i="1" s="1"/>
  <c r="BC59" i="1"/>
  <c r="BC61" i="1" s="1"/>
  <c r="BH52" i="1" l="1"/>
  <c r="BG57" i="1"/>
  <c r="BI65" i="1"/>
  <c r="BE62" i="1"/>
  <c r="BK171" i="1"/>
  <c r="BP170" i="1"/>
  <c r="BF132" i="1"/>
  <c r="BF90" i="1"/>
  <c r="BD59" i="1"/>
  <c r="BD61" i="1" s="1"/>
  <c r="BD63" i="1"/>
  <c r="BD68" i="1" s="1"/>
  <c r="E25" i="27"/>
  <c r="E31" i="25"/>
  <c r="BI52" i="1" l="1"/>
  <c r="BH57" i="1"/>
  <c r="BJ65" i="1"/>
  <c r="BF62" i="1"/>
  <c r="BQ170" i="1"/>
  <c r="BL171" i="1"/>
  <c r="BG132" i="1"/>
  <c r="BG90" i="1"/>
  <c r="BE63" i="1"/>
  <c r="BE68" i="1" s="1"/>
  <c r="BE59" i="1"/>
  <c r="BE61" i="1" s="1"/>
  <c r="AU115" i="1"/>
  <c r="AU117" i="1" s="1"/>
  <c r="F25" i="27"/>
  <c r="F26" i="27" s="1"/>
  <c r="F27" i="27" s="1"/>
  <c r="E26" i="27"/>
  <c r="E27" i="27" s="1"/>
  <c r="F31" i="25"/>
  <c r="G25" i="27"/>
  <c r="G26" i="27" s="1"/>
  <c r="G27" i="27" s="1"/>
  <c r="BJ52" i="1" l="1"/>
  <c r="BI57" i="1"/>
  <c r="BK65" i="1"/>
  <c r="BL65" i="1" s="1"/>
  <c r="BG62" i="1"/>
  <c r="BR170" i="1"/>
  <c r="BM171" i="1"/>
  <c r="BH132" i="1"/>
  <c r="BH90" i="1"/>
  <c r="BF59" i="1"/>
  <c r="BF61" i="1" s="1"/>
  <c r="BF63" i="1"/>
  <c r="BF68" i="1" s="1"/>
  <c r="AV115" i="1"/>
  <c r="AV117" i="1" s="1"/>
  <c r="G31" i="25"/>
  <c r="BK52" i="1" l="1"/>
  <c r="BJ57" i="1"/>
  <c r="H26" i="32"/>
  <c r="H28" i="32" s="1"/>
  <c r="H25" i="31"/>
  <c r="BH62" i="1"/>
  <c r="BN171" i="1"/>
  <c r="BS170" i="1"/>
  <c r="BI132" i="1"/>
  <c r="BI90" i="1"/>
  <c r="BG63" i="1"/>
  <c r="BG68" i="1" s="1"/>
  <c r="BG59" i="1"/>
  <c r="BG61" i="1" s="1"/>
  <c r="AW115" i="1"/>
  <c r="AW117" i="1" s="1"/>
  <c r="H25" i="27"/>
  <c r="H31" i="25"/>
  <c r="BK57" i="1" l="1"/>
  <c r="BL52" i="1"/>
  <c r="I23" i="31"/>
  <c r="I26" i="32"/>
  <c r="I28" i="32" s="1"/>
  <c r="H33" i="32"/>
  <c r="H30" i="31"/>
  <c r="I25" i="31"/>
  <c r="BM65" i="1"/>
  <c r="BI62" i="1"/>
  <c r="BO171" i="1"/>
  <c r="BT170" i="1"/>
  <c r="BJ132" i="1"/>
  <c r="BJ90" i="1"/>
  <c r="BH59" i="1"/>
  <c r="BH61" i="1" s="1"/>
  <c r="BH63" i="1"/>
  <c r="BH68" i="1" s="1"/>
  <c r="AX115" i="1"/>
  <c r="AX117" i="1" s="1"/>
  <c r="H26" i="27"/>
  <c r="H27" i="27" s="1"/>
  <c r="I25" i="27"/>
  <c r="I26" i="27" s="1"/>
  <c r="I27" i="27" s="1"/>
  <c r="I31" i="25"/>
  <c r="J23" i="31"/>
  <c r="BM52" i="1" l="1"/>
  <c r="BL57" i="1"/>
  <c r="J26" i="32"/>
  <c r="J28" i="32" s="1"/>
  <c r="I33" i="32"/>
  <c r="I30" i="31"/>
  <c r="J25" i="27"/>
  <c r="J26" i="27" s="1"/>
  <c r="J27" i="27" s="1"/>
  <c r="BN65" i="1"/>
  <c r="BJ62" i="1"/>
  <c r="BU170" i="1"/>
  <c r="BP171" i="1"/>
  <c r="BK132" i="1"/>
  <c r="BK90" i="1"/>
  <c r="AY115" i="1"/>
  <c r="AY117" i="1" s="1"/>
  <c r="BI63" i="1"/>
  <c r="BI68" i="1" s="1"/>
  <c r="BI59" i="1"/>
  <c r="BI61" i="1" s="1"/>
  <c r="J31" i="25"/>
  <c r="K23" i="31"/>
  <c r="BN52" i="1" l="1"/>
  <c r="BM57" i="1"/>
  <c r="K26" i="32"/>
  <c r="K28" i="32" s="1"/>
  <c r="J30" i="31"/>
  <c r="J33" i="32"/>
  <c r="K25" i="31"/>
  <c r="J25" i="31"/>
  <c r="BO65" i="1"/>
  <c r="BK62" i="1"/>
  <c r="BL62" i="1" s="1"/>
  <c r="BV170" i="1"/>
  <c r="BQ171" i="1"/>
  <c r="BL132" i="1"/>
  <c r="BL90" i="1"/>
  <c r="BJ59" i="1"/>
  <c r="BJ61" i="1" s="1"/>
  <c r="BJ63" i="1"/>
  <c r="BJ68" i="1" s="1"/>
  <c r="AZ115" i="1"/>
  <c r="AZ117" i="1" s="1"/>
  <c r="K25" i="27"/>
  <c r="K26" i="27" s="1"/>
  <c r="K27" i="27" s="1"/>
  <c r="K31" i="25"/>
  <c r="BO52" i="1" l="1"/>
  <c r="BN57" i="1"/>
  <c r="L23" i="31"/>
  <c r="L26" i="32"/>
  <c r="L28" i="32" s="1"/>
  <c r="K30" i="31"/>
  <c r="K33" i="32"/>
  <c r="L25" i="31"/>
  <c r="BP65" i="1"/>
  <c r="BW170" i="1"/>
  <c r="BR171" i="1"/>
  <c r="BM132" i="1"/>
  <c r="BM90" i="1"/>
  <c r="BK63" i="1"/>
  <c r="BK68" i="1" s="1"/>
  <c r="BA115" i="1"/>
  <c r="BA117" i="1" s="1"/>
  <c r="BK59" i="1"/>
  <c r="L25" i="27"/>
  <c r="L26" i="27" s="1"/>
  <c r="L27" i="27" s="1"/>
  <c r="L31" i="25"/>
  <c r="M23" i="31"/>
  <c r="BP52" i="1" l="1"/>
  <c r="BO57" i="1"/>
  <c r="M26" i="32"/>
  <c r="M28" i="32" s="1"/>
  <c r="BL63" i="1"/>
  <c r="BL68" i="1" s="1"/>
  <c r="BK61" i="1"/>
  <c r="BL59" i="1"/>
  <c r="BL61" i="1" s="1"/>
  <c r="L30" i="31"/>
  <c r="L33" i="32"/>
  <c r="M25" i="31"/>
  <c r="M25" i="27"/>
  <c r="M26" i="27" s="1"/>
  <c r="M27" i="27" s="1"/>
  <c r="BQ65" i="1"/>
  <c r="BM62" i="1"/>
  <c r="BX170" i="1"/>
  <c r="BS171" i="1"/>
  <c r="BN132" i="1"/>
  <c r="BN90" i="1"/>
  <c r="BB115" i="1"/>
  <c r="BB117" i="1" s="1"/>
  <c r="M31" i="25"/>
  <c r="BQ52" i="1" l="1"/>
  <c r="BP57" i="1"/>
  <c r="N23" i="31"/>
  <c r="P23" i="31" s="1"/>
  <c r="N26" i="32"/>
  <c r="M33" i="32"/>
  <c r="M30" i="31"/>
  <c r="P24" i="31"/>
  <c r="N25" i="27"/>
  <c r="P25" i="27" s="1"/>
  <c r="P26" i="27" s="1"/>
  <c r="P27" i="27" s="1"/>
  <c r="BR65" i="1"/>
  <c r="BN62" i="1"/>
  <c r="BY170" i="1"/>
  <c r="BT171" i="1"/>
  <c r="BO132" i="1"/>
  <c r="BC115" i="1"/>
  <c r="BC117" i="1" s="1"/>
  <c r="BO90" i="1"/>
  <c r="BM63" i="1"/>
  <c r="BM68" i="1" s="1"/>
  <c r="BM59" i="1"/>
  <c r="BM61" i="1" s="1"/>
  <c r="N31" i="25"/>
  <c r="P31" i="25" s="1"/>
  <c r="BR52" i="1" l="1"/>
  <c r="BQ57" i="1"/>
  <c r="P25" i="31"/>
  <c r="C25" i="34"/>
  <c r="C27" i="34" s="1"/>
  <c r="P26" i="32"/>
  <c r="N28" i="32"/>
  <c r="N30" i="31"/>
  <c r="P30" i="31" s="1"/>
  <c r="N33" i="32"/>
  <c r="P33" i="32" s="1"/>
  <c r="N26" i="27"/>
  <c r="N27" i="27" s="1"/>
  <c r="N25" i="31"/>
  <c r="P27" i="32"/>
  <c r="BS65" i="1"/>
  <c r="BO62" i="1"/>
  <c r="BZ170" i="1"/>
  <c r="BU171" i="1"/>
  <c r="BP132" i="1"/>
  <c r="BD115" i="1"/>
  <c r="BD117" i="1" s="1"/>
  <c r="BP90" i="1"/>
  <c r="BN59" i="1"/>
  <c r="BN61" i="1" s="1"/>
  <c r="BN63" i="1"/>
  <c r="BN68" i="1" s="1"/>
  <c r="BS52" i="1" l="1"/>
  <c r="BR57" i="1"/>
  <c r="C32" i="34"/>
  <c r="D25" i="34"/>
  <c r="P28" i="32"/>
  <c r="BT65" i="1"/>
  <c r="BP62" i="1"/>
  <c r="CA170" i="1"/>
  <c r="BV171" i="1"/>
  <c r="BQ132" i="1"/>
  <c r="BE115" i="1"/>
  <c r="BE117" i="1" s="1"/>
  <c r="BQ90" i="1"/>
  <c r="BO59" i="1"/>
  <c r="BO61" i="1" s="1"/>
  <c r="BO63" i="1"/>
  <c r="BO68" i="1" s="1"/>
  <c r="D32" i="34"/>
  <c r="BT52" i="1" l="1"/>
  <c r="BS57" i="1"/>
  <c r="E25" i="34"/>
  <c r="E27" i="34" s="1"/>
  <c r="D27" i="34"/>
  <c r="BU65" i="1"/>
  <c r="BQ62" i="1"/>
  <c r="BW171" i="1"/>
  <c r="CB170" i="1"/>
  <c r="BR132" i="1"/>
  <c r="BF115" i="1"/>
  <c r="BF117" i="1" s="1"/>
  <c r="BR90" i="1"/>
  <c r="BP63" i="1"/>
  <c r="BP68" i="1" s="1"/>
  <c r="BP59" i="1"/>
  <c r="BP61" i="1" s="1"/>
  <c r="BU52" i="1" l="1"/>
  <c r="BT57" i="1"/>
  <c r="E32" i="34"/>
  <c r="F25" i="34"/>
  <c r="BV65" i="1"/>
  <c r="BR62" i="1"/>
  <c r="CC170" i="1"/>
  <c r="BX171" i="1"/>
  <c r="BS132" i="1"/>
  <c r="BG115" i="1"/>
  <c r="BG117" i="1" s="1"/>
  <c r="BS90" i="1"/>
  <c r="BQ59" i="1"/>
  <c r="BQ61" i="1" s="1"/>
  <c r="BQ63" i="1"/>
  <c r="BQ68" i="1" s="1"/>
  <c r="AU112" i="1"/>
  <c r="AU110" i="1" s="1"/>
  <c r="F32" i="34"/>
  <c r="BV52" i="1" l="1"/>
  <c r="BU57" i="1"/>
  <c r="F27" i="34"/>
  <c r="G25" i="34"/>
  <c r="G27" i="34" s="1"/>
  <c r="BW65" i="1"/>
  <c r="BX65" i="1" s="1"/>
  <c r="BS62" i="1"/>
  <c r="BY171" i="1"/>
  <c r="CD170" i="1"/>
  <c r="BT132" i="1"/>
  <c r="BH115" i="1"/>
  <c r="BH117" i="1" s="1"/>
  <c r="BT90" i="1"/>
  <c r="BR63" i="1"/>
  <c r="BR68" i="1" s="1"/>
  <c r="BR59" i="1"/>
  <c r="BR61" i="1" s="1"/>
  <c r="AV112" i="1"/>
  <c r="AV110" i="1" s="1"/>
  <c r="G32" i="34"/>
  <c r="D27" i="37" l="1"/>
  <c r="BW52" i="1"/>
  <c r="BV57" i="1"/>
  <c r="H25" i="34"/>
  <c r="H27" i="34" s="1"/>
  <c r="BT62" i="1"/>
  <c r="BZ171" i="1"/>
  <c r="CE170" i="1"/>
  <c r="BU132" i="1"/>
  <c r="BI115" i="1"/>
  <c r="BI117" i="1" s="1"/>
  <c r="BU90" i="1"/>
  <c r="BS59" i="1"/>
  <c r="BS61" i="1" s="1"/>
  <c r="BS63" i="1"/>
  <c r="BS68" i="1" s="1"/>
  <c r="AU38" i="1"/>
  <c r="AW112" i="1"/>
  <c r="AW110" i="1" s="1"/>
  <c r="E27" i="37" l="1"/>
  <c r="D29" i="37"/>
  <c r="H32" i="34"/>
  <c r="D34" i="37"/>
  <c r="BW57" i="1"/>
  <c r="BX52" i="1"/>
  <c r="I25" i="34"/>
  <c r="I27" i="34" s="1"/>
  <c r="BY65" i="1"/>
  <c r="BU62" i="1"/>
  <c r="CA171" i="1"/>
  <c r="CF170" i="1"/>
  <c r="BJ115" i="1"/>
  <c r="BJ117" i="1" s="1"/>
  <c r="BV132" i="1"/>
  <c r="BV90" i="1"/>
  <c r="BT63" i="1"/>
  <c r="BT68" i="1" s="1"/>
  <c r="BT59" i="1"/>
  <c r="BT61" i="1" s="1"/>
  <c r="AV38" i="1"/>
  <c r="AU42" i="1"/>
  <c r="AU79" i="1" s="1"/>
  <c r="AX112" i="1"/>
  <c r="AX110" i="1" s="1"/>
  <c r="AU87" i="1"/>
  <c r="I32" i="34" l="1"/>
  <c r="E34" i="37"/>
  <c r="BY52" i="1"/>
  <c r="BX57" i="1"/>
  <c r="AU131" i="1"/>
  <c r="AU133" i="1" s="1"/>
  <c r="J25" i="34"/>
  <c r="J27" i="34" s="1"/>
  <c r="BZ65" i="1"/>
  <c r="BV62" i="1"/>
  <c r="BK115" i="1"/>
  <c r="BK117" i="1" s="1"/>
  <c r="CG170" i="1"/>
  <c r="CB171" i="1"/>
  <c r="BW132" i="1"/>
  <c r="BW90" i="1"/>
  <c r="BU59" i="1"/>
  <c r="BU61" i="1" s="1"/>
  <c r="BU63" i="1"/>
  <c r="AW38" i="1"/>
  <c r="AV42" i="1"/>
  <c r="AY112" i="1"/>
  <c r="AY110" i="1" s="1"/>
  <c r="AV87" i="1"/>
  <c r="AU88" i="1"/>
  <c r="AU91" i="1" s="1"/>
  <c r="J32" i="34" s="1"/>
  <c r="AV79" i="1" l="1"/>
  <c r="AV131" i="1" s="1"/>
  <c r="AV133" i="1" s="1"/>
  <c r="F27" i="37"/>
  <c r="BZ52" i="1"/>
  <c r="BY57" i="1"/>
  <c r="BU68" i="1"/>
  <c r="K25" i="34"/>
  <c r="K27" i="34" s="1"/>
  <c r="CA65" i="1"/>
  <c r="BL115" i="1"/>
  <c r="BL117" i="1" s="1"/>
  <c r="BW62" i="1"/>
  <c r="BX62" i="1" s="1"/>
  <c r="CH170" i="1"/>
  <c r="CC171" i="1"/>
  <c r="BX132" i="1"/>
  <c r="BX90" i="1"/>
  <c r="BV63" i="1"/>
  <c r="BV68" i="1" s="1"/>
  <c r="BV59" i="1"/>
  <c r="BV61" i="1" s="1"/>
  <c r="AX38" i="1"/>
  <c r="AW42" i="1"/>
  <c r="AZ112" i="1"/>
  <c r="AZ110" i="1" s="1"/>
  <c r="AW87" i="1"/>
  <c r="AV88" i="1"/>
  <c r="AV91" i="1" s="1"/>
  <c r="K32" i="34" s="1"/>
  <c r="F34" i="37" l="1"/>
  <c r="F29" i="37"/>
  <c r="G29" i="37" s="1"/>
  <c r="G27" i="37"/>
  <c r="AW79" i="1"/>
  <c r="AW131" i="1" s="1"/>
  <c r="AW133" i="1" s="1"/>
  <c r="CA52" i="1"/>
  <c r="BZ57" i="1"/>
  <c r="L25" i="34"/>
  <c r="L27" i="34" s="1"/>
  <c r="CB65" i="1"/>
  <c r="BM115" i="1"/>
  <c r="BM117" i="1" s="1"/>
  <c r="CD171" i="1"/>
  <c r="CI170" i="1"/>
  <c r="BY132" i="1"/>
  <c r="BY90" i="1"/>
  <c r="BW59" i="1"/>
  <c r="BW63" i="1"/>
  <c r="BW68" i="1" s="1"/>
  <c r="AY38" i="1"/>
  <c r="AZ38" i="1" s="1"/>
  <c r="AX42" i="1"/>
  <c r="AX79" i="1" s="1"/>
  <c r="BA112" i="1"/>
  <c r="BA110" i="1" s="1"/>
  <c r="AX87" i="1"/>
  <c r="AW88" i="1"/>
  <c r="AW91" i="1" s="1"/>
  <c r="L32" i="34" l="1"/>
  <c r="G34" i="37"/>
  <c r="CB52" i="1"/>
  <c r="CA57" i="1"/>
  <c r="AX131" i="1"/>
  <c r="AX133" i="1" s="1"/>
  <c r="M25" i="34"/>
  <c r="M27" i="34" s="1"/>
  <c r="BX63" i="1"/>
  <c r="BX68" i="1" s="1"/>
  <c r="BW61" i="1"/>
  <c r="BX59" i="1"/>
  <c r="BX61" i="1" s="1"/>
  <c r="CC65" i="1"/>
  <c r="BN115" i="1"/>
  <c r="BN117" i="1" s="1"/>
  <c r="BY62" i="1"/>
  <c r="CJ170" i="1"/>
  <c r="CE171" i="1"/>
  <c r="BZ132" i="1"/>
  <c r="BZ90" i="1"/>
  <c r="AY42" i="1"/>
  <c r="AY79" i="1" s="1"/>
  <c r="BB112" i="1"/>
  <c r="BB110" i="1" s="1"/>
  <c r="AY87" i="1"/>
  <c r="AX88" i="1"/>
  <c r="AX91" i="1" s="1"/>
  <c r="M32" i="34" s="1"/>
  <c r="H27" i="37" l="1"/>
  <c r="H29" i="37" s="1"/>
  <c r="I29" i="37" s="1"/>
  <c r="CC52" i="1"/>
  <c r="CB57" i="1"/>
  <c r="AY131" i="1"/>
  <c r="AY133" i="1" s="1"/>
  <c r="N25" i="34"/>
  <c r="CD65" i="1"/>
  <c r="BO115" i="1"/>
  <c r="BO117" i="1" s="1"/>
  <c r="BZ62" i="1"/>
  <c r="CK170" i="1"/>
  <c r="CF171" i="1"/>
  <c r="CA132" i="1"/>
  <c r="CA90" i="1"/>
  <c r="BY59" i="1"/>
  <c r="BY61" i="1" s="1"/>
  <c r="BY63" i="1"/>
  <c r="BY68" i="1" s="1"/>
  <c r="BA38" i="1"/>
  <c r="AZ42" i="1"/>
  <c r="BC112" i="1"/>
  <c r="BC110" i="1" s="1"/>
  <c r="AZ87" i="1"/>
  <c r="AY88" i="1"/>
  <c r="AY91" i="1" s="1"/>
  <c r="N32" i="34" s="1"/>
  <c r="P32" i="34" s="1"/>
  <c r="K27" i="37" l="1"/>
  <c r="K29" i="37" s="1"/>
  <c r="I27" i="37"/>
  <c r="H34" i="37"/>
  <c r="CD52" i="1"/>
  <c r="CC57" i="1"/>
  <c r="N27" i="34"/>
  <c r="P25" i="34"/>
  <c r="P27" i="34" s="1"/>
  <c r="CE65" i="1"/>
  <c r="BP115" i="1"/>
  <c r="BP117" i="1" s="1"/>
  <c r="CA62" i="1"/>
  <c r="CG171" i="1"/>
  <c r="CL170" i="1"/>
  <c r="CB132" i="1"/>
  <c r="CB90" i="1"/>
  <c r="BZ63" i="1"/>
  <c r="BZ68" i="1" s="1"/>
  <c r="BZ59" i="1"/>
  <c r="BZ61" i="1" s="1"/>
  <c r="BB38" i="1"/>
  <c r="BA42" i="1"/>
  <c r="BD112" i="1"/>
  <c r="BD110" i="1" s="1"/>
  <c r="BA87" i="1"/>
  <c r="AZ88" i="1"/>
  <c r="AZ91" i="1" s="1"/>
  <c r="I34" i="37" l="1"/>
  <c r="K34" i="37"/>
  <c r="CE52" i="1"/>
  <c r="CD57" i="1"/>
  <c r="CF65" i="1"/>
  <c r="BQ115" i="1"/>
  <c r="BQ117" i="1" s="1"/>
  <c r="CB62" i="1"/>
  <c r="CM170" i="1"/>
  <c r="CH171" i="1"/>
  <c r="CC132" i="1"/>
  <c r="CC90" i="1"/>
  <c r="CA63" i="1"/>
  <c r="CA68" i="1" s="1"/>
  <c r="CA59" i="1"/>
  <c r="CA61" i="1" s="1"/>
  <c r="BC38" i="1"/>
  <c r="BB42" i="1"/>
  <c r="BE112" i="1"/>
  <c r="BE110" i="1" s="1"/>
  <c r="BB87" i="1"/>
  <c r="BA88" i="1"/>
  <c r="BA91" i="1" s="1"/>
  <c r="CF52" i="1" l="1"/>
  <c r="CE57" i="1"/>
  <c r="CG65" i="1"/>
  <c r="BR115" i="1"/>
  <c r="BR117" i="1" s="1"/>
  <c r="CC62" i="1"/>
  <c r="CI171" i="1"/>
  <c r="CN170" i="1"/>
  <c r="CD132" i="1"/>
  <c r="CD90" i="1"/>
  <c r="CB59" i="1"/>
  <c r="CB61" i="1" s="1"/>
  <c r="CB63" i="1"/>
  <c r="CB68" i="1" s="1"/>
  <c r="BD38" i="1"/>
  <c r="BC42" i="1"/>
  <c r="BF112" i="1"/>
  <c r="BF110" i="1" s="1"/>
  <c r="BC87" i="1"/>
  <c r="BB88" i="1"/>
  <c r="BB91" i="1" s="1"/>
  <c r="CG52" i="1" l="1"/>
  <c r="CF57" i="1"/>
  <c r="CH65" i="1"/>
  <c r="BS115" i="1"/>
  <c r="BS117" i="1" s="1"/>
  <c r="CD62" i="1"/>
  <c r="CO170" i="1"/>
  <c r="CJ171" i="1"/>
  <c r="CE132" i="1"/>
  <c r="CE90" i="1"/>
  <c r="CC63" i="1"/>
  <c r="CC68" i="1" s="1"/>
  <c r="CC59" i="1"/>
  <c r="CC61" i="1" s="1"/>
  <c r="BE38" i="1"/>
  <c r="BD42" i="1"/>
  <c r="BG112" i="1"/>
  <c r="BG110" i="1" s="1"/>
  <c r="BD87" i="1"/>
  <c r="BC88" i="1"/>
  <c r="BC91" i="1" s="1"/>
  <c r="CH52" i="1" l="1"/>
  <c r="CG57" i="1"/>
  <c r="CI65" i="1"/>
  <c r="CJ65" i="1" s="1"/>
  <c r="BT115" i="1"/>
  <c r="BT117" i="1" s="1"/>
  <c r="CE62" i="1"/>
  <c r="CP170" i="1"/>
  <c r="CK171" i="1"/>
  <c r="CF132" i="1"/>
  <c r="CF90" i="1"/>
  <c r="CD63" i="1"/>
  <c r="CD68" i="1" s="1"/>
  <c r="CD59" i="1"/>
  <c r="CD61" i="1" s="1"/>
  <c r="BF38" i="1"/>
  <c r="BE42" i="1"/>
  <c r="BH112" i="1"/>
  <c r="BH110" i="1" s="1"/>
  <c r="BE87" i="1"/>
  <c r="BD88" i="1"/>
  <c r="BD91" i="1" s="1"/>
  <c r="CI52" i="1" l="1"/>
  <c r="CH57" i="1"/>
  <c r="BU115" i="1"/>
  <c r="BU117" i="1" s="1"/>
  <c r="CF62" i="1"/>
  <c r="CL171" i="1"/>
  <c r="CQ170" i="1"/>
  <c r="CG132" i="1"/>
  <c r="CG90" i="1"/>
  <c r="CE63" i="1"/>
  <c r="CE68" i="1" s="1"/>
  <c r="CE59" i="1"/>
  <c r="CE61" i="1" s="1"/>
  <c r="BV115" i="1"/>
  <c r="BV117" i="1" s="1"/>
  <c r="BG38" i="1"/>
  <c r="BF42" i="1"/>
  <c r="BI112" i="1"/>
  <c r="BI110" i="1" s="1"/>
  <c r="BF87" i="1"/>
  <c r="BE88" i="1"/>
  <c r="BE91" i="1" s="1"/>
  <c r="CI57" i="1" l="1"/>
  <c r="CJ52" i="1"/>
  <c r="CK65" i="1"/>
  <c r="CG62" i="1"/>
  <c r="CR170" i="1"/>
  <c r="CM171" i="1"/>
  <c r="CH132" i="1"/>
  <c r="CH90" i="1"/>
  <c r="CF59" i="1"/>
  <c r="CF61" i="1" s="1"/>
  <c r="CF63" i="1"/>
  <c r="CF68" i="1" s="1"/>
  <c r="BW115" i="1"/>
  <c r="BW117" i="1" s="1"/>
  <c r="BH38" i="1"/>
  <c r="BG42" i="1"/>
  <c r="BJ112" i="1"/>
  <c r="BJ110" i="1" s="1"/>
  <c r="BG87" i="1"/>
  <c r="BF88" i="1"/>
  <c r="BF91" i="1" s="1"/>
  <c r="CK52" i="1" l="1"/>
  <c r="CJ57" i="1"/>
  <c r="CL65" i="1"/>
  <c r="CH62" i="1"/>
  <c r="CN171" i="1"/>
  <c r="CS170" i="1"/>
  <c r="CI132" i="1"/>
  <c r="CI90" i="1"/>
  <c r="CG63" i="1"/>
  <c r="CG68" i="1" s="1"/>
  <c r="CG59" i="1"/>
  <c r="CG61" i="1" s="1"/>
  <c r="BX115" i="1"/>
  <c r="BX117" i="1" s="1"/>
  <c r="BI38" i="1"/>
  <c r="BH42" i="1"/>
  <c r="BK112" i="1"/>
  <c r="BK110" i="1" s="1"/>
  <c r="BH87" i="1"/>
  <c r="BG88" i="1"/>
  <c r="BG91" i="1" s="1"/>
  <c r="CL52" i="1" l="1"/>
  <c r="CK57" i="1"/>
  <c r="CM65" i="1"/>
  <c r="CI62" i="1"/>
  <c r="CJ62" i="1" s="1"/>
  <c r="CO171" i="1"/>
  <c r="CT170" i="1"/>
  <c r="CJ132" i="1"/>
  <c r="CJ90" i="1"/>
  <c r="CH59" i="1"/>
  <c r="CH61" i="1" s="1"/>
  <c r="CH63" i="1"/>
  <c r="CH68" i="1" s="1"/>
  <c r="BY115" i="1"/>
  <c r="BY117" i="1" s="1"/>
  <c r="BJ38" i="1"/>
  <c r="BI42" i="1"/>
  <c r="BL112" i="1"/>
  <c r="BL110" i="1" s="1"/>
  <c r="BI87" i="1"/>
  <c r="BH88" i="1"/>
  <c r="BH91" i="1" s="1"/>
  <c r="CM52" i="1" l="1"/>
  <c r="CL57" i="1"/>
  <c r="CN65" i="1"/>
  <c r="CU170" i="1"/>
  <c r="CP171" i="1"/>
  <c r="CK132" i="1"/>
  <c r="CK90" i="1"/>
  <c r="CI63" i="1"/>
  <c r="CI68" i="1" s="1"/>
  <c r="CI59" i="1"/>
  <c r="BZ115" i="1"/>
  <c r="BZ117" i="1" s="1"/>
  <c r="BK38" i="1"/>
  <c r="BL38" i="1" s="1"/>
  <c r="BJ42" i="1"/>
  <c r="BM112" i="1"/>
  <c r="BM110" i="1" s="1"/>
  <c r="BJ87" i="1"/>
  <c r="BI88" i="1"/>
  <c r="BI91" i="1" s="1"/>
  <c r="CN52" i="1" l="1"/>
  <c r="CM57" i="1"/>
  <c r="CJ63" i="1"/>
  <c r="CJ68" i="1" s="1"/>
  <c r="CI61" i="1"/>
  <c r="CJ59" i="1"/>
  <c r="CJ61" i="1" s="1"/>
  <c r="CO65" i="1"/>
  <c r="CK62" i="1"/>
  <c r="CQ171" i="1"/>
  <c r="CV170" i="1"/>
  <c r="CL132" i="1"/>
  <c r="CL90" i="1"/>
  <c r="CA115" i="1"/>
  <c r="CA117" i="1" s="1"/>
  <c r="BN112" i="1"/>
  <c r="BN110" i="1" s="1"/>
  <c r="BK87" i="1"/>
  <c r="BJ88" i="1"/>
  <c r="BJ91" i="1" s="1"/>
  <c r="CO52" i="1" l="1"/>
  <c r="CN57" i="1"/>
  <c r="BK42" i="1"/>
  <c r="BL42" i="1"/>
  <c r="CP65" i="1"/>
  <c r="CL62" i="1"/>
  <c r="CW170" i="1"/>
  <c r="CR171" i="1"/>
  <c r="CM132" i="1"/>
  <c r="CM90" i="1"/>
  <c r="CK59" i="1"/>
  <c r="CK61" i="1" s="1"/>
  <c r="CK63" i="1"/>
  <c r="CK68" i="1" s="1"/>
  <c r="CB115" i="1"/>
  <c r="CB117" i="1" s="1"/>
  <c r="BM38" i="1"/>
  <c r="BO112" i="1"/>
  <c r="BO110" i="1" s="1"/>
  <c r="BL87" i="1"/>
  <c r="BK88" i="1"/>
  <c r="BK91" i="1" s="1"/>
  <c r="CP52" i="1" l="1"/>
  <c r="CO57" i="1"/>
  <c r="CQ65" i="1"/>
  <c r="CM62" i="1"/>
  <c r="CS171" i="1"/>
  <c r="CX170" i="1"/>
  <c r="CN132" i="1"/>
  <c r="CN90" i="1"/>
  <c r="CL63" i="1"/>
  <c r="CL68" i="1" s="1"/>
  <c r="CL59" i="1"/>
  <c r="CL61" i="1" s="1"/>
  <c r="CC115" i="1"/>
  <c r="CC117" i="1" s="1"/>
  <c r="BN38" i="1"/>
  <c r="BM42" i="1"/>
  <c r="BP112" i="1"/>
  <c r="BP110" i="1" s="1"/>
  <c r="BM87" i="1"/>
  <c r="BL88" i="1"/>
  <c r="BL91" i="1" s="1"/>
  <c r="CQ52" i="1" l="1"/>
  <c r="CP57" i="1"/>
  <c r="CR65" i="1"/>
  <c r="CN62" i="1"/>
  <c r="CT171" i="1"/>
  <c r="CY170" i="1"/>
  <c r="CO132" i="1"/>
  <c r="CO90" i="1"/>
  <c r="CM59" i="1"/>
  <c r="CM61" i="1" s="1"/>
  <c r="CM63" i="1"/>
  <c r="CM68" i="1" s="1"/>
  <c r="CD115" i="1"/>
  <c r="CD117" i="1" s="1"/>
  <c r="BO38" i="1"/>
  <c r="BN42" i="1"/>
  <c r="BQ112" i="1"/>
  <c r="BQ110" i="1" s="1"/>
  <c r="BN87" i="1"/>
  <c r="BM88" i="1"/>
  <c r="BM91" i="1" s="1"/>
  <c r="CR52" i="1" l="1"/>
  <c r="CQ57" i="1"/>
  <c r="CS65" i="1"/>
  <c r="CO62" i="1"/>
  <c r="CZ170" i="1"/>
  <c r="CU171" i="1"/>
  <c r="CP132" i="1"/>
  <c r="CP90" i="1"/>
  <c r="CN63" i="1"/>
  <c r="CN68" i="1" s="1"/>
  <c r="CN59" i="1"/>
  <c r="CN61" i="1" s="1"/>
  <c r="CE115" i="1"/>
  <c r="CE117" i="1" s="1"/>
  <c r="BP38" i="1"/>
  <c r="BO42" i="1"/>
  <c r="BR112" i="1"/>
  <c r="BR110" i="1" s="1"/>
  <c r="BO87" i="1"/>
  <c r="BN88" i="1"/>
  <c r="BN91" i="1" s="1"/>
  <c r="CS52" i="1" l="1"/>
  <c r="CR57" i="1"/>
  <c r="CT65" i="1"/>
  <c r="CP62" i="1"/>
  <c r="DA170" i="1"/>
  <c r="CV171" i="1"/>
  <c r="CQ132" i="1"/>
  <c r="CQ90" i="1"/>
  <c r="CO59" i="1"/>
  <c r="CO61" i="1" s="1"/>
  <c r="CO63" i="1"/>
  <c r="CO68" i="1" s="1"/>
  <c r="CF115" i="1"/>
  <c r="CF117" i="1" s="1"/>
  <c r="BQ38" i="1"/>
  <c r="BP42" i="1"/>
  <c r="BS112" i="1"/>
  <c r="BS110" i="1" s="1"/>
  <c r="BP87" i="1"/>
  <c r="BO88" i="1"/>
  <c r="BO91" i="1" s="1"/>
  <c r="CT52" i="1" l="1"/>
  <c r="CS57" i="1"/>
  <c r="CU65" i="1"/>
  <c r="CV65" i="1" s="1"/>
  <c r="CQ62" i="1"/>
  <c r="CW171" i="1"/>
  <c r="DB170" i="1"/>
  <c r="CR132" i="1"/>
  <c r="CR90" i="1"/>
  <c r="CP63" i="1"/>
  <c r="CP68" i="1" s="1"/>
  <c r="CP59" i="1"/>
  <c r="CP61" i="1" s="1"/>
  <c r="CG115" i="1"/>
  <c r="CG117" i="1" s="1"/>
  <c r="BR38" i="1"/>
  <c r="BQ42" i="1"/>
  <c r="BT112" i="1"/>
  <c r="BT110" i="1" s="1"/>
  <c r="BQ87" i="1"/>
  <c r="BP88" i="1"/>
  <c r="BP91" i="1" s="1"/>
  <c r="CU52" i="1" l="1"/>
  <c r="CT57" i="1"/>
  <c r="CR62" i="1"/>
  <c r="DC170" i="1"/>
  <c r="CX171" i="1"/>
  <c r="CS132" i="1"/>
  <c r="CS90" i="1"/>
  <c r="CQ59" i="1"/>
  <c r="CQ61" i="1" s="1"/>
  <c r="CQ63" i="1"/>
  <c r="CQ68" i="1" s="1"/>
  <c r="CH115" i="1"/>
  <c r="CH117" i="1" s="1"/>
  <c r="BS38" i="1"/>
  <c r="BR42" i="1"/>
  <c r="BU112" i="1"/>
  <c r="BU110" i="1" s="1"/>
  <c r="BR87" i="1"/>
  <c r="BQ88" i="1"/>
  <c r="BQ91" i="1" s="1"/>
  <c r="CU57" i="1" l="1"/>
  <c r="CV52" i="1"/>
  <c r="CW65" i="1"/>
  <c r="CS62" i="1"/>
  <c r="DD170" i="1"/>
  <c r="CY171" i="1"/>
  <c r="CT132" i="1"/>
  <c r="CT90" i="1"/>
  <c r="CR63" i="1"/>
  <c r="CR68" i="1" s="1"/>
  <c r="CR59" i="1"/>
  <c r="CR61" i="1" s="1"/>
  <c r="CI115" i="1"/>
  <c r="CI117" i="1" s="1"/>
  <c r="BT38" i="1"/>
  <c r="BS42" i="1"/>
  <c r="BV112" i="1"/>
  <c r="BV110" i="1" s="1"/>
  <c r="BS87" i="1"/>
  <c r="BR88" i="1"/>
  <c r="BR91" i="1" s="1"/>
  <c r="CW52" i="1" l="1"/>
  <c r="CV57" i="1"/>
  <c r="CX65" i="1"/>
  <c r="CT62" i="1"/>
  <c r="CZ171" i="1"/>
  <c r="DE170" i="1"/>
  <c r="CU132" i="1"/>
  <c r="CU90" i="1"/>
  <c r="CS59" i="1"/>
  <c r="CS61" i="1" s="1"/>
  <c r="CS63" i="1"/>
  <c r="CS68" i="1" s="1"/>
  <c r="CJ115" i="1"/>
  <c r="CJ117" i="1" s="1"/>
  <c r="BU38" i="1"/>
  <c r="BT42" i="1"/>
  <c r="BW112" i="1"/>
  <c r="BW110" i="1" s="1"/>
  <c r="BT87" i="1"/>
  <c r="BS88" i="1"/>
  <c r="BS91" i="1" s="1"/>
  <c r="CX52" i="1" l="1"/>
  <c r="CW57" i="1"/>
  <c r="CY65" i="1"/>
  <c r="CU62" i="1"/>
  <c r="CV62" i="1" s="1"/>
  <c r="DF170" i="1"/>
  <c r="DA171" i="1"/>
  <c r="CV132" i="1"/>
  <c r="CV90" i="1"/>
  <c r="CT63" i="1"/>
  <c r="CT68" i="1" s="1"/>
  <c r="CT59" i="1"/>
  <c r="CT61" i="1" s="1"/>
  <c r="CK115" i="1"/>
  <c r="CK117" i="1" s="1"/>
  <c r="BV38" i="1"/>
  <c r="BU42" i="1"/>
  <c r="BX112" i="1"/>
  <c r="BX110" i="1" s="1"/>
  <c r="BU87" i="1"/>
  <c r="BT88" i="1"/>
  <c r="BT91" i="1" s="1"/>
  <c r="CY52" i="1" l="1"/>
  <c r="CX57" i="1"/>
  <c r="CZ65" i="1"/>
  <c r="DB171" i="1"/>
  <c r="DG170" i="1"/>
  <c r="CW132" i="1"/>
  <c r="CW90" i="1"/>
  <c r="CU59" i="1"/>
  <c r="CU63" i="1"/>
  <c r="CL115" i="1"/>
  <c r="CL117" i="1" s="1"/>
  <c r="BW38" i="1"/>
  <c r="BX38" i="1" s="1"/>
  <c r="BV42" i="1"/>
  <c r="BY112" i="1"/>
  <c r="BY110" i="1" s="1"/>
  <c r="BV87" i="1"/>
  <c r="BU88" i="1"/>
  <c r="BU91" i="1" s="1"/>
  <c r="CZ52" i="1" l="1"/>
  <c r="CY57" i="1"/>
  <c r="CV63" i="1"/>
  <c r="CV68" i="1" s="1"/>
  <c r="CU68" i="1"/>
  <c r="CU61" i="1"/>
  <c r="CV59" i="1"/>
  <c r="CV61" i="1" s="1"/>
  <c r="DA65" i="1"/>
  <c r="CW62" i="1"/>
  <c r="DC171" i="1"/>
  <c r="CX132" i="1"/>
  <c r="CX90" i="1"/>
  <c r="CM115" i="1"/>
  <c r="CM117" i="1" s="1"/>
  <c r="BZ112" i="1"/>
  <c r="BZ110" i="1" s="1"/>
  <c r="BW87" i="1"/>
  <c r="BV88" i="1"/>
  <c r="BV91" i="1" s="1"/>
  <c r="DA52" i="1" l="1"/>
  <c r="CZ57" i="1"/>
  <c r="BW42" i="1"/>
  <c r="BX42" i="1"/>
  <c r="DB65" i="1"/>
  <c r="CX62" i="1"/>
  <c r="DD171" i="1"/>
  <c r="CY132" i="1"/>
  <c r="CY90" i="1"/>
  <c r="CW63" i="1"/>
  <c r="CW68" i="1" s="1"/>
  <c r="CW59" i="1"/>
  <c r="CW61" i="1" s="1"/>
  <c r="CN115" i="1"/>
  <c r="CN117" i="1" s="1"/>
  <c r="BY38" i="1"/>
  <c r="CA112" i="1"/>
  <c r="CA110" i="1" s="1"/>
  <c r="BX87" i="1"/>
  <c r="BW88" i="1"/>
  <c r="BW91" i="1" s="1"/>
  <c r="DB52" i="1" l="1"/>
  <c r="DA57" i="1"/>
  <c r="DC65" i="1"/>
  <c r="CY62" i="1"/>
  <c r="DE171" i="1"/>
  <c r="CZ132" i="1"/>
  <c r="CZ90" i="1"/>
  <c r="CX59" i="1"/>
  <c r="CX61" i="1" s="1"/>
  <c r="CX63" i="1"/>
  <c r="CX68" i="1" s="1"/>
  <c r="CO115" i="1"/>
  <c r="CO117" i="1" s="1"/>
  <c r="BZ38" i="1"/>
  <c r="BY42" i="1"/>
  <c r="CB112" i="1"/>
  <c r="CB110" i="1" s="1"/>
  <c r="BY87" i="1"/>
  <c r="BX88" i="1"/>
  <c r="BX91" i="1" s="1"/>
  <c r="DC52" i="1" l="1"/>
  <c r="DB57" i="1"/>
  <c r="DD65" i="1"/>
  <c r="CZ62" i="1"/>
  <c r="DF171" i="1"/>
  <c r="DA132" i="1"/>
  <c r="DA90" i="1"/>
  <c r="CY63" i="1"/>
  <c r="CY68" i="1" s="1"/>
  <c r="CY59" i="1"/>
  <c r="CY61" i="1" s="1"/>
  <c r="CP115" i="1"/>
  <c r="CP117" i="1" s="1"/>
  <c r="CA38" i="1"/>
  <c r="BZ42" i="1"/>
  <c r="CC112" i="1"/>
  <c r="CC110" i="1" s="1"/>
  <c r="BZ87" i="1"/>
  <c r="BY88" i="1"/>
  <c r="BY91" i="1" s="1"/>
  <c r="DD52" i="1" l="1"/>
  <c r="DC57" i="1"/>
  <c r="DE65" i="1"/>
  <c r="DA62" i="1"/>
  <c r="DG171" i="1"/>
  <c r="DB132" i="1"/>
  <c r="DB90" i="1"/>
  <c r="CZ59" i="1"/>
  <c r="CZ61" i="1" s="1"/>
  <c r="CZ63" i="1"/>
  <c r="CZ68" i="1" s="1"/>
  <c r="CQ115" i="1"/>
  <c r="CQ117" i="1" s="1"/>
  <c r="CB38" i="1"/>
  <c r="CA42" i="1"/>
  <c r="CD112" i="1"/>
  <c r="CD110" i="1" s="1"/>
  <c r="CA87" i="1"/>
  <c r="BZ88" i="1"/>
  <c r="BZ91" i="1" s="1"/>
  <c r="DE52" i="1" l="1"/>
  <c r="DD57" i="1"/>
  <c r="DF65" i="1"/>
  <c r="DB62" i="1"/>
  <c r="DC132" i="1"/>
  <c r="DC90" i="1"/>
  <c r="DA63" i="1"/>
  <c r="DA68" i="1" s="1"/>
  <c r="DA59" i="1"/>
  <c r="DA61" i="1" s="1"/>
  <c r="CR115" i="1"/>
  <c r="CR117" i="1" s="1"/>
  <c r="CC38" i="1"/>
  <c r="CB42" i="1"/>
  <c r="CE112" i="1"/>
  <c r="CE110" i="1" s="1"/>
  <c r="CB87" i="1"/>
  <c r="CA88" i="1"/>
  <c r="CA91" i="1" s="1"/>
  <c r="DF52" i="1" l="1"/>
  <c r="DE57" i="1"/>
  <c r="DG65" i="1"/>
  <c r="DC62" i="1"/>
  <c r="DD132" i="1"/>
  <c r="DD90" i="1"/>
  <c r="DB59" i="1"/>
  <c r="DB61" i="1" s="1"/>
  <c r="DB63" i="1"/>
  <c r="DB68" i="1" s="1"/>
  <c r="CS115" i="1"/>
  <c r="CS117" i="1" s="1"/>
  <c r="CD38" i="1"/>
  <c r="CC42" i="1"/>
  <c r="CF112" i="1"/>
  <c r="CF110" i="1" s="1"/>
  <c r="CC87" i="1"/>
  <c r="CB88" i="1"/>
  <c r="CB91" i="1" s="1"/>
  <c r="DG52" i="1" l="1"/>
  <c r="DG57" i="1" s="1"/>
  <c r="DF57" i="1"/>
  <c r="DD62" i="1"/>
  <c r="DE132" i="1"/>
  <c r="DE90" i="1"/>
  <c r="DC63" i="1"/>
  <c r="DC68" i="1" s="1"/>
  <c r="DC59" i="1"/>
  <c r="DC61" i="1" s="1"/>
  <c r="CT115" i="1"/>
  <c r="CT117" i="1" s="1"/>
  <c r="CE38" i="1"/>
  <c r="CD42" i="1"/>
  <c r="CG112" i="1"/>
  <c r="CG110" i="1" s="1"/>
  <c r="CD87" i="1"/>
  <c r="CC88" i="1"/>
  <c r="CC91" i="1" s="1"/>
  <c r="DE62" i="1" l="1"/>
  <c r="DF132" i="1"/>
  <c r="DF90" i="1"/>
  <c r="DD59" i="1"/>
  <c r="DD61" i="1" s="1"/>
  <c r="DD63" i="1"/>
  <c r="DD68" i="1" s="1"/>
  <c r="CU115" i="1"/>
  <c r="CU117" i="1" s="1"/>
  <c r="CF38" i="1"/>
  <c r="CE42" i="1"/>
  <c r="CH112" i="1"/>
  <c r="CH110" i="1" s="1"/>
  <c r="CE87" i="1"/>
  <c r="CD88" i="1"/>
  <c r="CD91" i="1" s="1"/>
  <c r="DF62" i="1" l="1"/>
  <c r="DG132" i="1"/>
  <c r="DG90" i="1"/>
  <c r="DE63" i="1"/>
  <c r="DE68" i="1" s="1"/>
  <c r="DE59" i="1"/>
  <c r="DE61" i="1" s="1"/>
  <c r="CV115" i="1"/>
  <c r="CV117" i="1" s="1"/>
  <c r="CG38" i="1"/>
  <c r="CF42" i="1"/>
  <c r="CI112" i="1"/>
  <c r="CI110" i="1" s="1"/>
  <c r="CF87" i="1"/>
  <c r="CE88" i="1"/>
  <c r="CE91" i="1" s="1"/>
  <c r="DG62" i="1" l="1"/>
  <c r="DF59" i="1"/>
  <c r="DF61" i="1" s="1"/>
  <c r="DF63" i="1"/>
  <c r="DF68" i="1" s="1"/>
  <c r="CW115" i="1"/>
  <c r="CW117" i="1" s="1"/>
  <c r="CH38" i="1"/>
  <c r="CG42" i="1"/>
  <c r="CJ112" i="1"/>
  <c r="CJ110" i="1" s="1"/>
  <c r="CG87" i="1"/>
  <c r="CF88" i="1"/>
  <c r="CF91" i="1" s="1"/>
  <c r="DG59" i="1" l="1"/>
  <c r="DG61" i="1" s="1"/>
  <c r="DG63" i="1"/>
  <c r="DG68" i="1" s="1"/>
  <c r="CX115" i="1"/>
  <c r="CX117" i="1" s="1"/>
  <c r="CI38" i="1"/>
  <c r="CJ38" i="1" s="1"/>
  <c r="CH42" i="1"/>
  <c r="CK112" i="1"/>
  <c r="CK110" i="1" s="1"/>
  <c r="CH87" i="1"/>
  <c r="CG88" i="1"/>
  <c r="CG91" i="1" s="1"/>
  <c r="CY115" i="1" l="1"/>
  <c r="CY117" i="1" s="1"/>
  <c r="CL112" i="1"/>
  <c r="CL110" i="1" s="1"/>
  <c r="CI87" i="1"/>
  <c r="CH88" i="1"/>
  <c r="CH91" i="1" s="1"/>
  <c r="G35" i="5" l="1"/>
  <c r="CI42" i="1"/>
  <c r="CJ42" i="1"/>
  <c r="CZ115" i="1"/>
  <c r="CZ117" i="1" s="1"/>
  <c r="CK38" i="1"/>
  <c r="CM112" i="1"/>
  <c r="CM110" i="1" s="1"/>
  <c r="CJ87" i="1"/>
  <c r="CI88" i="1"/>
  <c r="CI91" i="1" s="1"/>
  <c r="DA115" i="1" l="1"/>
  <c r="DA117" i="1" s="1"/>
  <c r="CL38" i="1"/>
  <c r="CK42" i="1"/>
  <c r="CN112" i="1"/>
  <c r="CN110" i="1" s="1"/>
  <c r="CK87" i="1"/>
  <c r="CJ88" i="1"/>
  <c r="CJ91" i="1" s="1"/>
  <c r="DB115" i="1" l="1"/>
  <c r="DB117" i="1" s="1"/>
  <c r="CM38" i="1"/>
  <c r="CL42" i="1"/>
  <c r="CO112" i="1"/>
  <c r="CO110" i="1" s="1"/>
  <c r="CL87" i="1"/>
  <c r="CK88" i="1"/>
  <c r="CK91" i="1" s="1"/>
  <c r="DC115" i="1" l="1"/>
  <c r="DC117" i="1" s="1"/>
  <c r="CN38" i="1"/>
  <c r="CM42" i="1"/>
  <c r="CP112" i="1"/>
  <c r="CP110" i="1" s="1"/>
  <c r="CM87" i="1"/>
  <c r="CL88" i="1"/>
  <c r="CL91" i="1" s="1"/>
  <c r="DD115" i="1" l="1"/>
  <c r="DD117" i="1" s="1"/>
  <c r="CO38" i="1"/>
  <c r="CN42" i="1"/>
  <c r="CQ112" i="1"/>
  <c r="CQ110" i="1" s="1"/>
  <c r="CN87" i="1"/>
  <c r="CM88" i="1"/>
  <c r="CM91" i="1" s="1"/>
  <c r="DE115" i="1" l="1"/>
  <c r="DE117" i="1" s="1"/>
  <c r="CP38" i="1"/>
  <c r="CO42" i="1"/>
  <c r="CR112" i="1"/>
  <c r="CR110" i="1" s="1"/>
  <c r="CO87" i="1"/>
  <c r="CN88" i="1"/>
  <c r="CN91" i="1" s="1"/>
  <c r="DF115" i="1" l="1"/>
  <c r="DF117" i="1" s="1"/>
  <c r="CQ38" i="1"/>
  <c r="CP42" i="1"/>
  <c r="CS112" i="1"/>
  <c r="CS110" i="1" s="1"/>
  <c r="CP87" i="1"/>
  <c r="CO88" i="1"/>
  <c r="CO91" i="1" s="1"/>
  <c r="DG115" i="1" l="1"/>
  <c r="DG117" i="1" s="1"/>
  <c r="CR38" i="1"/>
  <c r="CQ42" i="1"/>
  <c r="CT112" i="1"/>
  <c r="CT110" i="1" s="1"/>
  <c r="CQ87" i="1"/>
  <c r="CP88" i="1"/>
  <c r="CP91" i="1" s="1"/>
  <c r="CS38" i="1" l="1"/>
  <c r="CR42" i="1"/>
  <c r="CU112" i="1"/>
  <c r="CU110" i="1" s="1"/>
  <c r="CR87" i="1"/>
  <c r="CQ88" i="1"/>
  <c r="CQ91" i="1" s="1"/>
  <c r="CT38" i="1" l="1"/>
  <c r="CS42" i="1"/>
  <c r="CV112" i="1"/>
  <c r="CV110" i="1" s="1"/>
  <c r="CS87" i="1"/>
  <c r="CR88" i="1"/>
  <c r="CR91" i="1" s="1"/>
  <c r="CU38" i="1" l="1"/>
  <c r="CV38" i="1" s="1"/>
  <c r="CT42" i="1"/>
  <c r="CW112" i="1"/>
  <c r="CW110" i="1" s="1"/>
  <c r="CT87" i="1"/>
  <c r="CS88" i="1"/>
  <c r="CS91" i="1" s="1"/>
  <c r="CX112" i="1" l="1"/>
  <c r="CX110" i="1" s="1"/>
  <c r="CU87" i="1"/>
  <c r="CT88" i="1"/>
  <c r="CT91" i="1" s="1"/>
  <c r="CU42" i="1" l="1"/>
  <c r="CV42" i="1"/>
  <c r="CW38" i="1"/>
  <c r="CY112" i="1"/>
  <c r="CY110" i="1" s="1"/>
  <c r="CV87" i="1"/>
  <c r="CU88" i="1"/>
  <c r="CU91" i="1" s="1"/>
  <c r="CX38" i="1" l="1"/>
  <c r="CW42" i="1"/>
  <c r="CZ112" i="1"/>
  <c r="CZ110" i="1" s="1"/>
  <c r="CW87" i="1"/>
  <c r="CV88" i="1"/>
  <c r="CV91" i="1" s="1"/>
  <c r="CY38" i="1" l="1"/>
  <c r="CX42" i="1"/>
  <c r="DA112" i="1"/>
  <c r="DA110" i="1" s="1"/>
  <c r="CX87" i="1"/>
  <c r="CW88" i="1"/>
  <c r="CW91" i="1" s="1"/>
  <c r="CZ38" i="1" l="1"/>
  <c r="CY42" i="1"/>
  <c r="DB112" i="1"/>
  <c r="DB110" i="1" s="1"/>
  <c r="CY87" i="1"/>
  <c r="CX88" i="1"/>
  <c r="CX91" i="1" s="1"/>
  <c r="DA38" i="1" l="1"/>
  <c r="CZ42" i="1"/>
  <c r="DC112" i="1"/>
  <c r="DC110" i="1" s="1"/>
  <c r="CZ87" i="1"/>
  <c r="CY88" i="1"/>
  <c r="CY91" i="1" s="1"/>
  <c r="DB38" i="1" l="1"/>
  <c r="DA42" i="1"/>
  <c r="DD112" i="1"/>
  <c r="DD110" i="1" s="1"/>
  <c r="DA87" i="1"/>
  <c r="CZ88" i="1"/>
  <c r="CZ91" i="1" s="1"/>
  <c r="DC38" i="1" l="1"/>
  <c r="DB42" i="1"/>
  <c r="DE112" i="1"/>
  <c r="DE110" i="1" s="1"/>
  <c r="DB87" i="1"/>
  <c r="DA88" i="1"/>
  <c r="DA91" i="1" s="1"/>
  <c r="DD38" i="1" l="1"/>
  <c r="DC42" i="1"/>
  <c r="DF112" i="1"/>
  <c r="DF110" i="1" s="1"/>
  <c r="DC87" i="1"/>
  <c r="DB88" i="1"/>
  <c r="DB91" i="1" s="1"/>
  <c r="DE38" i="1" l="1"/>
  <c r="DD42" i="1"/>
  <c r="DG112" i="1"/>
  <c r="DG110" i="1" s="1"/>
  <c r="DD87" i="1"/>
  <c r="DC88" i="1"/>
  <c r="DC91" i="1" s="1"/>
  <c r="DF38" i="1" l="1"/>
  <c r="DE42" i="1"/>
  <c r="DE87" i="1"/>
  <c r="DD88" i="1"/>
  <c r="DD91" i="1" s="1"/>
  <c r="DG38" i="1" l="1"/>
  <c r="DF42" i="1"/>
  <c r="DF87" i="1"/>
  <c r="DE88" i="1"/>
  <c r="DE91" i="1" s="1"/>
  <c r="DG42" i="1" l="1"/>
  <c r="DG87" i="1"/>
  <c r="DG88" i="1" s="1"/>
  <c r="DG91" i="1" s="1"/>
  <c r="DF88" i="1"/>
  <c r="DF91" i="1" s="1"/>
  <c r="E43" i="5" l="1"/>
  <c r="F43" i="5" s="1"/>
  <c r="G43" i="5"/>
  <c r="H43" i="5"/>
  <c r="I43" i="5"/>
  <c r="J43" i="5"/>
  <c r="K43" i="5"/>
  <c r="L43" i="5"/>
  <c r="E34" i="5"/>
  <c r="G34" i="5"/>
  <c r="G37" i="5" s="1"/>
  <c r="H34" i="5"/>
  <c r="I34" i="5"/>
  <c r="J34" i="5"/>
  <c r="K34" i="5"/>
  <c r="L34" i="5"/>
  <c r="Q190" i="1"/>
  <c r="R190" i="1"/>
  <c r="S190" i="1"/>
  <c r="T190" i="1"/>
  <c r="U190" i="1"/>
  <c r="V190" i="1"/>
  <c r="X190" i="1"/>
  <c r="Y190" i="1"/>
  <c r="Z190" i="1"/>
  <c r="E37" i="5" l="1"/>
  <c r="F37" i="5" s="1"/>
  <c r="F34" i="5"/>
  <c r="D13" i="6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D98" i="5" l="1"/>
  <c r="D99" i="5"/>
  <c r="Q18" i="1"/>
  <c r="Q19" i="1"/>
  <c r="C27" i="6"/>
  <c r="C28" i="6" s="1"/>
  <c r="D19" i="6" l="1"/>
  <c r="D24" i="15"/>
  <c r="D30" i="6" l="1"/>
  <c r="D31" i="6" s="1"/>
  <c r="E24" i="15"/>
  <c r="E19" i="6"/>
  <c r="E21" i="6" s="1"/>
  <c r="E23" i="6" s="1"/>
  <c r="E30" i="6"/>
  <c r="D21" i="6"/>
  <c r="D23" i="6" s="1"/>
  <c r="E31" i="6" l="1"/>
  <c r="F19" i="6"/>
  <c r="F24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24" i="15"/>
  <c r="G30" i="6"/>
  <c r="G31" i="6" s="1"/>
  <c r="F21" i="6"/>
  <c r="F23" i="6" s="1"/>
  <c r="H24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24" i="15"/>
  <c r="H24" i="6"/>
  <c r="H27" i="6"/>
  <c r="H28" i="6" s="1"/>
  <c r="I30" i="6"/>
  <c r="I31" i="6" s="1"/>
  <c r="J19" i="6" l="1"/>
  <c r="J21" i="6" s="1"/>
  <c r="J23" i="6" s="1"/>
  <c r="J24" i="15"/>
  <c r="I24" i="6"/>
  <c r="I27" i="6"/>
  <c r="I28" i="6" s="1"/>
  <c r="J30" i="6"/>
  <c r="J31" i="6" s="1"/>
  <c r="K24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24" i="15"/>
  <c r="L30" i="6"/>
  <c r="L31" i="6" s="1"/>
  <c r="M19" i="6" l="1"/>
  <c r="M21" i="6" s="1"/>
  <c r="M24" i="15"/>
  <c r="L27" i="6"/>
  <c r="L28" i="6" s="1"/>
  <c r="L24" i="6"/>
  <c r="D23" i="25" l="1"/>
  <c r="D24" i="25" s="1"/>
  <c r="D27" i="25" s="1"/>
  <c r="D33" i="25" l="1"/>
  <c r="D35" i="25" s="1"/>
  <c r="D29" i="25"/>
  <c r="E23" i="25"/>
  <c r="F23" i="25" l="1"/>
  <c r="F24" i="25" s="1"/>
  <c r="E24" i="25"/>
  <c r="G23" i="25" l="1"/>
  <c r="G24" i="25" l="1"/>
  <c r="AU43" i="1" l="1"/>
  <c r="AV43" i="1" l="1"/>
  <c r="AW43" i="1" l="1"/>
  <c r="AX43" i="1" l="1"/>
  <c r="AY43" i="1" l="1"/>
  <c r="AZ43" i="1" l="1"/>
  <c r="BA43" i="1" l="1"/>
  <c r="BB43" i="1" l="1"/>
  <c r="BC43" i="1" l="1"/>
  <c r="BD43" i="1" l="1"/>
  <c r="BE43" i="1" l="1"/>
  <c r="BF43" i="1" l="1"/>
  <c r="BG43" i="1" l="1"/>
  <c r="BH43" i="1" l="1"/>
  <c r="BI43" i="1" l="1"/>
  <c r="BJ43" i="1" l="1"/>
  <c r="BK43" i="1" l="1"/>
  <c r="BL43" i="1" s="1"/>
  <c r="BM43" i="1" l="1"/>
  <c r="BN43" i="1" l="1"/>
  <c r="BO43" i="1" l="1"/>
  <c r="BP43" i="1" l="1"/>
  <c r="BQ43" i="1" l="1"/>
  <c r="BR43" i="1" l="1"/>
  <c r="BS43" i="1" l="1"/>
  <c r="BT43" i="1" l="1"/>
  <c r="BU43" i="1" l="1"/>
  <c r="BV43" i="1" l="1"/>
  <c r="BW43" i="1" l="1"/>
  <c r="BX43" i="1" s="1"/>
  <c r="BY43" i="1" l="1"/>
  <c r="BZ43" i="1" l="1"/>
  <c r="CA43" i="1" l="1"/>
  <c r="CB43" i="1" l="1"/>
  <c r="CC43" i="1" l="1"/>
  <c r="CD43" i="1" l="1"/>
  <c r="CE43" i="1" l="1"/>
  <c r="CF43" i="1" l="1"/>
  <c r="CG43" i="1" l="1"/>
  <c r="CH43" i="1" l="1"/>
  <c r="CI43" i="1" l="1"/>
  <c r="CJ43" i="1" s="1"/>
  <c r="CK43" i="1" l="1"/>
  <c r="CL43" i="1" l="1"/>
  <c r="CM43" i="1" l="1"/>
  <c r="CN43" i="1" l="1"/>
  <c r="CO43" i="1" l="1"/>
  <c r="CP43" i="1" l="1"/>
  <c r="CQ43" i="1" l="1"/>
  <c r="CR43" i="1" l="1"/>
  <c r="CS43" i="1" l="1"/>
  <c r="CT43" i="1" l="1"/>
  <c r="CU43" i="1" l="1"/>
  <c r="CV43" i="1" s="1"/>
  <c r="CW43" i="1" l="1"/>
  <c r="CX43" i="1" l="1"/>
  <c r="CY43" i="1" l="1"/>
  <c r="CZ43" i="1" l="1"/>
  <c r="DA43" i="1" l="1"/>
  <c r="DB43" i="1" l="1"/>
  <c r="DC43" i="1" l="1"/>
  <c r="DD43" i="1" l="1"/>
  <c r="DE43" i="1" l="1"/>
  <c r="DF43" i="1" l="1"/>
  <c r="DG43" i="1" l="1"/>
  <c r="M12" i="6" l="1"/>
  <c r="R17" i="1" l="1"/>
  <c r="M14" i="6"/>
  <c r="M16" i="6" s="1"/>
  <c r="M23" i="6" l="1"/>
  <c r="M17" i="6"/>
  <c r="M24" i="6" l="1"/>
  <c r="M27" i="6"/>
  <c r="M28" i="6" s="1"/>
  <c r="M30" i="6" l="1"/>
  <c r="M31" i="6" s="1"/>
  <c r="N12" i="6" l="1"/>
  <c r="R18" i="1" l="1"/>
  <c r="P12" i="6"/>
  <c r="P14" i="6" s="1"/>
  <c r="P16" i="6" s="1"/>
  <c r="N14" i="6"/>
  <c r="N16" i="6" s="1"/>
  <c r="R16" i="1" l="1"/>
  <c r="R20" i="1" s="1"/>
  <c r="P17" i="6"/>
  <c r="N17" i="6"/>
  <c r="R21" i="1" l="1"/>
  <c r="N30" i="6" l="1"/>
  <c r="N31" i="6" s="1"/>
  <c r="C25" i="15" l="1"/>
  <c r="C28" i="15" s="1"/>
  <c r="C30" i="15" l="1"/>
  <c r="C34" i="15"/>
  <c r="C36" i="15" s="1"/>
  <c r="C27" i="15"/>
  <c r="C29" i="15" s="1"/>
  <c r="P177" i="1"/>
  <c r="C33" i="15" l="1"/>
  <c r="C35" i="15" s="1"/>
  <c r="D25" i="15" l="1"/>
  <c r="D28" i="15" s="1"/>
  <c r="D30" i="15" l="1"/>
  <c r="D34" i="15"/>
  <c r="D36" i="15" s="1"/>
  <c r="P111" i="1"/>
  <c r="P183" i="1" s="1"/>
  <c r="P186" i="1" s="1"/>
  <c r="P192" i="1" s="1"/>
  <c r="P195" i="1" s="1"/>
  <c r="P196" i="1" s="1"/>
  <c r="P118" i="1" l="1"/>
  <c r="Q183" i="1"/>
  <c r="P121" i="1" l="1"/>
  <c r="P178" i="1" s="1"/>
  <c r="P120" i="1"/>
  <c r="Q112" i="1"/>
  <c r="D12" i="15"/>
  <c r="D14" i="15" s="1"/>
  <c r="D19" i="15" s="1"/>
  <c r="D21" i="15" l="1"/>
  <c r="Q92" i="1"/>
  <c r="Q175" i="1" s="1"/>
  <c r="Q176" i="1" s="1"/>
  <c r="C39" i="15"/>
  <c r="E12" i="15"/>
  <c r="E14" i="15" l="1"/>
  <c r="E19" i="15" s="1"/>
  <c r="R175" i="1"/>
  <c r="R176" i="1" s="1"/>
  <c r="Q177" i="1"/>
  <c r="Q178" i="1" s="1"/>
  <c r="Q182" i="1"/>
  <c r="Q186" i="1" s="1"/>
  <c r="Q192" i="1" s="1"/>
  <c r="C38" i="15"/>
  <c r="Q194" i="1"/>
  <c r="D27" i="15"/>
  <c r="D29" i="15" s="1"/>
  <c r="R183" i="1"/>
  <c r="E21" i="15" l="1"/>
  <c r="S175" i="1"/>
  <c r="S176" i="1" s="1"/>
  <c r="S177" i="1" s="1"/>
  <c r="S178" i="1" s="1"/>
  <c r="R177" i="1"/>
  <c r="R178" i="1" s="1"/>
  <c r="Q195" i="1"/>
  <c r="D39" i="15"/>
  <c r="R182" i="1"/>
  <c r="R186" i="1" s="1"/>
  <c r="R192" i="1" s="1"/>
  <c r="F25" i="15"/>
  <c r="F28" i="15" s="1"/>
  <c r="D33" i="15"/>
  <c r="D35" i="15" s="1"/>
  <c r="E25" i="15"/>
  <c r="F30" i="15" l="1"/>
  <c r="F34" i="15"/>
  <c r="F36" i="15" s="1"/>
  <c r="E27" i="15"/>
  <c r="E29" i="15" s="1"/>
  <c r="E28" i="15"/>
  <c r="T175" i="1"/>
  <c r="T176" i="1" s="1"/>
  <c r="T177" i="1" s="1"/>
  <c r="T178" i="1" s="1"/>
  <c r="Q196" i="1"/>
  <c r="R194" i="1"/>
  <c r="R195" i="1" s="1"/>
  <c r="D38" i="15"/>
  <c r="G25" i="15"/>
  <c r="G28" i="15" s="1"/>
  <c r="E39" i="15"/>
  <c r="E33" i="15" l="1"/>
  <c r="E35" i="15" s="1"/>
  <c r="U175" i="1"/>
  <c r="U176" i="1" s="1"/>
  <c r="U177" i="1" s="1"/>
  <c r="U178" i="1" s="1"/>
  <c r="E30" i="15"/>
  <c r="E34" i="15"/>
  <c r="E36" i="15" s="1"/>
  <c r="G30" i="15"/>
  <c r="G34" i="15"/>
  <c r="G36" i="15" s="1"/>
  <c r="R196" i="1"/>
  <c r="S194" i="1"/>
  <c r="E38" i="15"/>
  <c r="H25" i="15"/>
  <c r="H28" i="15" s="1"/>
  <c r="V175" i="1" l="1"/>
  <c r="V176" i="1" s="1"/>
  <c r="V177" i="1" s="1"/>
  <c r="V178" i="1" s="1"/>
  <c r="H30" i="15"/>
  <c r="H34" i="15"/>
  <c r="H36" i="15" s="1"/>
  <c r="I25" i="15"/>
  <c r="I28" i="15" s="1"/>
  <c r="W175" i="1" l="1"/>
  <c r="X175" i="1" s="1"/>
  <c r="X176" i="1" s="1"/>
  <c r="X177" i="1" s="1"/>
  <c r="X178" i="1" s="1"/>
  <c r="I30" i="15"/>
  <c r="I34" i="15"/>
  <c r="I36" i="15" s="1"/>
  <c r="J25" i="15"/>
  <c r="J28" i="15" s="1"/>
  <c r="Y175" i="1" l="1"/>
  <c r="Y176" i="1" s="1"/>
  <c r="Y177" i="1" s="1"/>
  <c r="Y178" i="1" s="1"/>
  <c r="W176" i="1"/>
  <c r="W177" i="1" s="1"/>
  <c r="W178" i="1" s="1"/>
  <c r="J30" i="15"/>
  <c r="J34" i="15"/>
  <c r="J36" i="15" s="1"/>
  <c r="K25" i="15"/>
  <c r="K28" i="15" s="1"/>
  <c r="K30" i="15" l="1"/>
  <c r="K34" i="15"/>
  <c r="K36" i="15" s="1"/>
  <c r="L25" i="15"/>
  <c r="L28" i="15" s="1"/>
  <c r="L30" i="15" l="1"/>
  <c r="L34" i="15"/>
  <c r="L36" i="15" s="1"/>
  <c r="M25" i="15"/>
  <c r="M28" i="15" s="1"/>
  <c r="M30" i="15" l="1"/>
  <c r="M34" i="15"/>
  <c r="M36" i="15" s="1"/>
  <c r="S183" i="1"/>
  <c r="F12" i="15"/>
  <c r="F14" i="15" l="1"/>
  <c r="F19" i="15" s="1"/>
  <c r="S182" i="1"/>
  <c r="S186" i="1" s="1"/>
  <c r="S192" i="1" s="1"/>
  <c r="G12" i="15"/>
  <c r="F21" i="15" l="1"/>
  <c r="F27" i="15"/>
  <c r="F29" i="15" s="1"/>
  <c r="G14" i="15"/>
  <c r="G19" i="15" s="1"/>
  <c r="G21" i="15" s="1"/>
  <c r="I12" i="15"/>
  <c r="S195" i="1"/>
  <c r="F39" i="15"/>
  <c r="F33" i="15" l="1"/>
  <c r="F35" i="15" s="1"/>
  <c r="G27" i="15"/>
  <c r="G29" i="15" s="1"/>
  <c r="I14" i="15"/>
  <c r="I19" i="15" s="1"/>
  <c r="I21" i="15" s="1"/>
  <c r="T182" i="1"/>
  <c r="F38" i="15"/>
  <c r="S196" i="1"/>
  <c r="T194" i="1"/>
  <c r="H12" i="15"/>
  <c r="H14" i="15" s="1"/>
  <c r="H19" i="15" s="1"/>
  <c r="H21" i="15" s="1"/>
  <c r="T183" i="1"/>
  <c r="G33" i="15" l="1"/>
  <c r="G35" i="15" s="1"/>
  <c r="I27" i="15"/>
  <c r="I29" i="15" s="1"/>
  <c r="V182" i="1"/>
  <c r="V183" i="1"/>
  <c r="T186" i="1"/>
  <c r="T192" i="1" s="1"/>
  <c r="I33" i="15" l="1"/>
  <c r="I35" i="15" s="1"/>
  <c r="T195" i="1"/>
  <c r="V186" i="1"/>
  <c r="V192" i="1" s="1"/>
  <c r="U182" i="1"/>
  <c r="U183" i="1"/>
  <c r="G39" i="15"/>
  <c r="H27" i="15"/>
  <c r="H29" i="15" s="1"/>
  <c r="U194" i="1" l="1"/>
  <c r="G38" i="15"/>
  <c r="I39" i="15"/>
  <c r="H33" i="15"/>
  <c r="H35" i="15" s="1"/>
  <c r="U186" i="1"/>
  <c r="U192" i="1" s="1"/>
  <c r="T196" i="1"/>
  <c r="H39" i="15" l="1"/>
  <c r="U195" i="1"/>
  <c r="H38" i="15" l="1"/>
  <c r="U196" i="1"/>
  <c r="V194" i="1"/>
  <c r="V195" i="1" s="1"/>
  <c r="W194" i="1" s="1"/>
  <c r="W195" i="1" s="1"/>
  <c r="W196" i="1" s="1"/>
  <c r="V196" i="1" l="1"/>
  <c r="I38" i="15"/>
  <c r="J12" i="15" l="1"/>
  <c r="J14" i="15" s="1"/>
  <c r="J19" i="15" s="1"/>
  <c r="J21" i="15" s="1"/>
  <c r="K12" i="15" l="1"/>
  <c r="K14" i="15" l="1"/>
  <c r="K19" i="15" s="1"/>
  <c r="K21" i="15" s="1"/>
  <c r="X183" i="1"/>
  <c r="J27" i="15"/>
  <c r="J29" i="15" s="1"/>
  <c r="K27" i="15" l="1"/>
  <c r="X182" i="1"/>
  <c r="X186" i="1" s="1"/>
  <c r="X192" i="1" s="1"/>
  <c r="J33" i="15"/>
  <c r="J35" i="15" s="1"/>
  <c r="J39" i="15"/>
  <c r="K33" i="15" l="1"/>
  <c r="K35" i="15" s="1"/>
  <c r="K29" i="15"/>
  <c r="K39" i="15"/>
  <c r="J38" i="15"/>
  <c r="X194" i="1"/>
  <c r="X195" i="1" s="1"/>
  <c r="X196" i="1" l="1"/>
  <c r="K38" i="15"/>
  <c r="Y194" i="1"/>
  <c r="Q16" i="1" l="1"/>
  <c r="Q21" i="1" s="1"/>
  <c r="Q20" i="1" l="1"/>
  <c r="L12" i="15" l="1"/>
  <c r="L14" i="15" s="1"/>
  <c r="L19" i="15" s="1"/>
  <c r="L21" i="15" s="1"/>
  <c r="Y183" i="1" l="1"/>
  <c r="L27" i="15"/>
  <c r="L29" i="15" s="1"/>
  <c r="Y182" i="1" l="1"/>
  <c r="Y186" i="1" s="1"/>
  <c r="Y192" i="1" s="1"/>
  <c r="L33" i="15"/>
  <c r="L35" i="15" s="1"/>
  <c r="L39" i="15" l="1"/>
  <c r="Y195" i="1"/>
  <c r="N12" i="15"/>
  <c r="N14" i="15" s="1"/>
  <c r="N19" i="15" s="1"/>
  <c r="N21" i="15" l="1"/>
  <c r="Y196" i="1"/>
  <c r="L38" i="15"/>
  <c r="Z194" i="1"/>
  <c r="Z111" i="1" l="1"/>
  <c r="AA183" i="1" s="1"/>
  <c r="AA186" i="1" s="1"/>
  <c r="AA192" i="1" s="1"/>
  <c r="Z183" i="1" l="1"/>
  <c r="M12" i="15"/>
  <c r="P12" i="15" l="1"/>
  <c r="P14" i="15" s="1"/>
  <c r="P19" i="15" s="1"/>
  <c r="M14" i="15"/>
  <c r="Z112" i="1"/>
  <c r="Z34" i="1"/>
  <c r="Z126" i="1" l="1"/>
  <c r="AA126" i="1"/>
  <c r="M19" i="15"/>
  <c r="Z82" i="1"/>
  <c r="AU126" i="1" l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CP126" i="1" s="1"/>
  <c r="CQ126" i="1" s="1"/>
  <c r="CR126" i="1" s="1"/>
  <c r="CS126" i="1" s="1"/>
  <c r="CT126" i="1" s="1"/>
  <c r="CU126" i="1" s="1"/>
  <c r="CV126" i="1" s="1"/>
  <c r="CW126" i="1" s="1"/>
  <c r="CX126" i="1" s="1"/>
  <c r="CY126" i="1" s="1"/>
  <c r="CZ126" i="1" s="1"/>
  <c r="DA126" i="1" s="1"/>
  <c r="DB126" i="1" s="1"/>
  <c r="DC126" i="1" s="1"/>
  <c r="DD126" i="1" s="1"/>
  <c r="DE126" i="1" s="1"/>
  <c r="DF126" i="1" s="1"/>
  <c r="DG126" i="1" s="1"/>
  <c r="M21" i="15"/>
  <c r="P21" i="15"/>
  <c r="M27" i="15"/>
  <c r="M29" i="15" s="1"/>
  <c r="Z92" i="1"/>
  <c r="Z175" i="1" s="1"/>
  <c r="Z176" i="1" s="1"/>
  <c r="Z182" i="1" l="1"/>
  <c r="Z186" i="1" s="1"/>
  <c r="Z192" i="1" s="1"/>
  <c r="Z195" i="1" s="1"/>
  <c r="AA194" i="1" s="1"/>
  <c r="AA195" i="1" s="1"/>
  <c r="D47" i="5" s="1"/>
  <c r="M33" i="15"/>
  <c r="M35" i="15" s="1"/>
  <c r="AA175" i="1"/>
  <c r="Z177" i="1"/>
  <c r="M39" i="15" l="1"/>
  <c r="AA176" i="1"/>
  <c r="AA177" i="1" s="1"/>
  <c r="AB194" i="1"/>
  <c r="AA118" i="1"/>
  <c r="AA196" i="1"/>
  <c r="Z118" i="1"/>
  <c r="M38" i="15"/>
  <c r="Z196" i="1"/>
  <c r="Z121" i="1" l="1"/>
  <c r="Z178" i="1" s="1"/>
  <c r="Z120" i="1"/>
  <c r="AA121" i="1"/>
  <c r="AA120" i="1"/>
  <c r="D90" i="5"/>
  <c r="D91" i="5"/>
  <c r="AA178" i="1"/>
  <c r="S19" i="1"/>
  <c r="S17" i="1" l="1"/>
  <c r="S18" i="1" l="1"/>
  <c r="S16" i="1" l="1"/>
  <c r="S20" i="1" s="1"/>
  <c r="S21" i="1" l="1"/>
  <c r="T19" i="1" l="1"/>
  <c r="T17" i="1" l="1"/>
  <c r="T18" i="1" l="1"/>
  <c r="T16" i="1" l="1"/>
  <c r="T20" i="1" s="1"/>
  <c r="T21" i="1" l="1"/>
  <c r="U19" i="1" l="1"/>
  <c r="U17" i="1" l="1"/>
  <c r="U18" i="1" l="1"/>
  <c r="U16" i="1" l="1"/>
  <c r="U20" i="1" s="1"/>
  <c r="U21" i="1" l="1"/>
  <c r="V19" i="1" l="1"/>
  <c r="V17" i="1" l="1"/>
  <c r="V18" i="1" l="1"/>
  <c r="V16" i="1" l="1"/>
  <c r="V20" i="1" s="1"/>
  <c r="V21" i="1" l="1"/>
  <c r="W19" i="1" l="1"/>
  <c r="Y19" i="1"/>
  <c r="X19" i="1"/>
  <c r="Y17" i="1" l="1"/>
  <c r="X17" i="1"/>
  <c r="W17" i="1"/>
  <c r="Y18" i="1" l="1"/>
  <c r="W18" i="1"/>
  <c r="X18" i="1"/>
  <c r="X16" i="1" l="1"/>
  <c r="X20" i="1" s="1"/>
  <c r="Y16" i="1"/>
  <c r="Y20" i="1" s="1"/>
  <c r="W16" i="1"/>
  <c r="W20" i="1" s="1"/>
  <c r="W21" i="1" l="1"/>
  <c r="Y21" i="1"/>
  <c r="X21" i="1"/>
  <c r="Z19" i="1" l="1"/>
  <c r="Z17" i="1" l="1"/>
  <c r="Z18" i="1" l="1"/>
  <c r="Z16" i="1" l="1"/>
  <c r="Z20" i="1" s="1"/>
  <c r="Z21" i="1" l="1"/>
  <c r="H23" i="25" l="1"/>
  <c r="H24" i="25" l="1"/>
  <c r="I23" i="25" l="1"/>
  <c r="I24" i="25" l="1"/>
  <c r="J23" i="25" l="1"/>
  <c r="J24" i="25" l="1"/>
  <c r="K23" i="25" l="1"/>
  <c r="K24" i="25" s="1"/>
  <c r="L23" i="25" l="1"/>
  <c r="L24" i="25" s="1"/>
  <c r="M23" i="25" l="1"/>
  <c r="M24" i="25" s="1"/>
  <c r="N23" i="25" l="1"/>
  <c r="N24" i="25" l="1"/>
  <c r="P23" i="25"/>
  <c r="P24" i="25" s="1"/>
  <c r="BL10" i="1" l="1"/>
  <c r="BL111" i="1" l="1"/>
  <c r="BM10" i="1" l="1"/>
  <c r="BM111" i="1" l="1"/>
  <c r="BM183" i="1" l="1"/>
  <c r="BN10" i="1" l="1"/>
  <c r="BN111" i="1" l="1"/>
  <c r="BN183" i="1" l="1"/>
  <c r="BO10" i="1"/>
  <c r="BO111" i="1" l="1"/>
  <c r="BO183" i="1" l="1"/>
  <c r="BP10" i="1"/>
  <c r="BP111" i="1" l="1"/>
  <c r="BP183" i="1" l="1"/>
  <c r="BQ10" i="1" l="1"/>
  <c r="BQ111" i="1" l="1"/>
  <c r="BQ183" i="1" s="1"/>
  <c r="BR10" i="1" l="1"/>
  <c r="BR111" i="1" l="1"/>
  <c r="BR183" i="1" s="1"/>
  <c r="BS10" i="1" l="1"/>
  <c r="BS111" i="1" l="1"/>
  <c r="BS183" i="1" s="1"/>
  <c r="BT10" i="1" l="1"/>
  <c r="BT111" i="1" l="1"/>
  <c r="BT183" i="1" s="1"/>
  <c r="BU10" i="1" l="1"/>
  <c r="BU111" i="1" l="1"/>
  <c r="BU183" i="1" s="1"/>
  <c r="BV10" i="1" l="1"/>
  <c r="BV111" i="1" l="1"/>
  <c r="BV183" i="1" s="1"/>
  <c r="BW10" i="1" l="1"/>
  <c r="BW111" i="1" l="1"/>
  <c r="BW183" i="1" s="1"/>
  <c r="BX10" i="1" l="1"/>
  <c r="BX111" i="1" l="1"/>
  <c r="BX183" i="1" l="1"/>
  <c r="BY10" i="1" l="1"/>
  <c r="BY111" i="1" l="1"/>
  <c r="BY183" i="1" l="1"/>
  <c r="BZ10" i="1" l="1"/>
  <c r="BZ111" i="1" l="1"/>
  <c r="BZ183" i="1" l="1"/>
  <c r="CA10" i="1" l="1"/>
  <c r="CA111" i="1" l="1"/>
  <c r="CA183" i="1" l="1"/>
  <c r="CB10" i="1" l="1"/>
  <c r="CB111" i="1" l="1"/>
  <c r="CB183" i="1" l="1"/>
  <c r="CC10" i="1" l="1"/>
  <c r="CC111" i="1" l="1"/>
  <c r="CC183" i="1" s="1"/>
  <c r="CD10" i="1" l="1"/>
  <c r="CD111" i="1" l="1"/>
  <c r="CD183" i="1" s="1"/>
  <c r="CE10" i="1" l="1"/>
  <c r="CE111" i="1" l="1"/>
  <c r="CE183" i="1" s="1"/>
  <c r="CF10" i="1" l="1"/>
  <c r="CF111" i="1" l="1"/>
  <c r="CF183" i="1" s="1"/>
  <c r="CG10" i="1" l="1"/>
  <c r="CG111" i="1" l="1"/>
  <c r="CG183" i="1" s="1"/>
  <c r="CH10" i="1" l="1"/>
  <c r="CH111" i="1" l="1"/>
  <c r="CH183" i="1" s="1"/>
  <c r="CI10" i="1" l="1"/>
  <c r="CI111" i="1" l="1"/>
  <c r="CI183" i="1" s="1"/>
  <c r="CJ10" i="1" l="1"/>
  <c r="CJ111" i="1" l="1"/>
  <c r="CJ183" i="1" l="1"/>
  <c r="CK10" i="1" l="1"/>
  <c r="CK111" i="1" l="1"/>
  <c r="CK183" i="1" s="1"/>
  <c r="CL10" i="1"/>
  <c r="CL111" i="1" l="1"/>
  <c r="CM10" i="1" l="1"/>
  <c r="CL183" i="1"/>
  <c r="CM111" i="1" l="1"/>
  <c r="CN10" i="1" l="1"/>
  <c r="CM183" i="1"/>
  <c r="CN111" i="1" l="1"/>
  <c r="CN183" i="1" l="1"/>
  <c r="CO10" i="1" l="1"/>
  <c r="CO111" i="1" l="1"/>
  <c r="CO183" i="1" s="1"/>
  <c r="CP10" i="1" l="1"/>
  <c r="CP111" i="1" l="1"/>
  <c r="CP183" i="1" s="1"/>
  <c r="CQ10" i="1" l="1"/>
  <c r="CQ111" i="1" l="1"/>
  <c r="CQ183" i="1" s="1"/>
  <c r="CR10" i="1" l="1"/>
  <c r="CR111" i="1" l="1"/>
  <c r="CR183" i="1" s="1"/>
  <c r="CS10" i="1" l="1"/>
  <c r="CS111" i="1" l="1"/>
  <c r="CS183" i="1" s="1"/>
  <c r="CT10" i="1" l="1"/>
  <c r="CT111" i="1" l="1"/>
  <c r="CT183" i="1" s="1"/>
  <c r="CU10" i="1" l="1"/>
  <c r="CU111" i="1" l="1"/>
  <c r="CU183" i="1" s="1"/>
  <c r="CV10" i="1" l="1"/>
  <c r="CV111" i="1" l="1"/>
  <c r="CV183" i="1" l="1"/>
  <c r="CW10" i="1" l="1"/>
  <c r="CW111" i="1" l="1"/>
  <c r="CW183" i="1" l="1"/>
  <c r="CX10" i="1" l="1"/>
  <c r="CX111" i="1" l="1"/>
  <c r="CY10" i="1" l="1"/>
  <c r="CX183" i="1"/>
  <c r="CY111" i="1" l="1"/>
  <c r="CZ10" i="1" l="1"/>
  <c r="CY183" i="1"/>
  <c r="CZ111" i="1" l="1"/>
  <c r="CZ183" i="1" l="1"/>
  <c r="DA10" i="1" l="1"/>
  <c r="DA111" i="1" l="1"/>
  <c r="DA183" i="1" s="1"/>
  <c r="DB10" i="1" l="1"/>
  <c r="DB111" i="1" l="1"/>
  <c r="DB183" i="1" s="1"/>
  <c r="DC10" i="1" l="1"/>
  <c r="DC111" i="1" l="1"/>
  <c r="DC183" i="1" s="1"/>
  <c r="DD10" i="1" l="1"/>
  <c r="DD111" i="1" l="1"/>
  <c r="DD183" i="1" s="1"/>
  <c r="DE10" i="1" l="1"/>
  <c r="DE111" i="1" l="1"/>
  <c r="DE183" i="1" s="1"/>
  <c r="DF10" i="1" l="1"/>
  <c r="DF111" i="1" l="1"/>
  <c r="DF183" i="1" s="1"/>
  <c r="DG10" i="1" l="1"/>
  <c r="DG111" i="1" l="1"/>
  <c r="DG183" i="1" l="1"/>
  <c r="N24" i="15" l="1"/>
  <c r="N25" i="15" s="1"/>
  <c r="N19" i="6"/>
  <c r="N21" i="6" s="1"/>
  <c r="N23" i="6" s="1"/>
  <c r="N27" i="15" l="1"/>
  <c r="N28" i="15"/>
  <c r="N24" i="6"/>
  <c r="N27" i="6"/>
  <c r="N28" i="6" s="1"/>
  <c r="P19" i="6"/>
  <c r="P21" i="6" s="1"/>
  <c r="P23" i="6" s="1"/>
  <c r="P24" i="15"/>
  <c r="P25" i="15" s="1"/>
  <c r="N30" i="15" l="1"/>
  <c r="N34" i="15"/>
  <c r="N36" i="15" s="1"/>
  <c r="N29" i="15"/>
  <c r="N33" i="15"/>
  <c r="N35" i="15" s="1"/>
  <c r="P28" i="15"/>
  <c r="P27" i="15"/>
  <c r="P27" i="6"/>
  <c r="P28" i="6" s="1"/>
  <c r="P24" i="6"/>
  <c r="P29" i="15" l="1"/>
  <c r="P33" i="15"/>
  <c r="P38" i="15" s="1"/>
  <c r="P30" i="15"/>
  <c r="P34" i="15"/>
  <c r="N39" i="15"/>
  <c r="P35" i="15" l="1"/>
  <c r="P36" i="15"/>
  <c r="P39" i="15"/>
  <c r="N38" i="15"/>
  <c r="AB82" i="1" l="1"/>
  <c r="AB112" i="1" l="1"/>
  <c r="AB92" i="1"/>
  <c r="AB175" i="1" l="1"/>
  <c r="AB182" i="1"/>
  <c r="AB186" i="1" s="1"/>
  <c r="AB192" i="1" s="1"/>
  <c r="C26" i="25"/>
  <c r="C39" i="32" l="1"/>
  <c r="C30" i="27"/>
  <c r="C36" i="31"/>
  <c r="AB176" i="1"/>
  <c r="AB177" i="1" s="1"/>
  <c r="AC175" i="1"/>
  <c r="C28" i="25"/>
  <c r="C32" i="25"/>
  <c r="C34" i="25" s="1"/>
  <c r="AB195" i="1"/>
  <c r="C39" i="25"/>
  <c r="C38" i="32" l="1"/>
  <c r="C41" i="32" s="1"/>
  <c r="AB196" i="1"/>
  <c r="C29" i="27"/>
  <c r="C35" i="31"/>
  <c r="AD175" i="1"/>
  <c r="AC176" i="1"/>
  <c r="AC177" i="1" s="1"/>
  <c r="AC190" i="1"/>
  <c r="AC194" i="1"/>
  <c r="AB118" i="1"/>
  <c r="C38" i="25"/>
  <c r="AB121" i="1" l="1"/>
  <c r="AB178" i="1" s="1"/>
  <c r="C40" i="32"/>
  <c r="AE175" i="1"/>
  <c r="AF175" i="1" s="1"/>
  <c r="AD176" i="1"/>
  <c r="AD177" i="1" s="1"/>
  <c r="AD190" i="1"/>
  <c r="AF176" i="1" l="1"/>
  <c r="AF177" i="1" s="1"/>
  <c r="AF178" i="1" s="1"/>
  <c r="AG175" i="1"/>
  <c r="AE176" i="1"/>
  <c r="AE177" i="1" s="1"/>
  <c r="AE190" i="1"/>
  <c r="AG176" i="1" l="1"/>
  <c r="AG177" i="1" s="1"/>
  <c r="AG178" i="1" s="1"/>
  <c r="AH175" i="1"/>
  <c r="AH176" i="1" l="1"/>
  <c r="AH177" i="1" s="1"/>
  <c r="AH178" i="1" s="1"/>
  <c r="AI175" i="1"/>
  <c r="AI176" i="1" l="1"/>
  <c r="AI177" i="1" s="1"/>
  <c r="AI178" i="1" s="1"/>
  <c r="AJ175" i="1"/>
  <c r="AK190" i="1"/>
  <c r="AJ176" i="1" l="1"/>
  <c r="AJ177" i="1" s="1"/>
  <c r="AJ178" i="1" s="1"/>
  <c r="AK175" i="1"/>
  <c r="AL190" i="1"/>
  <c r="AK176" i="1" l="1"/>
  <c r="AK177" i="1" s="1"/>
  <c r="AK178" i="1" s="1"/>
  <c r="AL175" i="1"/>
  <c r="D12" i="25"/>
  <c r="AL176" i="1" l="1"/>
  <c r="AL177" i="1" s="1"/>
  <c r="AL178" i="1" s="1"/>
  <c r="AM175" i="1"/>
  <c r="D14" i="25"/>
  <c r="D18" i="25" s="1"/>
  <c r="AC183" i="1"/>
  <c r="AM176" i="1" l="1"/>
  <c r="AM177" i="1" s="1"/>
  <c r="D20" i="25"/>
  <c r="D26" i="25"/>
  <c r="AN176" i="1" l="1"/>
  <c r="AN177" i="1" s="1"/>
  <c r="AN178" i="1" s="1"/>
  <c r="D28" i="25"/>
  <c r="D32" i="25"/>
  <c r="D34" i="25" s="1"/>
  <c r="AC182" i="1"/>
  <c r="AC186" i="1" s="1"/>
  <c r="AC192" i="1" s="1"/>
  <c r="D36" i="31" l="1"/>
  <c r="D39" i="32"/>
  <c r="AD183" i="1"/>
  <c r="E17" i="25"/>
  <c r="E12" i="25"/>
  <c r="E14" i="25" s="1"/>
  <c r="D39" i="25"/>
  <c r="AC195" i="1"/>
  <c r="D35" i="31" l="1"/>
  <c r="D38" i="32"/>
  <c r="E18" i="25"/>
  <c r="E26" i="25" s="1"/>
  <c r="E19" i="25"/>
  <c r="D38" i="25"/>
  <c r="AC196" i="1"/>
  <c r="AD194" i="1"/>
  <c r="AC178" i="1"/>
  <c r="D41" i="32" l="1"/>
  <c r="D40" i="32"/>
  <c r="E20" i="25"/>
  <c r="F17" i="25"/>
  <c r="E21" i="25"/>
  <c r="E27" i="25"/>
  <c r="E28" i="25"/>
  <c r="E32" i="25"/>
  <c r="E34" i="25" s="1"/>
  <c r="U8" i="28"/>
  <c r="Q5" i="28" s="1"/>
  <c r="AD182" i="1"/>
  <c r="AD186" i="1" s="1"/>
  <c r="AD192" i="1" s="1"/>
  <c r="AB11" i="1" l="1"/>
  <c r="E36" i="31"/>
  <c r="E39" i="32"/>
  <c r="AD195" i="1"/>
  <c r="E33" i="25"/>
  <c r="E35" i="25" s="1"/>
  <c r="E29" i="25"/>
  <c r="F19" i="25"/>
  <c r="F12" i="25"/>
  <c r="E39" i="25"/>
  <c r="E38" i="32" l="1"/>
  <c r="E40" i="32" s="1"/>
  <c r="C38" i="37"/>
  <c r="AB30" i="1"/>
  <c r="AB31" i="1"/>
  <c r="AB29" i="1"/>
  <c r="AB35" i="1"/>
  <c r="AB83" i="1" s="1"/>
  <c r="AB84" i="1" s="1"/>
  <c r="D19" i="34"/>
  <c r="AE194" i="1"/>
  <c r="E35" i="31"/>
  <c r="E38" i="25"/>
  <c r="AD196" i="1"/>
  <c r="F21" i="25"/>
  <c r="F27" i="25"/>
  <c r="F14" i="25"/>
  <c r="F18" i="25" s="1"/>
  <c r="AE183" i="1"/>
  <c r="AD178" i="1"/>
  <c r="E41" i="32" l="1"/>
  <c r="R5" i="28"/>
  <c r="R72" i="28" s="1"/>
  <c r="AC11" i="1" s="1"/>
  <c r="C8" i="28"/>
  <c r="AB93" i="1"/>
  <c r="C23" i="32"/>
  <c r="C22" i="32"/>
  <c r="C30" i="32" s="1"/>
  <c r="F33" i="25"/>
  <c r="F35" i="25" s="1"/>
  <c r="F29" i="25"/>
  <c r="F20" i="25"/>
  <c r="F26" i="25"/>
  <c r="S72" i="28"/>
  <c r="AC31" i="1" l="1"/>
  <c r="AC30" i="1"/>
  <c r="C31" i="32"/>
  <c r="C34" i="32"/>
  <c r="C35" i="32" s="1"/>
  <c r="AD11" i="1"/>
  <c r="E19" i="34"/>
  <c r="AC29" i="1"/>
  <c r="AC35" i="1"/>
  <c r="AC83" i="1" s="1"/>
  <c r="BN25" i="1"/>
  <c r="BN11" i="1"/>
  <c r="F28" i="25"/>
  <c r="F32" i="25"/>
  <c r="F34" i="25" s="1"/>
  <c r="AE182" i="1"/>
  <c r="AE186" i="1" s="1"/>
  <c r="AE192" i="1" s="1"/>
  <c r="T5" i="28"/>
  <c r="T72" i="28" s="1"/>
  <c r="AD31" i="1" l="1"/>
  <c r="AD30" i="1"/>
  <c r="D23" i="32"/>
  <c r="D22" i="32"/>
  <c r="D30" i="32" s="1"/>
  <c r="AD29" i="1"/>
  <c r="AD35" i="1"/>
  <c r="AD83" i="1" s="1"/>
  <c r="F19" i="34"/>
  <c r="CA25" i="1"/>
  <c r="CA11" i="1"/>
  <c r="AC84" i="1"/>
  <c r="AC93" i="1"/>
  <c r="AE11" i="1"/>
  <c r="F36" i="31"/>
  <c r="F39" i="32"/>
  <c r="AE178" i="1"/>
  <c r="F39" i="25"/>
  <c r="AE195" i="1"/>
  <c r="AF194" i="1" s="1"/>
  <c r="AF195" i="1" s="1"/>
  <c r="AF196" i="1" s="1"/>
  <c r="AE31" i="1" l="1"/>
  <c r="AE30" i="1"/>
  <c r="AD93" i="1"/>
  <c r="AD84" i="1"/>
  <c r="CM25" i="1"/>
  <c r="CM11" i="1"/>
  <c r="E23" i="32"/>
  <c r="E22" i="32"/>
  <c r="E30" i="32" s="1"/>
  <c r="AE35" i="1"/>
  <c r="AE83" i="1" s="1"/>
  <c r="AE29" i="1"/>
  <c r="BO25" i="1"/>
  <c r="BO11" i="1"/>
  <c r="D34" i="32"/>
  <c r="D35" i="32" s="1"/>
  <c r="D31" i="32"/>
  <c r="G19" i="34"/>
  <c r="F35" i="31"/>
  <c r="F38" i="32"/>
  <c r="AE196" i="1"/>
  <c r="F38" i="25"/>
  <c r="F41" i="32" l="1"/>
  <c r="F40" i="32"/>
  <c r="E34" i="32"/>
  <c r="E35" i="32" s="1"/>
  <c r="E31" i="32"/>
  <c r="AE93" i="1"/>
  <c r="AE84" i="1"/>
  <c r="CB25" i="1"/>
  <c r="CB11" i="1"/>
  <c r="BP25" i="1"/>
  <c r="BP11" i="1"/>
  <c r="CZ25" i="1"/>
  <c r="CZ11" i="1"/>
  <c r="F23" i="32"/>
  <c r="F22" i="32"/>
  <c r="F30" i="32" s="1"/>
  <c r="BQ25" i="1" l="1"/>
  <c r="BQ11" i="1"/>
  <c r="F31" i="32"/>
  <c r="F34" i="32"/>
  <c r="F35" i="32" s="1"/>
  <c r="CC25" i="1"/>
  <c r="CC11" i="1"/>
  <c r="CN25" i="1"/>
  <c r="CN11" i="1"/>
  <c r="CO25" i="1" l="1"/>
  <c r="CO11" i="1"/>
  <c r="DA25" i="1"/>
  <c r="DA11" i="1"/>
  <c r="CD25" i="1"/>
  <c r="CD11" i="1"/>
  <c r="CP25" i="1" l="1"/>
  <c r="CP11" i="1"/>
  <c r="DB25" i="1"/>
  <c r="DB11" i="1"/>
  <c r="DC25" i="1" l="1"/>
  <c r="DC11" i="1"/>
  <c r="G12" i="25" l="1"/>
  <c r="G14" i="25" l="1"/>
  <c r="H12" i="25"/>
  <c r="BR11" i="1" l="1"/>
  <c r="H14" i="25"/>
  <c r="H19" i="34" l="1"/>
  <c r="D19" i="37"/>
  <c r="E19" i="37" s="1"/>
  <c r="BR25" i="1"/>
  <c r="CQ11" i="1"/>
  <c r="CE11" i="1"/>
  <c r="I12" i="25"/>
  <c r="CQ25" i="1" l="1"/>
  <c r="DD11" i="1"/>
  <c r="CE25" i="1"/>
  <c r="I14" i="25"/>
  <c r="DD25" i="1" l="1"/>
  <c r="Z72" i="28"/>
  <c r="AK11" i="1" s="1"/>
  <c r="AK30" i="1" l="1"/>
  <c r="AK29" i="1"/>
  <c r="AK31" i="1"/>
  <c r="AK35" i="1"/>
  <c r="AK83" i="1" s="1"/>
  <c r="CV11" i="1"/>
  <c r="AK93" i="1" l="1"/>
  <c r="AK84" i="1"/>
  <c r="CV25" i="1"/>
  <c r="AK183" i="1"/>
  <c r="BW11" i="1" l="1"/>
  <c r="CW11" i="1"/>
  <c r="N12" i="25"/>
  <c r="N14" i="25" s="1"/>
  <c r="CW25" i="1" l="1"/>
  <c r="CJ11" i="1"/>
  <c r="CJ25" i="1" l="1"/>
  <c r="CX11" i="1"/>
  <c r="CK11" i="1"/>
  <c r="AN183" i="1"/>
  <c r="CK25" i="1" l="1"/>
  <c r="CX25" i="1"/>
  <c r="AO183" i="1" l="1"/>
  <c r="AS183" i="1" l="1"/>
  <c r="AU10" i="1" l="1"/>
  <c r="AU111" i="1" l="1"/>
  <c r="AV10" i="1" l="1"/>
  <c r="AV111" i="1" l="1"/>
  <c r="AW10" i="1" l="1"/>
  <c r="AV183" i="1"/>
  <c r="AW111" i="1" l="1"/>
  <c r="AX10" i="1" l="1"/>
  <c r="AW183" i="1"/>
  <c r="AX111" i="1" l="1"/>
  <c r="AY10" i="1" l="1"/>
  <c r="AX183" i="1"/>
  <c r="AY111" i="1" l="1"/>
  <c r="AY183" i="1" l="1"/>
  <c r="AZ10" i="1" l="1"/>
  <c r="BA10" i="1" l="1"/>
  <c r="AZ111" i="1"/>
  <c r="BA111" i="1" l="1"/>
  <c r="BA183" i="1" s="1"/>
  <c r="AZ183" i="1"/>
  <c r="BB10" i="1" l="1"/>
  <c r="BB111" i="1" l="1"/>
  <c r="BC10" i="1" l="1"/>
  <c r="BB183" i="1"/>
  <c r="BC111" i="1" l="1"/>
  <c r="BD10" i="1" l="1"/>
  <c r="BC183" i="1"/>
  <c r="BD111" i="1" l="1"/>
  <c r="BE10" i="1" l="1"/>
  <c r="BD183" i="1"/>
  <c r="BF10" i="1" l="1"/>
  <c r="BE111" i="1"/>
  <c r="BE183" i="1" l="1"/>
  <c r="BF111" i="1"/>
  <c r="BG10" i="1" l="1"/>
  <c r="BF183" i="1"/>
  <c r="BH10" i="1" l="1"/>
  <c r="BG111" i="1"/>
  <c r="BI10" i="1" l="1"/>
  <c r="BH111" i="1"/>
  <c r="BG183" i="1"/>
  <c r="BI111" i="1" l="1"/>
  <c r="BH183" i="1"/>
  <c r="BJ10" i="1" l="1"/>
  <c r="BI183" i="1"/>
  <c r="BJ111" i="1" l="1"/>
  <c r="BJ183" i="1" l="1"/>
  <c r="BK10" i="1" l="1"/>
  <c r="BK111" i="1" l="1"/>
  <c r="BL183" i="1" l="1"/>
  <c r="BK183" i="1"/>
  <c r="U10" i="28" l="1"/>
  <c r="V10" i="28" s="1"/>
  <c r="W10" i="28" s="1"/>
  <c r="X10" i="28" s="1"/>
  <c r="G12" i="31" l="1"/>
  <c r="G20" i="31" s="1"/>
  <c r="G16" i="5"/>
  <c r="G20" i="5" s="1"/>
  <c r="G13" i="25"/>
  <c r="G14" i="31" l="1"/>
  <c r="P13" i="31"/>
  <c r="G15" i="25"/>
  <c r="U27" i="28" l="1"/>
  <c r="U23" i="28"/>
  <c r="U25" i="28"/>
  <c r="V23" i="28" l="1"/>
  <c r="V25" i="28"/>
  <c r="U55" i="28"/>
  <c r="U59" i="28"/>
  <c r="U57" i="28"/>
  <c r="V27" i="28"/>
  <c r="W23" i="28"/>
  <c r="AT183" i="1"/>
  <c r="AU183" i="1"/>
  <c r="X23" i="28" l="1"/>
  <c r="V59" i="28"/>
  <c r="V55" i="28"/>
  <c r="W27" i="28"/>
  <c r="AF11" i="1"/>
  <c r="W25" i="28"/>
  <c r="G21" i="32"/>
  <c r="G24" i="32" s="1"/>
  <c r="G18" i="31"/>
  <c r="G21" i="31" s="1"/>
  <c r="H18" i="32"/>
  <c r="G18" i="32"/>
  <c r="AF31" i="1" l="1"/>
  <c r="AF30" i="1"/>
  <c r="X27" i="28"/>
  <c r="X25" i="28"/>
  <c r="W55" i="28"/>
  <c r="W59" i="28"/>
  <c r="V57" i="28"/>
  <c r="AF29" i="1"/>
  <c r="AF35" i="1"/>
  <c r="AF83" i="1" s="1"/>
  <c r="AF84" i="1" s="1"/>
  <c r="Y23" i="28"/>
  <c r="G19" i="31"/>
  <c r="H21" i="32"/>
  <c r="H24" i="32" s="1"/>
  <c r="H18" i="31"/>
  <c r="H21" i="31" s="1"/>
  <c r="W57" i="28" l="1"/>
  <c r="X57" i="28" s="1"/>
  <c r="Y25" i="28"/>
  <c r="Y27" i="28"/>
  <c r="X59" i="28"/>
  <c r="X55" i="28"/>
  <c r="AF93" i="1"/>
  <c r="I21" i="32"/>
  <c r="I24" i="32" s="1"/>
  <c r="I18" i="31"/>
  <c r="I21" i="31" s="1"/>
  <c r="Z25" i="28" l="1"/>
  <c r="I12" i="31"/>
  <c r="I13" i="25"/>
  <c r="Z27" i="28"/>
  <c r="Y55" i="28"/>
  <c r="Y57" i="28"/>
  <c r="Z23" i="28"/>
  <c r="J21" i="32"/>
  <c r="J24" i="32" s="1"/>
  <c r="J18" i="31"/>
  <c r="J21" i="31" s="1"/>
  <c r="J13" i="25" l="1"/>
  <c r="J15" i="25" s="1"/>
  <c r="I18" i="32"/>
  <c r="I14" i="31"/>
  <c r="J18" i="32"/>
  <c r="I17" i="31"/>
  <c r="I20" i="32"/>
  <c r="AA25" i="28"/>
  <c r="AB25" i="28" s="1"/>
  <c r="AC25" i="28" s="1"/>
  <c r="AD25" i="28" s="1"/>
  <c r="AE25" i="28" s="1"/>
  <c r="AF25" i="28" s="1"/>
  <c r="AG25" i="28" s="1"/>
  <c r="AH25" i="28" s="1"/>
  <c r="AI25" i="28" s="1"/>
  <c r="AJ25" i="28" s="1"/>
  <c r="AK25" i="28" s="1"/>
  <c r="AL25" i="28" s="1"/>
  <c r="AM25" i="28" s="1"/>
  <c r="AN25" i="28" s="1"/>
  <c r="AO25" i="28" s="1"/>
  <c r="AP25" i="28" s="1"/>
  <c r="AQ25" i="28" s="1"/>
  <c r="AR25" i="28" s="1"/>
  <c r="AS25" i="28" s="1"/>
  <c r="AT25" i="28" s="1"/>
  <c r="AU25" i="28" s="1"/>
  <c r="AV25" i="28" s="1"/>
  <c r="AW25" i="28" s="1"/>
  <c r="AX25" i="28" s="1"/>
  <c r="AY25" i="28" s="1"/>
  <c r="AZ25" i="28" s="1"/>
  <c r="BA25" i="28" s="1"/>
  <c r="BB25" i="28" s="1"/>
  <c r="BC25" i="28" s="1"/>
  <c r="BD25" i="28" s="1"/>
  <c r="BE25" i="28" s="1"/>
  <c r="BF25" i="28" s="1"/>
  <c r="BG25" i="28" s="1"/>
  <c r="BH25" i="28" s="1"/>
  <c r="BI25" i="28" s="1"/>
  <c r="BJ25" i="28" s="1"/>
  <c r="BK25" i="28" s="1"/>
  <c r="BL25" i="28" s="1"/>
  <c r="BM25" i="28" s="1"/>
  <c r="BN25" i="28" s="1"/>
  <c r="BO25" i="28" s="1"/>
  <c r="BP25" i="28" s="1"/>
  <c r="BQ25" i="28" s="1"/>
  <c r="BR25" i="28" s="1"/>
  <c r="BS25" i="28" s="1"/>
  <c r="BT25" i="28" s="1"/>
  <c r="BU25" i="28" s="1"/>
  <c r="BV25" i="28" s="1"/>
  <c r="BW25" i="28" s="1"/>
  <c r="BX25" i="28" s="1"/>
  <c r="BY25" i="28" s="1"/>
  <c r="BZ25" i="28" s="1"/>
  <c r="CA25" i="28" s="1"/>
  <c r="CB25" i="28" s="1"/>
  <c r="CC25" i="28" s="1"/>
  <c r="CD25" i="28" s="1"/>
  <c r="CE25" i="28" s="1"/>
  <c r="CF25" i="28" s="1"/>
  <c r="CG25" i="28" s="1"/>
  <c r="CH25" i="28" s="1"/>
  <c r="CI25" i="28" s="1"/>
  <c r="CJ25" i="28" s="1"/>
  <c r="CK25" i="28" s="1"/>
  <c r="CL25" i="28" s="1"/>
  <c r="CM25" i="28" s="1"/>
  <c r="CN25" i="28" s="1"/>
  <c r="CO25" i="28" s="1"/>
  <c r="CP25" i="28" s="1"/>
  <c r="CQ25" i="28" s="1"/>
  <c r="CR25" i="28" s="1"/>
  <c r="CS25" i="28" s="1"/>
  <c r="CT25" i="28" s="1"/>
  <c r="CU25" i="28" s="1"/>
  <c r="CV25" i="28" s="1"/>
  <c r="CW25" i="28" s="1"/>
  <c r="CX25" i="28" s="1"/>
  <c r="CY25" i="28" s="1"/>
  <c r="CZ25" i="28" s="1"/>
  <c r="DA25" i="28" s="1"/>
  <c r="DB25" i="28" s="1"/>
  <c r="DC25" i="28" s="1"/>
  <c r="DD25" i="28" s="1"/>
  <c r="DE25" i="28" s="1"/>
  <c r="DF25" i="28" s="1"/>
  <c r="DG25" i="28" s="1"/>
  <c r="DH25" i="28" s="1"/>
  <c r="J12" i="25"/>
  <c r="Z57" i="28"/>
  <c r="AA27" i="28"/>
  <c r="AB27" i="28" s="1"/>
  <c r="AC27" i="28" s="1"/>
  <c r="AD27" i="28" s="1"/>
  <c r="AE27" i="28" s="1"/>
  <c r="AF27" i="28" s="1"/>
  <c r="AG27" i="28" s="1"/>
  <c r="AH27" i="28" s="1"/>
  <c r="AI27" i="28" s="1"/>
  <c r="AJ27" i="28" s="1"/>
  <c r="AK27" i="28" s="1"/>
  <c r="AL27" i="28" s="1"/>
  <c r="AM27" i="28" s="1"/>
  <c r="AN27" i="28" s="1"/>
  <c r="AO27" i="28" s="1"/>
  <c r="AP27" i="28" s="1"/>
  <c r="AQ27" i="28" s="1"/>
  <c r="AR27" i="28" s="1"/>
  <c r="AS27" i="28" s="1"/>
  <c r="AT27" i="28" s="1"/>
  <c r="AU27" i="28" s="1"/>
  <c r="AV27" i="28" s="1"/>
  <c r="AW27" i="28" s="1"/>
  <c r="AX27" i="28" s="1"/>
  <c r="AY27" i="28" s="1"/>
  <c r="AZ27" i="28" s="1"/>
  <c r="BA27" i="28" s="1"/>
  <c r="BB27" i="28" s="1"/>
  <c r="BC27" i="28" s="1"/>
  <c r="BD27" i="28" s="1"/>
  <c r="BE27" i="28" s="1"/>
  <c r="BF27" i="28" s="1"/>
  <c r="BG27" i="28" s="1"/>
  <c r="BH27" i="28" s="1"/>
  <c r="BI27" i="28" s="1"/>
  <c r="BJ27" i="28" s="1"/>
  <c r="BK27" i="28" s="1"/>
  <c r="BL27" i="28" s="1"/>
  <c r="BM27" i="28" s="1"/>
  <c r="BN27" i="28" s="1"/>
  <c r="BO27" i="28" s="1"/>
  <c r="BP27" i="28" s="1"/>
  <c r="BQ27" i="28" s="1"/>
  <c r="BR27" i="28" s="1"/>
  <c r="BS27" i="28" s="1"/>
  <c r="BT27" i="28" s="1"/>
  <c r="BU27" i="28" s="1"/>
  <c r="BV27" i="28" s="1"/>
  <c r="BW27" i="28" s="1"/>
  <c r="BX27" i="28" s="1"/>
  <c r="BY27" i="28" s="1"/>
  <c r="BZ27" i="28" s="1"/>
  <c r="CA27" i="28" s="1"/>
  <c r="CB27" i="28" s="1"/>
  <c r="CC27" i="28" s="1"/>
  <c r="CD27" i="28" s="1"/>
  <c r="CE27" i="28" s="1"/>
  <c r="CF27" i="28" s="1"/>
  <c r="CG27" i="28" s="1"/>
  <c r="CH27" i="28" s="1"/>
  <c r="CI27" i="28" s="1"/>
  <c r="CJ27" i="28" s="1"/>
  <c r="CK27" i="28" s="1"/>
  <c r="CL27" i="28" s="1"/>
  <c r="CM27" i="28" s="1"/>
  <c r="CN27" i="28" s="1"/>
  <c r="CO27" i="28" s="1"/>
  <c r="CP27" i="28" s="1"/>
  <c r="CQ27" i="28" s="1"/>
  <c r="CR27" i="28" s="1"/>
  <c r="CS27" i="28" s="1"/>
  <c r="CT27" i="28" s="1"/>
  <c r="CU27" i="28" s="1"/>
  <c r="CV27" i="28" s="1"/>
  <c r="CW27" i="28" s="1"/>
  <c r="CX27" i="28" s="1"/>
  <c r="CY27" i="28" s="1"/>
  <c r="CZ27" i="28" s="1"/>
  <c r="DA27" i="28" s="1"/>
  <c r="DB27" i="28" s="1"/>
  <c r="DC27" i="28" s="1"/>
  <c r="DD27" i="28" s="1"/>
  <c r="DE27" i="28" s="1"/>
  <c r="DF27" i="28" s="1"/>
  <c r="DG27" i="28" s="1"/>
  <c r="DH27" i="28" s="1"/>
  <c r="I15" i="25"/>
  <c r="J12" i="31"/>
  <c r="J14" i="31" s="1"/>
  <c r="AA23" i="28"/>
  <c r="AB23" i="28" s="1"/>
  <c r="AC23" i="28" s="1"/>
  <c r="AD23" i="28" s="1"/>
  <c r="AE23" i="28" s="1"/>
  <c r="AF23" i="28" s="1"/>
  <c r="AG23" i="28" s="1"/>
  <c r="AH23" i="28" s="1"/>
  <c r="AI23" i="28" s="1"/>
  <c r="AJ23" i="28" s="1"/>
  <c r="AK23" i="28" s="1"/>
  <c r="AL23" i="28" s="1"/>
  <c r="AM23" i="28" s="1"/>
  <c r="AN23" i="28" s="1"/>
  <c r="AO23" i="28" s="1"/>
  <c r="AP23" i="28" s="1"/>
  <c r="AQ23" i="28" s="1"/>
  <c r="AR23" i="28" s="1"/>
  <c r="AS23" i="28" s="1"/>
  <c r="AT23" i="28" s="1"/>
  <c r="AU23" i="28" s="1"/>
  <c r="AV23" i="28" s="1"/>
  <c r="AW23" i="28" s="1"/>
  <c r="AX23" i="28" s="1"/>
  <c r="AY23" i="28" s="1"/>
  <c r="AZ23" i="28" s="1"/>
  <c r="BA23" i="28" s="1"/>
  <c r="BB23" i="28" s="1"/>
  <c r="BC23" i="28" s="1"/>
  <c r="BD23" i="28" s="1"/>
  <c r="BE23" i="28" s="1"/>
  <c r="BF23" i="28" s="1"/>
  <c r="BG23" i="28" s="1"/>
  <c r="BH23" i="28" s="1"/>
  <c r="BI23" i="28" s="1"/>
  <c r="BJ23" i="28" s="1"/>
  <c r="BK23" i="28" s="1"/>
  <c r="BL23" i="28" s="1"/>
  <c r="BM23" i="28" s="1"/>
  <c r="BN23" i="28" s="1"/>
  <c r="BO23" i="28" s="1"/>
  <c r="BP23" i="28" s="1"/>
  <c r="BQ23" i="28" s="1"/>
  <c r="BR23" i="28" s="1"/>
  <c r="BS23" i="28" s="1"/>
  <c r="BT23" i="28" s="1"/>
  <c r="BU23" i="28" s="1"/>
  <c r="BV23" i="28" s="1"/>
  <c r="BW23" i="28" s="1"/>
  <c r="BX23" i="28" s="1"/>
  <c r="BY23" i="28" s="1"/>
  <c r="BZ23" i="28" s="1"/>
  <c r="CA23" i="28" s="1"/>
  <c r="CB23" i="28" s="1"/>
  <c r="CC23" i="28" s="1"/>
  <c r="CD23" i="28" s="1"/>
  <c r="CE23" i="28" s="1"/>
  <c r="CF23" i="28" s="1"/>
  <c r="CG23" i="28" s="1"/>
  <c r="CH23" i="28" s="1"/>
  <c r="CI23" i="28" s="1"/>
  <c r="CJ23" i="28" s="1"/>
  <c r="CK23" i="28" s="1"/>
  <c r="CL23" i="28" s="1"/>
  <c r="CM23" i="28" s="1"/>
  <c r="CN23" i="28" s="1"/>
  <c r="CO23" i="28" s="1"/>
  <c r="CP23" i="28" s="1"/>
  <c r="CQ23" i="28" s="1"/>
  <c r="CR23" i="28" s="1"/>
  <c r="CS23" i="28" s="1"/>
  <c r="CT23" i="28" s="1"/>
  <c r="CU23" i="28" s="1"/>
  <c r="CV23" i="28" s="1"/>
  <c r="CW23" i="28" s="1"/>
  <c r="CX23" i="28" s="1"/>
  <c r="CY23" i="28" s="1"/>
  <c r="CZ23" i="28" s="1"/>
  <c r="DA23" i="28" s="1"/>
  <c r="DB23" i="28" s="1"/>
  <c r="DC23" i="28" s="1"/>
  <c r="DD23" i="28" s="1"/>
  <c r="DE23" i="28" s="1"/>
  <c r="DF23" i="28" s="1"/>
  <c r="DG23" i="28" s="1"/>
  <c r="DH23" i="28" s="1"/>
  <c r="Y59" i="28"/>
  <c r="K21" i="32"/>
  <c r="K24" i="32" s="1"/>
  <c r="K18" i="31"/>
  <c r="K21" i="31" s="1"/>
  <c r="L20" i="32" l="1"/>
  <c r="Z59" i="28"/>
  <c r="AA57" i="28"/>
  <c r="AB57" i="28" s="1"/>
  <c r="AC57" i="28" s="1"/>
  <c r="AD57" i="28" s="1"/>
  <c r="AE57" i="28" s="1"/>
  <c r="AF57" i="28" s="1"/>
  <c r="AG57" i="28" s="1"/>
  <c r="AH57" i="28" s="1"/>
  <c r="AI57" i="28" s="1"/>
  <c r="AJ57" i="28" s="1"/>
  <c r="AK57" i="28" s="1"/>
  <c r="AL57" i="28" s="1"/>
  <c r="AM57" i="28" s="1"/>
  <c r="AN57" i="28" s="1"/>
  <c r="AO57" i="28" s="1"/>
  <c r="AP57" i="28" s="1"/>
  <c r="AQ57" i="28" s="1"/>
  <c r="AR57" i="28" s="1"/>
  <c r="AS57" i="28" s="1"/>
  <c r="AT57" i="28" s="1"/>
  <c r="AU57" i="28" s="1"/>
  <c r="AV57" i="28" s="1"/>
  <c r="AW57" i="28" s="1"/>
  <c r="AX57" i="28" s="1"/>
  <c r="AY57" i="28" s="1"/>
  <c r="AZ57" i="28" s="1"/>
  <c r="BA57" i="28" s="1"/>
  <c r="BB57" i="28" s="1"/>
  <c r="BC57" i="28" s="1"/>
  <c r="BD57" i="28" s="1"/>
  <c r="BE57" i="28" s="1"/>
  <c r="BF57" i="28" s="1"/>
  <c r="BG57" i="28" s="1"/>
  <c r="BH57" i="28" s="1"/>
  <c r="BI57" i="28" s="1"/>
  <c r="BJ57" i="28" s="1"/>
  <c r="BK57" i="28" s="1"/>
  <c r="BL57" i="28" s="1"/>
  <c r="BM57" i="28" s="1"/>
  <c r="BN57" i="28" s="1"/>
  <c r="BO57" i="28" s="1"/>
  <c r="BP57" i="28" s="1"/>
  <c r="BQ57" i="28" s="1"/>
  <c r="BR57" i="28" s="1"/>
  <c r="BS57" i="28" s="1"/>
  <c r="BT57" i="28" s="1"/>
  <c r="BU57" i="28" s="1"/>
  <c r="BV57" i="28" s="1"/>
  <c r="BW57" i="28" s="1"/>
  <c r="BX57" i="28" s="1"/>
  <c r="BY57" i="28" s="1"/>
  <c r="BZ57" i="28" s="1"/>
  <c r="CA57" i="28" s="1"/>
  <c r="CB57" i="28" s="1"/>
  <c r="CC57" i="28" s="1"/>
  <c r="CD57" i="28" s="1"/>
  <c r="CE57" i="28" s="1"/>
  <c r="CF57" i="28" s="1"/>
  <c r="CG57" i="28" s="1"/>
  <c r="CH57" i="28" s="1"/>
  <c r="CI57" i="28" s="1"/>
  <c r="CJ57" i="28" s="1"/>
  <c r="CK57" i="28" s="1"/>
  <c r="CL57" i="28" s="1"/>
  <c r="CM57" i="28" s="1"/>
  <c r="CN57" i="28" s="1"/>
  <c r="CO57" i="28" s="1"/>
  <c r="CP57" i="28" s="1"/>
  <c r="CQ57" i="28" s="1"/>
  <c r="CR57" i="28" s="1"/>
  <c r="CS57" i="28" s="1"/>
  <c r="CT57" i="28" s="1"/>
  <c r="CU57" i="28" s="1"/>
  <c r="CV57" i="28" s="1"/>
  <c r="CW57" i="28" s="1"/>
  <c r="CX57" i="28" s="1"/>
  <c r="CY57" i="28" s="1"/>
  <c r="CZ57" i="28" s="1"/>
  <c r="DA57" i="28" s="1"/>
  <c r="DB57" i="28" s="1"/>
  <c r="DC57" i="28" s="1"/>
  <c r="DD57" i="28" s="1"/>
  <c r="DE57" i="28" s="1"/>
  <c r="DF57" i="28" s="1"/>
  <c r="DG57" i="28" s="1"/>
  <c r="DH57" i="28" s="1"/>
  <c r="AA59" i="28"/>
  <c r="AB59" i="28" s="1"/>
  <c r="AC59" i="28" s="1"/>
  <c r="AD59" i="28" s="1"/>
  <c r="AE59" i="28" s="1"/>
  <c r="AF59" i="28" s="1"/>
  <c r="AG59" i="28" s="1"/>
  <c r="AH59" i="28" s="1"/>
  <c r="AI59" i="28" s="1"/>
  <c r="AJ59" i="28" s="1"/>
  <c r="AK59" i="28" s="1"/>
  <c r="AL59" i="28" s="1"/>
  <c r="AM59" i="28" s="1"/>
  <c r="AN59" i="28" s="1"/>
  <c r="AO59" i="28" s="1"/>
  <c r="AP59" i="28" s="1"/>
  <c r="AQ59" i="28" s="1"/>
  <c r="AR59" i="28" s="1"/>
  <c r="AS59" i="28" s="1"/>
  <c r="AT59" i="28" s="1"/>
  <c r="AU59" i="28" s="1"/>
  <c r="AV59" i="28" s="1"/>
  <c r="AW59" i="28" s="1"/>
  <c r="AX59" i="28" s="1"/>
  <c r="AY59" i="28" s="1"/>
  <c r="AZ59" i="28" s="1"/>
  <c r="BA59" i="28" s="1"/>
  <c r="BB59" i="28" s="1"/>
  <c r="BC59" i="28" s="1"/>
  <c r="BD59" i="28" s="1"/>
  <c r="BE59" i="28" s="1"/>
  <c r="BF59" i="28" s="1"/>
  <c r="BG59" i="28" s="1"/>
  <c r="BH59" i="28" s="1"/>
  <c r="BI59" i="28" s="1"/>
  <c r="BJ59" i="28" s="1"/>
  <c r="BK59" i="28" s="1"/>
  <c r="BL59" i="28" s="1"/>
  <c r="BM59" i="28" s="1"/>
  <c r="BN59" i="28" s="1"/>
  <c r="BO59" i="28" s="1"/>
  <c r="BP59" i="28" s="1"/>
  <c r="BQ59" i="28" s="1"/>
  <c r="BR59" i="28" s="1"/>
  <c r="BS59" i="28" s="1"/>
  <c r="BT59" i="28" s="1"/>
  <c r="BU59" i="28" s="1"/>
  <c r="BV59" i="28" s="1"/>
  <c r="BW59" i="28" s="1"/>
  <c r="BX59" i="28" s="1"/>
  <c r="BY59" i="28" s="1"/>
  <c r="BZ59" i="28" s="1"/>
  <c r="CA59" i="28" s="1"/>
  <c r="CB59" i="28" s="1"/>
  <c r="CC59" i="28" s="1"/>
  <c r="CD59" i="28" s="1"/>
  <c r="CE59" i="28" s="1"/>
  <c r="CF59" i="28" s="1"/>
  <c r="CG59" i="28" s="1"/>
  <c r="CH59" i="28" s="1"/>
  <c r="CI59" i="28" s="1"/>
  <c r="CJ59" i="28" s="1"/>
  <c r="CK59" i="28" s="1"/>
  <c r="CL59" i="28" s="1"/>
  <c r="CM59" i="28" s="1"/>
  <c r="CN59" i="28" s="1"/>
  <c r="CO59" i="28" s="1"/>
  <c r="CP59" i="28" s="1"/>
  <c r="CQ59" i="28" s="1"/>
  <c r="CR59" i="28" s="1"/>
  <c r="CS59" i="28" s="1"/>
  <c r="CT59" i="28" s="1"/>
  <c r="CU59" i="28" s="1"/>
  <c r="CV59" i="28" s="1"/>
  <c r="CW59" i="28" s="1"/>
  <c r="CX59" i="28" s="1"/>
  <c r="CY59" i="28" s="1"/>
  <c r="CZ59" i="28" s="1"/>
  <c r="DA59" i="28" s="1"/>
  <c r="DB59" i="28" s="1"/>
  <c r="DC59" i="28" s="1"/>
  <c r="DD59" i="28" s="1"/>
  <c r="DE59" i="28" s="1"/>
  <c r="DF59" i="28" s="1"/>
  <c r="DG59" i="28" s="1"/>
  <c r="DH59" i="28" s="1"/>
  <c r="J14" i="25"/>
  <c r="J20" i="32"/>
  <c r="J17" i="31"/>
  <c r="K18" i="32"/>
  <c r="Z55" i="28"/>
  <c r="L21" i="32"/>
  <c r="L24" i="32" s="1"/>
  <c r="L18" i="31"/>
  <c r="L21" i="31" s="1"/>
  <c r="L12" i="32" l="1"/>
  <c r="L15" i="32" s="1"/>
  <c r="L17" i="31"/>
  <c r="L18" i="32"/>
  <c r="K17" i="31"/>
  <c r="K20" i="32"/>
  <c r="K12" i="31"/>
  <c r="K13" i="25"/>
  <c r="K12" i="25"/>
  <c r="AA55" i="28"/>
  <c r="AB55" i="28" s="1"/>
  <c r="AC55" i="28" s="1"/>
  <c r="AD55" i="28" s="1"/>
  <c r="AE55" i="28" s="1"/>
  <c r="AF55" i="28" s="1"/>
  <c r="AG55" i="28" s="1"/>
  <c r="AH55" i="28" s="1"/>
  <c r="AI55" i="28" s="1"/>
  <c r="AJ55" i="28" s="1"/>
  <c r="AK55" i="28" s="1"/>
  <c r="AL55" i="28" s="1"/>
  <c r="AM55" i="28" s="1"/>
  <c r="AN55" i="28" s="1"/>
  <c r="AO55" i="28" s="1"/>
  <c r="AP55" i="28" s="1"/>
  <c r="AQ55" i="28" s="1"/>
  <c r="AR55" i="28" s="1"/>
  <c r="AS55" i="28" s="1"/>
  <c r="AT55" i="28" s="1"/>
  <c r="AU55" i="28" s="1"/>
  <c r="AV55" i="28" s="1"/>
  <c r="AW55" i="28" s="1"/>
  <c r="AX55" i="28" s="1"/>
  <c r="AY55" i="28" s="1"/>
  <c r="AZ55" i="28" s="1"/>
  <c r="BA55" i="28" s="1"/>
  <c r="BB55" i="28" s="1"/>
  <c r="BC55" i="28" s="1"/>
  <c r="BD55" i="28" s="1"/>
  <c r="BE55" i="28" s="1"/>
  <c r="BF55" i="28" s="1"/>
  <c r="BG55" i="28" s="1"/>
  <c r="BH55" i="28" s="1"/>
  <c r="BI55" i="28" s="1"/>
  <c r="BJ55" i="28" s="1"/>
  <c r="BK55" i="28" s="1"/>
  <c r="BL55" i="28" s="1"/>
  <c r="BM55" i="28" s="1"/>
  <c r="BN55" i="28" s="1"/>
  <c r="BO55" i="28" s="1"/>
  <c r="BP55" i="28" s="1"/>
  <c r="BQ55" i="28" s="1"/>
  <c r="BR55" i="28" s="1"/>
  <c r="BS55" i="28" s="1"/>
  <c r="BT55" i="28" s="1"/>
  <c r="BU55" i="28" s="1"/>
  <c r="BV55" i="28" s="1"/>
  <c r="BW55" i="28" s="1"/>
  <c r="BX55" i="28" s="1"/>
  <c r="BY55" i="28" s="1"/>
  <c r="BZ55" i="28" s="1"/>
  <c r="CA55" i="28" s="1"/>
  <c r="CB55" i="28" s="1"/>
  <c r="CC55" i="28" s="1"/>
  <c r="CD55" i="28" s="1"/>
  <c r="CE55" i="28" s="1"/>
  <c r="CF55" i="28" s="1"/>
  <c r="CG55" i="28" s="1"/>
  <c r="CH55" i="28" s="1"/>
  <c r="CI55" i="28" s="1"/>
  <c r="CJ55" i="28" s="1"/>
  <c r="CK55" i="28" s="1"/>
  <c r="CL55" i="28" s="1"/>
  <c r="CM55" i="28" s="1"/>
  <c r="CN55" i="28" s="1"/>
  <c r="CO55" i="28" s="1"/>
  <c r="CP55" i="28" s="1"/>
  <c r="CQ55" i="28" s="1"/>
  <c r="CR55" i="28" s="1"/>
  <c r="CS55" i="28" s="1"/>
  <c r="CT55" i="28" s="1"/>
  <c r="CU55" i="28" s="1"/>
  <c r="CV55" i="28" s="1"/>
  <c r="CW55" i="28" s="1"/>
  <c r="CX55" i="28" s="1"/>
  <c r="CY55" i="28" s="1"/>
  <c r="CZ55" i="28" s="1"/>
  <c r="DA55" i="28" s="1"/>
  <c r="DB55" i="28" s="1"/>
  <c r="DC55" i="28" s="1"/>
  <c r="DD55" i="28" s="1"/>
  <c r="DE55" i="28" s="1"/>
  <c r="DF55" i="28" s="1"/>
  <c r="DG55" i="28" s="1"/>
  <c r="DH55" i="28" s="1"/>
  <c r="M21" i="32"/>
  <c r="M24" i="32" s="1"/>
  <c r="M18" i="31"/>
  <c r="M21" i="31" s="1"/>
  <c r="E16" i="5" l="1"/>
  <c r="M12" i="25"/>
  <c r="M14" i="25" s="1"/>
  <c r="M18" i="32"/>
  <c r="K14" i="25"/>
  <c r="M12" i="31"/>
  <c r="M14" i="31" s="1"/>
  <c r="M13" i="25"/>
  <c r="M15" i="25" s="1"/>
  <c r="L12" i="31"/>
  <c r="L14" i="31" s="1"/>
  <c r="L13" i="25"/>
  <c r="L15" i="25" s="1"/>
  <c r="K15" i="25"/>
  <c r="L12" i="25"/>
  <c r="L14" i="25" s="1"/>
  <c r="K14" i="31"/>
  <c r="N21" i="32"/>
  <c r="N18" i="31"/>
  <c r="D17" i="34"/>
  <c r="N18" i="32"/>
  <c r="E20" i="5" l="1"/>
  <c r="F20" i="5" s="1"/>
  <c r="F16" i="5"/>
  <c r="AL183" i="1"/>
  <c r="E25" i="5"/>
  <c r="F25" i="5" s="1"/>
  <c r="M17" i="31"/>
  <c r="P17" i="31" s="1"/>
  <c r="M20" i="32"/>
  <c r="P20" i="32" s="1"/>
  <c r="P13" i="25"/>
  <c r="P15" i="25" s="1"/>
  <c r="P12" i="31"/>
  <c r="P14" i="31" s="1"/>
  <c r="P12" i="25"/>
  <c r="P14" i="25" s="1"/>
  <c r="C20" i="34"/>
  <c r="C23" i="34" s="1"/>
  <c r="P18" i="31"/>
  <c r="P21" i="31" s="1"/>
  <c r="N21" i="31"/>
  <c r="P21" i="32"/>
  <c r="P24" i="32" s="1"/>
  <c r="N24" i="32"/>
  <c r="P18" i="32"/>
  <c r="E17" i="34"/>
  <c r="AM183" i="1" l="1"/>
  <c r="D20" i="34"/>
  <c r="D23" i="34" s="1"/>
  <c r="F17" i="34"/>
  <c r="E20" i="34" l="1"/>
  <c r="E23" i="34" s="1"/>
  <c r="G17" i="34"/>
  <c r="F20" i="34" l="1"/>
  <c r="F23" i="34" s="1"/>
  <c r="H17" i="34"/>
  <c r="G20" i="34" l="1"/>
  <c r="G23" i="34" s="1"/>
  <c r="D20" i="37"/>
  <c r="E20" i="37" s="1"/>
  <c r="D25" i="37" l="1"/>
  <c r="E25" i="37" s="1"/>
  <c r="H20" i="34"/>
  <c r="H23" i="34" s="1"/>
  <c r="AU32" i="1"/>
  <c r="AU29" i="1"/>
  <c r="I20" i="34" l="1"/>
  <c r="I23" i="34" s="1"/>
  <c r="AU26" i="1"/>
  <c r="AV32" i="1"/>
  <c r="AV29" i="1"/>
  <c r="J20" i="34" l="1"/>
  <c r="J23" i="34" s="1"/>
  <c r="AV26" i="1"/>
  <c r="F20" i="37" s="1"/>
  <c r="AW32" i="1"/>
  <c r="AW29" i="1"/>
  <c r="F25" i="37" l="1"/>
  <c r="G25" i="37" s="1"/>
  <c r="G20" i="37"/>
  <c r="K20" i="34"/>
  <c r="K23" i="34" s="1"/>
  <c r="AX32" i="1"/>
  <c r="AW26" i="1"/>
  <c r="AX29" i="1"/>
  <c r="L20" i="34" l="1"/>
  <c r="L23" i="34" s="1"/>
  <c r="AX26" i="1"/>
  <c r="AY32" i="1"/>
  <c r="AY29" i="1"/>
  <c r="M20" i="34" l="1"/>
  <c r="M23" i="34" s="1"/>
  <c r="AY26" i="1"/>
  <c r="H20" i="37" s="1"/>
  <c r="AZ29" i="1"/>
  <c r="H25" i="37" l="1"/>
  <c r="I25" i="37" s="1"/>
  <c r="I20" i="37"/>
  <c r="K20" i="37"/>
  <c r="N20" i="34"/>
  <c r="N23" i="34" s="1"/>
  <c r="AZ26" i="1"/>
  <c r="BA32" i="1"/>
  <c r="BA29" i="1"/>
  <c r="P20" i="34" l="1"/>
  <c r="P23" i="34" s="1"/>
  <c r="BA26" i="1"/>
  <c r="BB32" i="1"/>
  <c r="BB29" i="1"/>
  <c r="BC32" i="1" l="1"/>
  <c r="BB26" i="1"/>
  <c r="BC29" i="1"/>
  <c r="BC26" i="1" l="1"/>
  <c r="BD32" i="1"/>
  <c r="BD29" i="1"/>
  <c r="BD26" i="1" l="1"/>
  <c r="BE32" i="1"/>
  <c r="BE29" i="1"/>
  <c r="BE26" i="1" l="1"/>
  <c r="BF32" i="1"/>
  <c r="BF29" i="1"/>
  <c r="BG32" i="1" l="1"/>
  <c r="BF26" i="1"/>
  <c r="BG29" i="1"/>
  <c r="BG26" i="1" l="1"/>
  <c r="BH32" i="1"/>
  <c r="BH29" i="1"/>
  <c r="BH26" i="1" l="1"/>
  <c r="BI32" i="1"/>
  <c r="BI29" i="1"/>
  <c r="BI26" i="1" l="1"/>
  <c r="BJ32" i="1"/>
  <c r="BJ29" i="1"/>
  <c r="BK32" i="1" l="1"/>
  <c r="BJ26" i="1"/>
  <c r="BK29" i="1"/>
  <c r="BK26" i="1" l="1"/>
  <c r="BL29" i="1"/>
  <c r="BL26" i="1" l="1"/>
  <c r="BM32" i="1"/>
  <c r="BM29" i="1"/>
  <c r="BN32" i="1" l="1"/>
  <c r="BM26" i="1"/>
  <c r="BN29" i="1"/>
  <c r="BN23" i="1" s="1"/>
  <c r="BN26" i="1" l="1"/>
  <c r="BO32" i="1"/>
  <c r="BO29" i="1"/>
  <c r="BO23" i="1" s="1"/>
  <c r="BO26" i="1" l="1"/>
  <c r="BP32" i="1"/>
  <c r="BP29" i="1"/>
  <c r="BP23" i="1" s="1"/>
  <c r="BP26" i="1" l="1"/>
  <c r="BQ32" i="1"/>
  <c r="BQ29" i="1"/>
  <c r="BQ23" i="1" s="1"/>
  <c r="BQ26" i="1" l="1"/>
  <c r="BR32" i="1"/>
  <c r="BR29" i="1"/>
  <c r="BR23" i="1" s="1"/>
  <c r="BS32" i="1" l="1"/>
  <c r="BR26" i="1"/>
  <c r="BS29" i="1"/>
  <c r="BS26" i="1" l="1"/>
  <c r="BT32" i="1"/>
  <c r="BT29" i="1"/>
  <c r="BT26" i="1" l="1"/>
  <c r="BU32" i="1"/>
  <c r="BU29" i="1"/>
  <c r="BU26" i="1" l="1"/>
  <c r="BV32" i="1"/>
  <c r="BV29" i="1"/>
  <c r="BV26" i="1" l="1"/>
  <c r="BW32" i="1"/>
  <c r="BW29" i="1"/>
  <c r="BW26" i="1" l="1"/>
  <c r="BX32" i="1"/>
  <c r="BX29" i="1"/>
  <c r="BX26" i="1" l="1"/>
  <c r="BY32" i="1"/>
  <c r="BY29" i="1"/>
  <c r="BY23" i="1" s="1"/>
  <c r="BY26" i="1" l="1"/>
  <c r="BZ32" i="1"/>
  <c r="BZ29" i="1"/>
  <c r="CA32" i="1" l="1"/>
  <c r="BZ26" i="1"/>
  <c r="CA29" i="1"/>
  <c r="CA23" i="1" s="1"/>
  <c r="CA26" i="1" l="1"/>
  <c r="CB32" i="1"/>
  <c r="CB29" i="1"/>
  <c r="CB23" i="1" s="1"/>
  <c r="CB26" i="1" l="1"/>
  <c r="CC32" i="1"/>
  <c r="CC29" i="1"/>
  <c r="CC23" i="1" s="1"/>
  <c r="CD32" i="1" l="1"/>
  <c r="CC26" i="1"/>
  <c r="CD29" i="1"/>
  <c r="CD23" i="1" s="1"/>
  <c r="CD26" i="1" l="1"/>
  <c r="CE32" i="1"/>
  <c r="CE29" i="1"/>
  <c r="CE23" i="1" s="1"/>
  <c r="CE26" i="1" l="1"/>
  <c r="CF32" i="1"/>
  <c r="CF29" i="1"/>
  <c r="CF26" i="1" l="1"/>
  <c r="CG32" i="1"/>
  <c r="CG29" i="1"/>
  <c r="CG26" i="1" l="1"/>
  <c r="CH32" i="1"/>
  <c r="CH29" i="1"/>
  <c r="CI32" i="1" l="1"/>
  <c r="CH26" i="1"/>
  <c r="CI29" i="1"/>
  <c r="CI26" i="1" l="1"/>
  <c r="CJ32" i="1"/>
  <c r="CJ29" i="1"/>
  <c r="CJ23" i="1" s="1"/>
  <c r="CJ26" i="1" l="1"/>
  <c r="CK32" i="1"/>
  <c r="CK29" i="1"/>
  <c r="CK23" i="1" s="1"/>
  <c r="CK26" i="1" l="1"/>
  <c r="CL32" i="1"/>
  <c r="CL29" i="1"/>
  <c r="CL26" i="1" l="1"/>
  <c r="CM32" i="1"/>
  <c r="CM29" i="1"/>
  <c r="CM23" i="1" s="1"/>
  <c r="CM26" i="1" l="1"/>
  <c r="CN32" i="1"/>
  <c r="CN29" i="1"/>
  <c r="CN23" i="1" s="1"/>
  <c r="CN26" i="1" l="1"/>
  <c r="CO32" i="1"/>
  <c r="CO29" i="1"/>
  <c r="CO23" i="1" s="1"/>
  <c r="CO26" i="1" l="1"/>
  <c r="CP32" i="1"/>
  <c r="CP29" i="1"/>
  <c r="CP23" i="1" s="1"/>
  <c r="CQ32" i="1" l="1"/>
  <c r="CP26" i="1"/>
  <c r="CQ29" i="1"/>
  <c r="CQ23" i="1" s="1"/>
  <c r="CQ26" i="1" l="1"/>
  <c r="CR32" i="1"/>
  <c r="CR29" i="1"/>
  <c r="CR26" i="1" l="1"/>
  <c r="CS32" i="1"/>
  <c r="CS29" i="1"/>
  <c r="CS26" i="1" l="1"/>
  <c r="CT32" i="1"/>
  <c r="CT29" i="1"/>
  <c r="CU32" i="1" l="1"/>
  <c r="CT26" i="1"/>
  <c r="CU29" i="1"/>
  <c r="CU26" i="1" l="1"/>
  <c r="CV32" i="1"/>
  <c r="CV29" i="1"/>
  <c r="CV23" i="1" s="1"/>
  <c r="CV26" i="1" l="1"/>
  <c r="CW32" i="1"/>
  <c r="CW29" i="1"/>
  <c r="CW23" i="1" s="1"/>
  <c r="CW26" i="1" l="1"/>
  <c r="CX32" i="1"/>
  <c r="CX29" i="1"/>
  <c r="CX23" i="1" s="1"/>
  <c r="CY32" i="1" l="1"/>
  <c r="CX26" i="1"/>
  <c r="CY29" i="1"/>
  <c r="CY26" i="1" l="1"/>
  <c r="CZ32" i="1"/>
  <c r="CZ29" i="1"/>
  <c r="CZ23" i="1" s="1"/>
  <c r="CZ26" i="1" l="1"/>
  <c r="DA32" i="1"/>
  <c r="DA29" i="1"/>
  <c r="DA23" i="1" s="1"/>
  <c r="DB32" i="1" l="1"/>
  <c r="DA26" i="1"/>
  <c r="DB29" i="1"/>
  <c r="DB23" i="1" s="1"/>
  <c r="DB26" i="1" l="1"/>
  <c r="DC32" i="1"/>
  <c r="DC29" i="1"/>
  <c r="DC23" i="1" s="1"/>
  <c r="DC26" i="1" l="1"/>
  <c r="DD32" i="1"/>
  <c r="DD29" i="1"/>
  <c r="DD23" i="1" s="1"/>
  <c r="DD26" i="1" l="1"/>
  <c r="DE32" i="1"/>
  <c r="DE29" i="1"/>
  <c r="DE26" i="1" l="1"/>
  <c r="DF32" i="1"/>
  <c r="DF29" i="1"/>
  <c r="DG32" i="1" l="1"/>
  <c r="DG26" i="1" s="1"/>
  <c r="DF26" i="1"/>
  <c r="DG29" i="1"/>
  <c r="G19" i="32"/>
  <c r="G23" i="32" s="1"/>
  <c r="E26" i="5" l="1"/>
  <c r="F26" i="5" s="1"/>
  <c r="G26" i="5"/>
  <c r="H26" i="5"/>
  <c r="I26" i="5"/>
  <c r="J26" i="5"/>
  <c r="K26" i="5"/>
  <c r="L26" i="5"/>
  <c r="G22" i="32"/>
  <c r="G30" i="32" s="1"/>
  <c r="K32" i="5" l="1"/>
  <c r="J32" i="5"/>
  <c r="I32" i="5"/>
  <c r="G32" i="5"/>
  <c r="H32" i="5"/>
  <c r="L32" i="5"/>
  <c r="E32" i="5"/>
  <c r="F32" i="5" s="1"/>
  <c r="H16" i="31"/>
  <c r="G17" i="25"/>
  <c r="G18" i="25" s="1"/>
  <c r="G34" i="32"/>
  <c r="G35" i="32" s="1"/>
  <c r="G31" i="32"/>
  <c r="H19" i="32"/>
  <c r="I19" i="32"/>
  <c r="J16" i="31" l="1"/>
  <c r="J19" i="31" s="1"/>
  <c r="I16" i="31"/>
  <c r="I19" i="31" s="1"/>
  <c r="H19" i="31"/>
  <c r="H20" i="31"/>
  <c r="G19" i="25"/>
  <c r="G27" i="25" s="1"/>
  <c r="J19" i="32"/>
  <c r="G27" i="31"/>
  <c r="G26" i="25"/>
  <c r="G20" i="25"/>
  <c r="J20" i="31" l="1"/>
  <c r="I20" i="31"/>
  <c r="K16" i="31"/>
  <c r="K19" i="31" s="1"/>
  <c r="G36" i="31"/>
  <c r="G39" i="25"/>
  <c r="G39" i="32"/>
  <c r="G21" i="25"/>
  <c r="I17" i="25"/>
  <c r="G31" i="31"/>
  <c r="G32" i="31" s="1"/>
  <c r="G28" i="31"/>
  <c r="K19" i="32"/>
  <c r="G29" i="25"/>
  <c r="G33" i="25"/>
  <c r="G35" i="25" s="1"/>
  <c r="G32" i="25"/>
  <c r="G34" i="25" s="1"/>
  <c r="G28" i="25"/>
  <c r="H17" i="25"/>
  <c r="K20" i="31" l="1"/>
  <c r="L16" i="31"/>
  <c r="L19" i="31" s="1"/>
  <c r="G38" i="25"/>
  <c r="AG194" i="1"/>
  <c r="AG195" i="1" s="1"/>
  <c r="D38" i="37" s="1"/>
  <c r="G35" i="31"/>
  <c r="G38" i="32"/>
  <c r="H19" i="25"/>
  <c r="H18" i="25"/>
  <c r="I18" i="25"/>
  <c r="I19" i="25"/>
  <c r="L19" i="32"/>
  <c r="J17" i="25"/>
  <c r="AG196" i="1" l="1"/>
  <c r="AH194" i="1"/>
  <c r="AH195" i="1" s="1"/>
  <c r="AI194" i="1" s="1"/>
  <c r="AI195" i="1" s="1"/>
  <c r="AI196" i="1" s="1"/>
  <c r="L20" i="31"/>
  <c r="M16" i="31"/>
  <c r="M19" i="31" s="1"/>
  <c r="G41" i="32"/>
  <c r="G40" i="32"/>
  <c r="L22" i="32"/>
  <c r="L30" i="32" s="1"/>
  <c r="L23" i="32"/>
  <c r="I27" i="31"/>
  <c r="J18" i="25"/>
  <c r="J19" i="25"/>
  <c r="I27" i="25"/>
  <c r="I21" i="25"/>
  <c r="I20" i="25"/>
  <c r="I26" i="25"/>
  <c r="K17" i="25"/>
  <c r="H27" i="25"/>
  <c r="H21" i="25"/>
  <c r="H20" i="25"/>
  <c r="H26" i="25"/>
  <c r="M19" i="32"/>
  <c r="H27" i="31"/>
  <c r="M20" i="31" l="1"/>
  <c r="N16" i="31"/>
  <c r="N20" i="31" s="1"/>
  <c r="J20" i="25"/>
  <c r="J26" i="25"/>
  <c r="K18" i="25"/>
  <c r="K19" i="25"/>
  <c r="L34" i="32"/>
  <c r="L35" i="32" s="1"/>
  <c r="L31" i="32"/>
  <c r="H33" i="25"/>
  <c r="H35" i="25" s="1"/>
  <c r="H29" i="25"/>
  <c r="J27" i="25"/>
  <c r="J21" i="25"/>
  <c r="H39" i="25"/>
  <c r="H36" i="31"/>
  <c r="H39" i="32"/>
  <c r="H28" i="31"/>
  <c r="H31" i="31"/>
  <c r="H32" i="31" s="1"/>
  <c r="I28" i="25"/>
  <c r="I32" i="25"/>
  <c r="I34" i="25" s="1"/>
  <c r="H28" i="25"/>
  <c r="H32" i="25"/>
  <c r="H34" i="25" s="1"/>
  <c r="I31" i="31"/>
  <c r="I32" i="31" s="1"/>
  <c r="I28" i="31"/>
  <c r="L17" i="25"/>
  <c r="N19" i="32"/>
  <c r="J27" i="31"/>
  <c r="I29" i="25"/>
  <c r="I33" i="25"/>
  <c r="I35" i="25" s="1"/>
  <c r="P16" i="31" l="1"/>
  <c r="N19" i="31"/>
  <c r="D18" i="34"/>
  <c r="P19" i="32"/>
  <c r="K26" i="25"/>
  <c r="K20" i="25"/>
  <c r="J29" i="25"/>
  <c r="J33" i="25"/>
  <c r="J35" i="25" s="1"/>
  <c r="H38" i="32"/>
  <c r="H38" i="25"/>
  <c r="H35" i="31"/>
  <c r="J28" i="25"/>
  <c r="J32" i="25"/>
  <c r="J34" i="25" s="1"/>
  <c r="M17" i="25"/>
  <c r="L18" i="25"/>
  <c r="L19" i="25"/>
  <c r="K21" i="25"/>
  <c r="K27" i="25"/>
  <c r="J31" i="31"/>
  <c r="J32" i="31" s="1"/>
  <c r="J28" i="31"/>
  <c r="K27" i="31"/>
  <c r="E18" i="34" l="1"/>
  <c r="H40" i="32"/>
  <c r="H41" i="32"/>
  <c r="L27" i="31"/>
  <c r="AK182" i="1"/>
  <c r="N17" i="25"/>
  <c r="K33" i="25"/>
  <c r="K35" i="25" s="1"/>
  <c r="K29" i="25"/>
  <c r="M19" i="25"/>
  <c r="M18" i="25"/>
  <c r="K32" i="25"/>
  <c r="K34" i="25" s="1"/>
  <c r="K28" i="25"/>
  <c r="L27" i="25"/>
  <c r="L21" i="25"/>
  <c r="L26" i="25"/>
  <c r="L20" i="25"/>
  <c r="K31" i="31"/>
  <c r="K32" i="31" s="1"/>
  <c r="K28" i="31"/>
  <c r="F18" i="34" l="1"/>
  <c r="L33" i="25"/>
  <c r="L35" i="25" s="1"/>
  <c r="L29" i="25"/>
  <c r="AL182" i="1"/>
  <c r="M21" i="25"/>
  <c r="M27" i="25"/>
  <c r="M27" i="31"/>
  <c r="N19" i="25"/>
  <c r="N18" i="25"/>
  <c r="P17" i="25"/>
  <c r="L32" i="25"/>
  <c r="L34" i="25" s="1"/>
  <c r="L28" i="25"/>
  <c r="M26" i="25"/>
  <c r="M20" i="25"/>
  <c r="L31" i="31"/>
  <c r="L32" i="31" s="1"/>
  <c r="L28" i="31"/>
  <c r="G18" i="34" l="1"/>
  <c r="AO182" i="1"/>
  <c r="P19" i="31"/>
  <c r="P27" i="31" s="1"/>
  <c r="P20" i="31"/>
  <c r="M33" i="25"/>
  <c r="M35" i="25" s="1"/>
  <c r="M29" i="25"/>
  <c r="AM182" i="1"/>
  <c r="P18" i="25"/>
  <c r="P19" i="25"/>
  <c r="N27" i="31"/>
  <c r="D18" i="37"/>
  <c r="M28" i="25"/>
  <c r="M32" i="25"/>
  <c r="M34" i="25" s="1"/>
  <c r="N20" i="25"/>
  <c r="N26" i="25"/>
  <c r="M31" i="31"/>
  <c r="M32" i="31" s="1"/>
  <c r="M28" i="31"/>
  <c r="N27" i="25"/>
  <c r="N21" i="25"/>
  <c r="E18" i="37" l="1"/>
  <c r="E21" i="37" s="1"/>
  <c r="D21" i="37"/>
  <c r="H18" i="34"/>
  <c r="N28" i="31"/>
  <c r="N31" i="31"/>
  <c r="N32" i="31" s="1"/>
  <c r="N33" i="25"/>
  <c r="N35" i="25" s="1"/>
  <c r="N29" i="25"/>
  <c r="N32" i="25"/>
  <c r="N34" i="25" s="1"/>
  <c r="N28" i="25"/>
  <c r="P21" i="25"/>
  <c r="P27" i="25"/>
  <c r="P29" i="25" s="1"/>
  <c r="P26" i="25"/>
  <c r="P20" i="25"/>
  <c r="P28" i="25" l="1"/>
  <c r="P32" i="25"/>
  <c r="AU30" i="1"/>
  <c r="P28" i="31"/>
  <c r="P31" i="31"/>
  <c r="N33" i="31" s="1"/>
  <c r="P32" i="31" l="1"/>
  <c r="P38" i="25"/>
  <c r="P34" i="25"/>
  <c r="AV30" i="1"/>
  <c r="AS182" i="1" l="1"/>
  <c r="AW30" i="1"/>
  <c r="AX30" i="1" l="1"/>
  <c r="AY30" i="1" l="1"/>
  <c r="AZ30" i="1" l="1"/>
  <c r="BA30" i="1" l="1"/>
  <c r="AU174" i="1"/>
  <c r="AV174" i="1" l="1"/>
  <c r="BB30" i="1"/>
  <c r="AU169" i="1" l="1"/>
  <c r="AW174" i="1"/>
  <c r="BC30" i="1"/>
  <c r="AU172" i="1" l="1"/>
  <c r="AV169" i="1"/>
  <c r="BD30" i="1"/>
  <c r="AX174" i="1"/>
  <c r="AV172" i="1" l="1"/>
  <c r="AW169" i="1"/>
  <c r="AY174" i="1"/>
  <c r="BE30" i="1"/>
  <c r="AW172" i="1" l="1"/>
  <c r="AX169" i="1"/>
  <c r="BF30" i="1"/>
  <c r="AX172" i="1" l="1"/>
  <c r="BG30" i="1"/>
  <c r="AY172" i="1" l="1"/>
  <c r="AZ169" i="1"/>
  <c r="BH30" i="1"/>
  <c r="AZ172" i="1" l="1"/>
  <c r="BA169" i="1"/>
  <c r="BI30" i="1"/>
  <c r="BA172" i="1" l="1"/>
  <c r="BB169" i="1"/>
  <c r="BJ30" i="1"/>
  <c r="BB172" i="1" l="1"/>
  <c r="BC169" i="1"/>
  <c r="BK30" i="1"/>
  <c r="BC172" i="1" l="1"/>
  <c r="BD169" i="1"/>
  <c r="BL30" i="1"/>
  <c r="BD172" i="1" l="1"/>
  <c r="BE169" i="1"/>
  <c r="BM30" i="1"/>
  <c r="BE172" i="1" l="1"/>
  <c r="BF169" i="1"/>
  <c r="BN30" i="1"/>
  <c r="BN24" i="1" s="1"/>
  <c r="BN27" i="1" s="1"/>
  <c r="BN124" i="1" s="1"/>
  <c r="BN125" i="1" s="1"/>
  <c r="BF172" i="1" l="1"/>
  <c r="BG169" i="1"/>
  <c r="BO30" i="1"/>
  <c r="BO24" i="1" s="1"/>
  <c r="BO27" i="1" s="1"/>
  <c r="BO124" i="1" s="1"/>
  <c r="BO125" i="1" s="1"/>
  <c r="BG172" i="1" l="1"/>
  <c r="BH169" i="1"/>
  <c r="BN28" i="1"/>
  <c r="BP30" i="1"/>
  <c r="BP24" i="1" s="1"/>
  <c r="BP27" i="1" s="1"/>
  <c r="BP124" i="1" s="1"/>
  <c r="BP125" i="1" s="1"/>
  <c r="BN34" i="1" l="1"/>
  <c r="BN35" i="1"/>
  <c r="BH172" i="1"/>
  <c r="BI169" i="1"/>
  <c r="BO28" i="1"/>
  <c r="BQ30" i="1"/>
  <c r="BQ24" i="1" s="1"/>
  <c r="BQ27" i="1" s="1"/>
  <c r="BQ124" i="1" s="1"/>
  <c r="BQ125" i="1" s="1"/>
  <c r="BO34" i="1" l="1"/>
  <c r="BO35" i="1"/>
  <c r="BI172" i="1"/>
  <c r="BJ169" i="1"/>
  <c r="BR30" i="1"/>
  <c r="BR24" i="1" s="1"/>
  <c r="BR27" i="1" s="1"/>
  <c r="BR124" i="1" s="1"/>
  <c r="BR125" i="1" s="1"/>
  <c r="BP28" i="1"/>
  <c r="BP34" i="1" l="1"/>
  <c r="BP35" i="1"/>
  <c r="BJ172" i="1"/>
  <c r="BK169" i="1"/>
  <c r="BS30" i="1"/>
  <c r="BQ28" i="1"/>
  <c r="BQ34" i="1" l="1"/>
  <c r="BQ35" i="1"/>
  <c r="BK172" i="1"/>
  <c r="BL169" i="1"/>
  <c r="BT30" i="1"/>
  <c r="BR28" i="1"/>
  <c r="BR34" i="1" l="1"/>
  <c r="BR35" i="1"/>
  <c r="BL172" i="1"/>
  <c r="BM169" i="1"/>
  <c r="BU30" i="1"/>
  <c r="BM172" i="1" l="1"/>
  <c r="BN169" i="1"/>
  <c r="BV30" i="1"/>
  <c r="BN172" i="1" l="1"/>
  <c r="BO169" i="1"/>
  <c r="BW30" i="1"/>
  <c r="BO172" i="1" l="1"/>
  <c r="BP169" i="1"/>
  <c r="BX30" i="1"/>
  <c r="BP172" i="1" l="1"/>
  <c r="BQ169" i="1"/>
  <c r="BY30" i="1"/>
  <c r="BY24" i="1" s="1"/>
  <c r="BY27" i="1" s="1"/>
  <c r="BY124" i="1" s="1"/>
  <c r="BY125" i="1" s="1"/>
  <c r="BQ172" i="1" l="1"/>
  <c r="BR169" i="1"/>
  <c r="BZ30" i="1"/>
  <c r="BR172" i="1" l="1"/>
  <c r="BS169" i="1"/>
  <c r="CA30" i="1"/>
  <c r="CA24" i="1" s="1"/>
  <c r="CA27" i="1" s="1"/>
  <c r="CA124" i="1" s="1"/>
  <c r="CA125" i="1" s="1"/>
  <c r="BY28" i="1"/>
  <c r="BY34" i="1" l="1"/>
  <c r="BY35" i="1"/>
  <c r="BS172" i="1"/>
  <c r="BT169" i="1"/>
  <c r="CB30" i="1"/>
  <c r="CB24" i="1" s="1"/>
  <c r="CB27" i="1" s="1"/>
  <c r="CB124" i="1" s="1"/>
  <c r="CB125" i="1" s="1"/>
  <c r="BT172" i="1" l="1"/>
  <c r="BU169" i="1"/>
  <c r="CC30" i="1"/>
  <c r="CC24" i="1" s="1"/>
  <c r="CC27" i="1" s="1"/>
  <c r="CC124" i="1" s="1"/>
  <c r="CC125" i="1" s="1"/>
  <c r="CA28" i="1"/>
  <c r="CA34" i="1" l="1"/>
  <c r="CA35" i="1"/>
  <c r="BU172" i="1"/>
  <c r="BV169" i="1"/>
  <c r="CB28" i="1"/>
  <c r="CD30" i="1"/>
  <c r="CD24" i="1" s="1"/>
  <c r="CD27" i="1" s="1"/>
  <c r="CD124" i="1" s="1"/>
  <c r="CD125" i="1" s="1"/>
  <c r="CB34" i="1" l="1"/>
  <c r="CB35" i="1"/>
  <c r="BV172" i="1"/>
  <c r="BW169" i="1"/>
  <c r="CC28" i="1"/>
  <c r="CE30" i="1"/>
  <c r="CE24" i="1" s="1"/>
  <c r="CE27" i="1" s="1"/>
  <c r="CE124" i="1" s="1"/>
  <c r="CE125" i="1" s="1"/>
  <c r="CC34" i="1" l="1"/>
  <c r="CC35" i="1"/>
  <c r="BW172" i="1"/>
  <c r="BX169" i="1"/>
  <c r="CD28" i="1"/>
  <c r="CF30" i="1"/>
  <c r="CD34" i="1" l="1"/>
  <c r="CD35" i="1"/>
  <c r="BX172" i="1"/>
  <c r="BY169" i="1"/>
  <c r="CG30" i="1"/>
  <c r="CE28" i="1"/>
  <c r="CE34" i="1" l="1"/>
  <c r="CE35" i="1"/>
  <c r="BY172" i="1"/>
  <c r="BZ169" i="1"/>
  <c r="CH30" i="1"/>
  <c r="BZ172" i="1" l="1"/>
  <c r="CA169" i="1"/>
  <c r="CI30" i="1"/>
  <c r="CA172" i="1" l="1"/>
  <c r="CB169" i="1"/>
  <c r="CJ30" i="1"/>
  <c r="CJ24" i="1" s="1"/>
  <c r="CJ27" i="1" l="1"/>
  <c r="CB172" i="1"/>
  <c r="CC169" i="1"/>
  <c r="CK30" i="1"/>
  <c r="CK24" i="1" s="1"/>
  <c r="CK27" i="1" s="1"/>
  <c r="CK124" i="1" s="1"/>
  <c r="CK125" i="1" s="1"/>
  <c r="CJ124" i="1" l="1"/>
  <c r="CJ125" i="1" s="1"/>
  <c r="CC172" i="1"/>
  <c r="CD169" i="1"/>
  <c r="CL30" i="1"/>
  <c r="CJ28" i="1"/>
  <c r="CJ34" i="1" l="1"/>
  <c r="CJ35" i="1"/>
  <c r="CD172" i="1"/>
  <c r="CE169" i="1"/>
  <c r="CK28" i="1"/>
  <c r="CM30" i="1"/>
  <c r="CM24" i="1" s="1"/>
  <c r="CM27" i="1" s="1"/>
  <c r="CM124" i="1" s="1"/>
  <c r="CM125" i="1" s="1"/>
  <c r="CK34" i="1" l="1"/>
  <c r="CK35" i="1"/>
  <c r="CE172" i="1"/>
  <c r="CF169" i="1"/>
  <c r="CN30" i="1"/>
  <c r="CN24" i="1" s="1"/>
  <c r="CN27" i="1" s="1"/>
  <c r="CN124" i="1" s="1"/>
  <c r="CN125" i="1" s="1"/>
  <c r="CF172" i="1" l="1"/>
  <c r="CG169" i="1"/>
  <c r="CO30" i="1"/>
  <c r="CO24" i="1" s="1"/>
  <c r="CO27" i="1" s="1"/>
  <c r="CO124" i="1" s="1"/>
  <c r="CO125" i="1" s="1"/>
  <c r="CM28" i="1"/>
  <c r="CM34" i="1" l="1"/>
  <c r="CM35" i="1"/>
  <c r="CG172" i="1"/>
  <c r="CH169" i="1"/>
  <c r="CN28" i="1"/>
  <c r="CP30" i="1"/>
  <c r="CP24" i="1" s="1"/>
  <c r="CP27" i="1" s="1"/>
  <c r="CP124" i="1" s="1"/>
  <c r="CP125" i="1" s="1"/>
  <c r="CN34" i="1" l="1"/>
  <c r="CN35" i="1"/>
  <c r="CH172" i="1"/>
  <c r="CI169" i="1"/>
  <c r="CO28" i="1"/>
  <c r="CQ30" i="1"/>
  <c r="CQ24" i="1" s="1"/>
  <c r="CQ27" i="1" s="1"/>
  <c r="CQ124" i="1" s="1"/>
  <c r="CQ125" i="1" s="1"/>
  <c r="CO34" i="1" l="1"/>
  <c r="CO35" i="1"/>
  <c r="CI172" i="1"/>
  <c r="CJ169" i="1"/>
  <c r="CR30" i="1"/>
  <c r="CP28" i="1"/>
  <c r="CP34" i="1" l="1"/>
  <c r="CP35" i="1"/>
  <c r="CJ172" i="1"/>
  <c r="CK169" i="1"/>
  <c r="CS30" i="1"/>
  <c r="CQ28" i="1"/>
  <c r="CQ34" i="1" l="1"/>
  <c r="CQ35" i="1"/>
  <c r="CK172" i="1"/>
  <c r="CL169" i="1"/>
  <c r="CT30" i="1"/>
  <c r="CL172" i="1" l="1"/>
  <c r="CM169" i="1"/>
  <c r="CU30" i="1"/>
  <c r="CM172" i="1" l="1"/>
  <c r="CN169" i="1"/>
  <c r="CV30" i="1"/>
  <c r="CV24" i="1" s="1"/>
  <c r="CV27" i="1" l="1"/>
  <c r="CN172" i="1"/>
  <c r="CO169" i="1"/>
  <c r="CW30" i="1"/>
  <c r="CW24" i="1" s="1"/>
  <c r="CW27" i="1" s="1"/>
  <c r="CW124" i="1" s="1"/>
  <c r="CW125" i="1" s="1"/>
  <c r="CV124" i="1" l="1"/>
  <c r="CV125" i="1" s="1"/>
  <c r="CO172" i="1"/>
  <c r="CP169" i="1"/>
  <c r="CX30" i="1"/>
  <c r="CX24" i="1" s="1"/>
  <c r="CV28" i="1"/>
  <c r="CX27" i="1" l="1"/>
  <c r="CX124" i="1" s="1"/>
  <c r="CX125" i="1" s="1"/>
  <c r="CV34" i="1"/>
  <c r="CV35" i="1"/>
  <c r="CP172" i="1"/>
  <c r="CQ169" i="1"/>
  <c r="CW28" i="1"/>
  <c r="CY30" i="1"/>
  <c r="CW34" i="1" l="1"/>
  <c r="CW35" i="1"/>
  <c r="CQ172" i="1"/>
  <c r="CR169" i="1"/>
  <c r="CZ30" i="1"/>
  <c r="CZ24" i="1" s="1"/>
  <c r="CZ27" i="1" s="1"/>
  <c r="CZ124" i="1" s="1"/>
  <c r="CZ125" i="1" s="1"/>
  <c r="CX28" i="1"/>
  <c r="CX34" i="1" l="1"/>
  <c r="CX35" i="1"/>
  <c r="CR172" i="1"/>
  <c r="CS169" i="1"/>
  <c r="DA30" i="1"/>
  <c r="DA24" i="1" s="1"/>
  <c r="DA27" i="1" s="1"/>
  <c r="DA124" i="1" s="1"/>
  <c r="DA125" i="1" s="1"/>
  <c r="CS172" i="1" l="1"/>
  <c r="CT169" i="1"/>
  <c r="CZ28" i="1"/>
  <c r="DB30" i="1"/>
  <c r="DB24" i="1" s="1"/>
  <c r="DB27" i="1" s="1"/>
  <c r="DB124" i="1" s="1"/>
  <c r="DB125" i="1" s="1"/>
  <c r="CZ34" i="1" l="1"/>
  <c r="CZ35" i="1"/>
  <c r="CT172" i="1"/>
  <c r="CU169" i="1"/>
  <c r="DC30" i="1"/>
  <c r="DC24" i="1" s="1"/>
  <c r="DC27" i="1" s="1"/>
  <c r="DC124" i="1" s="1"/>
  <c r="DC125" i="1" s="1"/>
  <c r="DA28" i="1"/>
  <c r="DA34" i="1" l="1"/>
  <c r="DA35" i="1"/>
  <c r="CU172" i="1"/>
  <c r="CV169" i="1"/>
  <c r="DB28" i="1"/>
  <c r="DD30" i="1"/>
  <c r="DD24" i="1" s="1"/>
  <c r="DD27" i="1" s="1"/>
  <c r="DD124" i="1" s="1"/>
  <c r="DD125" i="1" s="1"/>
  <c r="DB34" i="1" l="1"/>
  <c r="DB35" i="1"/>
  <c r="CV172" i="1"/>
  <c r="CW169" i="1"/>
  <c r="DE30" i="1"/>
  <c r="DC28" i="1"/>
  <c r="DC34" i="1" l="1"/>
  <c r="DC35" i="1"/>
  <c r="CW172" i="1"/>
  <c r="CX169" i="1"/>
  <c r="DF30" i="1"/>
  <c r="DD28" i="1"/>
  <c r="DD34" i="1" l="1"/>
  <c r="DD35" i="1"/>
  <c r="CX172" i="1"/>
  <c r="CY169" i="1"/>
  <c r="DG30" i="1"/>
  <c r="CY172" i="1" l="1"/>
  <c r="CZ169" i="1"/>
  <c r="CZ172" i="1" l="1"/>
  <c r="DA169" i="1"/>
  <c r="DA172" i="1" l="1"/>
  <c r="DB169" i="1"/>
  <c r="DB172" i="1" l="1"/>
  <c r="DC169" i="1"/>
  <c r="DC172" i="1" l="1"/>
  <c r="DD169" i="1"/>
  <c r="DD172" i="1" l="1"/>
  <c r="DE169" i="1"/>
  <c r="DE172" i="1" l="1"/>
  <c r="DF169" i="1"/>
  <c r="DF172" i="1" l="1"/>
  <c r="DG169" i="1"/>
  <c r="DG172" i="1" s="1"/>
  <c r="N12" i="32" l="1"/>
  <c r="N15" i="32" s="1"/>
  <c r="BL11" i="1"/>
  <c r="AA11" i="1"/>
  <c r="AA35" i="1" s="1"/>
  <c r="AA83" i="1" s="1"/>
  <c r="P6" i="28"/>
  <c r="Q6" i="28" s="1"/>
  <c r="R6" i="28" s="1"/>
  <c r="S6" i="28" s="1"/>
  <c r="T6" i="28" s="1"/>
  <c r="AA84" i="1" l="1"/>
  <c r="AA93" i="1"/>
  <c r="AA49" i="1"/>
  <c r="AA50" i="1"/>
  <c r="AA72" i="28"/>
  <c r="AL11" i="1" s="1"/>
  <c r="X72" i="28"/>
  <c r="AI11" i="1" s="1"/>
  <c r="W72" i="28"/>
  <c r="AH11" i="1" s="1"/>
  <c r="Y72" i="28"/>
  <c r="AJ11" i="1" s="1"/>
  <c r="V72" i="28"/>
  <c r="AG11" i="1" s="1"/>
  <c r="D13" i="5"/>
  <c r="AA145" i="1"/>
  <c r="AB145" i="1" s="1"/>
  <c r="AC145" i="1" s="1"/>
  <c r="AD145" i="1" s="1"/>
  <c r="AE145" i="1" s="1"/>
  <c r="AF145" i="1" s="1"/>
  <c r="BJ11" i="1"/>
  <c r="BA11" i="1"/>
  <c r="U6" i="28"/>
  <c r="V6" i="28" s="1"/>
  <c r="W6" i="28" s="1"/>
  <c r="X6" i="28" s="1"/>
  <c r="BC11" i="1"/>
  <c r="D12" i="37"/>
  <c r="BD11" i="1"/>
  <c r="BE11" i="1"/>
  <c r="AX11" i="1"/>
  <c r="M12" i="34" s="1"/>
  <c r="BB11" i="1"/>
  <c r="AC17" i="28"/>
  <c r="AD17" i="28" s="1"/>
  <c r="AE17" i="28" s="1"/>
  <c r="AF17" i="28" s="1"/>
  <c r="AG17" i="28" s="1"/>
  <c r="AA31" i="1"/>
  <c r="AA30" i="1"/>
  <c r="AA29" i="1"/>
  <c r="AC15" i="28"/>
  <c r="AD15" i="28" s="1"/>
  <c r="AE15" i="28" s="1"/>
  <c r="AF15" i="28" s="1"/>
  <c r="AG15" i="28" s="1"/>
  <c r="AH15" i="28" s="1"/>
  <c r="E12" i="37" l="1"/>
  <c r="D15" i="37"/>
  <c r="D18" i="5"/>
  <c r="D27" i="5" s="1"/>
  <c r="AL29" i="1"/>
  <c r="AL30" i="1"/>
  <c r="AL31" i="1"/>
  <c r="AL35" i="1"/>
  <c r="AL83" i="1" s="1"/>
  <c r="AJ31" i="1"/>
  <c r="AJ30" i="1"/>
  <c r="AJ29" i="1"/>
  <c r="AJ35" i="1"/>
  <c r="AJ83" i="1" s="1"/>
  <c r="AH30" i="1"/>
  <c r="AH31" i="1"/>
  <c r="AI30" i="1"/>
  <c r="AI31" i="1"/>
  <c r="AG30" i="1"/>
  <c r="AG31" i="1"/>
  <c r="AI35" i="1"/>
  <c r="AI83" i="1" s="1"/>
  <c r="AI84" i="1" s="1"/>
  <c r="AI29" i="1"/>
  <c r="AH29" i="1"/>
  <c r="AH35" i="1"/>
  <c r="AH83" i="1" s="1"/>
  <c r="AG145" i="1"/>
  <c r="AH145" i="1" s="1"/>
  <c r="AI145" i="1" s="1"/>
  <c r="AJ145" i="1" s="1"/>
  <c r="AK145" i="1" s="1"/>
  <c r="AL145" i="1" s="1"/>
  <c r="AM145" i="1" s="1"/>
  <c r="AN145" i="1" s="1"/>
  <c r="AO145" i="1" s="1"/>
  <c r="AP145" i="1" s="1"/>
  <c r="M12" i="32"/>
  <c r="K12" i="32"/>
  <c r="J12" i="32"/>
  <c r="I12" i="32"/>
  <c r="AG35" i="1"/>
  <c r="AG29" i="1"/>
  <c r="D31" i="5"/>
  <c r="C12" i="34"/>
  <c r="C15" i="34" s="1"/>
  <c r="BV11" i="1"/>
  <c r="BI11" i="1"/>
  <c r="D12" i="34"/>
  <c r="AI15" i="28"/>
  <c r="AJ15" i="28" s="1"/>
  <c r="AK15" i="28" s="1"/>
  <c r="AL15" i="28" s="1"/>
  <c r="AM15" i="28" s="1"/>
  <c r="AN15" i="28" s="1"/>
  <c r="AO15" i="28" s="1"/>
  <c r="AP15" i="28" s="1"/>
  <c r="AQ15" i="28" s="1"/>
  <c r="AR15" i="28" s="1"/>
  <c r="AS15" i="28" s="1"/>
  <c r="AT15" i="28" s="1"/>
  <c r="AU15" i="28" s="1"/>
  <c r="AV15" i="28" s="1"/>
  <c r="AW15" i="28" s="1"/>
  <c r="AX15" i="28" s="1"/>
  <c r="AY15" i="28" s="1"/>
  <c r="AZ15" i="28" s="1"/>
  <c r="BA15" i="28" s="1"/>
  <c r="BB15" i="28" s="1"/>
  <c r="BC15" i="28" s="1"/>
  <c r="BD15" i="28" s="1"/>
  <c r="BE15" i="28" s="1"/>
  <c r="BF15" i="28" s="1"/>
  <c r="BG15" i="28" s="1"/>
  <c r="BH15" i="28" s="1"/>
  <c r="BI15" i="28" s="1"/>
  <c r="BJ15" i="28" s="1"/>
  <c r="BK15" i="28" s="1"/>
  <c r="BL15" i="28" s="1"/>
  <c r="BM15" i="28" s="1"/>
  <c r="BN15" i="28" s="1"/>
  <c r="BO15" i="28" s="1"/>
  <c r="BP15" i="28" s="1"/>
  <c r="BQ15" i="28" s="1"/>
  <c r="BR15" i="28" s="1"/>
  <c r="BS15" i="28" s="1"/>
  <c r="BT15" i="28" s="1"/>
  <c r="BU15" i="28" s="1"/>
  <c r="BV15" i="28" s="1"/>
  <c r="BW15" i="28" s="1"/>
  <c r="BX15" i="28" s="1"/>
  <c r="BY15" i="28" s="1"/>
  <c r="BZ15" i="28" s="1"/>
  <c r="CA15" i="28" s="1"/>
  <c r="CB15" i="28" s="1"/>
  <c r="CC15" i="28" s="1"/>
  <c r="CD15" i="28" s="1"/>
  <c r="CE15" i="28" s="1"/>
  <c r="CF15" i="28" s="1"/>
  <c r="CG15" i="28" s="1"/>
  <c r="CH15" i="28" s="1"/>
  <c r="CI15" i="28" s="1"/>
  <c r="CJ15" i="28" s="1"/>
  <c r="CK15" i="28" s="1"/>
  <c r="CL15" i="28" s="1"/>
  <c r="CM15" i="28" s="1"/>
  <c r="CN15" i="28" s="1"/>
  <c r="CO15" i="28" s="1"/>
  <c r="CP15" i="28" s="1"/>
  <c r="CQ15" i="28" s="1"/>
  <c r="CR15" i="28" s="1"/>
  <c r="CS15" i="28" s="1"/>
  <c r="CT15" i="28" s="1"/>
  <c r="CU15" i="28" s="1"/>
  <c r="CV15" i="28" s="1"/>
  <c r="CW15" i="28" s="1"/>
  <c r="CX15" i="28" s="1"/>
  <c r="CY15" i="28" s="1"/>
  <c r="CZ15" i="28" s="1"/>
  <c r="DA15" i="28" s="1"/>
  <c r="DB15" i="28" s="1"/>
  <c r="DC15" i="28" s="1"/>
  <c r="DD15" i="28" s="1"/>
  <c r="DE15" i="28" s="1"/>
  <c r="DF15" i="28" s="1"/>
  <c r="DG15" i="28" s="1"/>
  <c r="DH15" i="28" s="1"/>
  <c r="F12" i="34"/>
  <c r="E12" i="34"/>
  <c r="G12" i="34"/>
  <c r="CU11" i="1"/>
  <c r="M15" i="34"/>
  <c r="H12" i="34"/>
  <c r="BH11" i="1"/>
  <c r="BU11" i="1"/>
  <c r="CI11" i="1"/>
  <c r="AW11" i="1"/>
  <c r="AV11" i="1"/>
  <c r="K12" i="34" s="1"/>
  <c r="AY11" i="1"/>
  <c r="N12" i="34" s="1"/>
  <c r="AU11" i="1"/>
  <c r="J12" i="34" s="1"/>
  <c r="H23" i="32"/>
  <c r="H22" i="32"/>
  <c r="H30" i="32" s="1"/>
  <c r="N22" i="32"/>
  <c r="N30" i="32" s="1"/>
  <c r="N23" i="32"/>
  <c r="CH11" i="1"/>
  <c r="CI23" i="1"/>
  <c r="CI24" i="1"/>
  <c r="CI25" i="1"/>
  <c r="AZ11" i="1"/>
  <c r="L12" i="34" l="1"/>
  <c r="H12" i="37"/>
  <c r="H15" i="37" s="1"/>
  <c r="I12" i="34"/>
  <c r="I15" i="34" s="1"/>
  <c r="F12" i="37"/>
  <c r="E15" i="37"/>
  <c r="D23" i="37"/>
  <c r="AQ145" i="1"/>
  <c r="AR145" i="1" s="1"/>
  <c r="AS145" i="1" s="1"/>
  <c r="D39" i="5"/>
  <c r="D41" i="5" s="1"/>
  <c r="D29" i="5"/>
  <c r="M15" i="32"/>
  <c r="M22" i="32" s="1"/>
  <c r="M30" i="32" s="1"/>
  <c r="I23" i="32"/>
  <c r="I15" i="32"/>
  <c r="I22" i="32" s="1"/>
  <c r="I30" i="32" s="1"/>
  <c r="I34" i="32" s="1"/>
  <c r="I35" i="32" s="1"/>
  <c r="K23" i="32"/>
  <c r="K15" i="32"/>
  <c r="K22" i="32" s="1"/>
  <c r="K30" i="32" s="1"/>
  <c r="J23" i="32"/>
  <c r="J15" i="32"/>
  <c r="J22" i="32" s="1"/>
  <c r="J30" i="32" s="1"/>
  <c r="J31" i="32" s="1"/>
  <c r="AL84" i="1"/>
  <c r="AL93" i="1"/>
  <c r="AJ84" i="1"/>
  <c r="AJ93" i="1"/>
  <c r="AG83" i="1"/>
  <c r="AG84" i="1" s="1"/>
  <c r="AI93" i="1"/>
  <c r="AH84" i="1"/>
  <c r="AH93" i="1"/>
  <c r="M23" i="32"/>
  <c r="P12" i="32"/>
  <c r="CU23" i="1"/>
  <c r="G13" i="5"/>
  <c r="C19" i="34"/>
  <c r="CI27" i="1"/>
  <c r="CI124" i="1" s="1"/>
  <c r="CI125" i="1" s="1"/>
  <c r="C18" i="34"/>
  <c r="C17" i="34"/>
  <c r="F15" i="34"/>
  <c r="F21" i="34" s="1"/>
  <c r="F29" i="34" s="1"/>
  <c r="F22" i="34"/>
  <c r="E15" i="34"/>
  <c r="E21" i="34" s="1"/>
  <c r="E29" i="34" s="1"/>
  <c r="E22" i="34"/>
  <c r="D15" i="34"/>
  <c r="D21" i="34" s="1"/>
  <c r="D29" i="34" s="1"/>
  <c r="D22" i="34"/>
  <c r="G15" i="34"/>
  <c r="G21" i="34" s="1"/>
  <c r="G29" i="34" s="1"/>
  <c r="G22" i="34"/>
  <c r="N15" i="34"/>
  <c r="J15" i="34"/>
  <c r="H15" i="34"/>
  <c r="H21" i="34" s="1"/>
  <c r="H29" i="34" s="1"/>
  <c r="H22" i="34"/>
  <c r="L15" i="34"/>
  <c r="K15" i="34"/>
  <c r="BX11" i="1"/>
  <c r="BK11" i="1"/>
  <c r="BG11" i="1"/>
  <c r="AU23" i="1"/>
  <c r="AU24" i="1"/>
  <c r="J18" i="34" s="1"/>
  <c r="AU25" i="1"/>
  <c r="J19" i="34" s="1"/>
  <c r="BF11" i="1"/>
  <c r="AJ17" i="28"/>
  <c r="CH23" i="1"/>
  <c r="CH24" i="1"/>
  <c r="CH25" i="1"/>
  <c r="H31" i="32"/>
  <c r="H34" i="32"/>
  <c r="H35" i="32" s="1"/>
  <c r="CU25" i="1"/>
  <c r="CT11" i="1"/>
  <c r="N34" i="32"/>
  <c r="N35" i="32" s="1"/>
  <c r="N31" i="32"/>
  <c r="D60" i="5"/>
  <c r="BM11" i="1"/>
  <c r="AR108" i="1" l="1"/>
  <c r="K12" i="37"/>
  <c r="K15" i="37" s="1"/>
  <c r="AT145" i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P12" i="34"/>
  <c r="P15" i="34" s="1"/>
  <c r="G18" i="5"/>
  <c r="F58" i="5" s="1"/>
  <c r="I12" i="37"/>
  <c r="D24" i="37"/>
  <c r="E24" i="37" s="1"/>
  <c r="D31" i="37"/>
  <c r="E23" i="37"/>
  <c r="G12" i="37"/>
  <c r="F15" i="37"/>
  <c r="G15" i="37" s="1"/>
  <c r="I18" i="34"/>
  <c r="I19" i="34"/>
  <c r="D44" i="5"/>
  <c r="D48" i="5" s="1"/>
  <c r="M34" i="32"/>
  <c r="M35" i="32" s="1"/>
  <c r="M31" i="32"/>
  <c r="P15" i="32"/>
  <c r="P22" i="32" s="1"/>
  <c r="P30" i="32" s="1"/>
  <c r="K34" i="32"/>
  <c r="K35" i="32" s="1"/>
  <c r="AG93" i="1"/>
  <c r="I31" i="32"/>
  <c r="AJ186" i="1"/>
  <c r="AJ192" i="1" s="1"/>
  <c r="K31" i="32"/>
  <c r="P23" i="32"/>
  <c r="J34" i="32"/>
  <c r="J35" i="32" s="1"/>
  <c r="CU24" i="1"/>
  <c r="CU27" i="1" s="1"/>
  <c r="CU124" i="1" s="1"/>
  <c r="CU125" i="1" s="1"/>
  <c r="H13" i="5"/>
  <c r="CH27" i="1"/>
  <c r="CH124" i="1" s="1"/>
  <c r="CH125" i="1" s="1"/>
  <c r="C22" i="34"/>
  <c r="C21" i="34"/>
  <c r="C29" i="34" s="1"/>
  <c r="C30" i="34" s="1"/>
  <c r="J17" i="34"/>
  <c r="J22" i="34" s="1"/>
  <c r="AU27" i="1"/>
  <c r="AU124" i="1" s="1"/>
  <c r="AU125" i="1" s="1"/>
  <c r="I17" i="34"/>
  <c r="CI28" i="1"/>
  <c r="CI34" i="1" s="1"/>
  <c r="E30" i="34"/>
  <c r="E33" i="34"/>
  <c r="E34" i="34" s="1"/>
  <c r="G30" i="34"/>
  <c r="G33" i="34"/>
  <c r="G34" i="34" s="1"/>
  <c r="F33" i="34"/>
  <c r="F34" i="34" s="1"/>
  <c r="F30" i="34"/>
  <c r="D30" i="34"/>
  <c r="D33" i="34"/>
  <c r="D34" i="34" s="1"/>
  <c r="H30" i="34"/>
  <c r="H33" i="34"/>
  <c r="H34" i="34" s="1"/>
  <c r="AK17" i="28"/>
  <c r="AL17" i="28" s="1"/>
  <c r="AM17" i="28" s="1"/>
  <c r="AN17" i="28" s="1"/>
  <c r="AO17" i="28" s="1"/>
  <c r="AP17" i="28" s="1"/>
  <c r="AQ17" i="28" s="1"/>
  <c r="AR17" i="28" s="1"/>
  <c r="AS17" i="28" s="1"/>
  <c r="AT17" i="28" s="1"/>
  <c r="AU17" i="28" s="1"/>
  <c r="AV17" i="28" s="1"/>
  <c r="AW17" i="28" s="1"/>
  <c r="AX17" i="28" s="1"/>
  <c r="AY17" i="28" s="1"/>
  <c r="AZ17" i="28" s="1"/>
  <c r="BA17" i="28" s="1"/>
  <c r="BB17" i="28" s="1"/>
  <c r="BC17" i="28" s="1"/>
  <c r="BD17" i="28" s="1"/>
  <c r="BE17" i="28" s="1"/>
  <c r="BF17" i="28" s="1"/>
  <c r="BG17" i="28" s="1"/>
  <c r="BH17" i="28" s="1"/>
  <c r="BI17" i="28" s="1"/>
  <c r="BJ17" i="28" s="1"/>
  <c r="BK17" i="28" s="1"/>
  <c r="BL17" i="28" s="1"/>
  <c r="BM17" i="28" s="1"/>
  <c r="BN17" i="28" s="1"/>
  <c r="BO17" i="28" s="1"/>
  <c r="BP17" i="28" s="1"/>
  <c r="BQ17" i="28" s="1"/>
  <c r="BR17" i="28" s="1"/>
  <c r="BS17" i="28" s="1"/>
  <c r="BT17" i="28" s="1"/>
  <c r="BU17" i="28" s="1"/>
  <c r="BV17" i="28" s="1"/>
  <c r="BW17" i="28" s="1"/>
  <c r="BX17" i="28" s="1"/>
  <c r="BY17" i="28" s="1"/>
  <c r="BZ17" i="28" s="1"/>
  <c r="CA17" i="28" s="1"/>
  <c r="CB17" i="28" s="1"/>
  <c r="CC17" i="28" s="1"/>
  <c r="CD17" i="28" s="1"/>
  <c r="CE17" i="28" s="1"/>
  <c r="CF17" i="28" s="1"/>
  <c r="CG17" i="28" s="1"/>
  <c r="CH17" i="28" s="1"/>
  <c r="CI17" i="28" s="1"/>
  <c r="CJ17" i="28" s="1"/>
  <c r="CK17" i="28" s="1"/>
  <c r="CL17" i="28" s="1"/>
  <c r="CM17" i="28" s="1"/>
  <c r="CN17" i="28" s="1"/>
  <c r="CO17" i="28" s="1"/>
  <c r="CP17" i="28" s="1"/>
  <c r="CQ17" i="28" s="1"/>
  <c r="CR17" i="28" s="1"/>
  <c r="CS17" i="28" s="1"/>
  <c r="CT17" i="28" s="1"/>
  <c r="CU17" i="28" s="1"/>
  <c r="CV17" i="28" s="1"/>
  <c r="CW17" i="28" s="1"/>
  <c r="CX17" i="28" s="1"/>
  <c r="CY17" i="28" s="1"/>
  <c r="CZ17" i="28" s="1"/>
  <c r="DA17" i="28" s="1"/>
  <c r="DB17" i="28" s="1"/>
  <c r="DC17" i="28" s="1"/>
  <c r="DD17" i="28" s="1"/>
  <c r="DE17" i="28" s="1"/>
  <c r="DF17" i="28" s="1"/>
  <c r="DG17" i="28" s="1"/>
  <c r="DH17" i="28" s="1"/>
  <c r="BT11" i="1"/>
  <c r="BS11" i="1"/>
  <c r="CT23" i="1"/>
  <c r="CT24" i="1"/>
  <c r="CT25" i="1"/>
  <c r="DG11" i="1"/>
  <c r="D87" i="5"/>
  <c r="D86" i="5"/>
  <c r="BZ11" i="1"/>
  <c r="F60" i="5"/>
  <c r="D32" i="37" l="1"/>
  <c r="E32" i="37" s="1"/>
  <c r="D35" i="37"/>
  <c r="E31" i="37"/>
  <c r="I15" i="37"/>
  <c r="I21" i="34"/>
  <c r="I29" i="34" s="1"/>
  <c r="I30" i="34" s="1"/>
  <c r="D46" i="5"/>
  <c r="BS145" i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P34" i="32"/>
  <c r="P31" i="32"/>
  <c r="H18" i="5"/>
  <c r="H21" i="5" s="1"/>
  <c r="I36" i="31"/>
  <c r="I39" i="25"/>
  <c r="I39" i="32"/>
  <c r="C33" i="34"/>
  <c r="C34" i="34" s="1"/>
  <c r="J21" i="34"/>
  <c r="J29" i="34" s="1"/>
  <c r="J33" i="34" s="1"/>
  <c r="J34" i="34" s="1"/>
  <c r="E13" i="5"/>
  <c r="CT27" i="1"/>
  <c r="CT124" i="1" s="1"/>
  <c r="CT125" i="1" s="1"/>
  <c r="I22" i="34"/>
  <c r="P33" i="31"/>
  <c r="CI35" i="1"/>
  <c r="CU28" i="1"/>
  <c r="CU35" i="1" s="1"/>
  <c r="AU28" i="1"/>
  <c r="AU34" i="1" s="1"/>
  <c r="AU82" i="1" s="1"/>
  <c r="AU92" i="1" s="1"/>
  <c r="AU182" i="1" s="1"/>
  <c r="AU85" i="1"/>
  <c r="CH28" i="1"/>
  <c r="CH34" i="1" s="1"/>
  <c r="AT182" i="1"/>
  <c r="CF11" i="1"/>
  <c r="CG11" i="1"/>
  <c r="AV23" i="1"/>
  <c r="AV25" i="1"/>
  <c r="F19" i="37" s="1"/>
  <c r="AV24" i="1"/>
  <c r="F18" i="37" s="1"/>
  <c r="DG24" i="1"/>
  <c r="E24" i="5" s="1"/>
  <c r="F24" i="5" s="1"/>
  <c r="DG25" i="1"/>
  <c r="DG23" i="1"/>
  <c r="CL11" i="1"/>
  <c r="AN182" i="1"/>
  <c r="D97" i="5"/>
  <c r="D100" i="5" s="1"/>
  <c r="X87" i="5"/>
  <c r="F67" i="5"/>
  <c r="F61" i="5"/>
  <c r="BM25" i="1"/>
  <c r="BM24" i="1"/>
  <c r="BM23" i="1"/>
  <c r="G43" i="34" l="1"/>
  <c r="G44" i="34" s="1"/>
  <c r="I33" i="34"/>
  <c r="I34" i="34" s="1"/>
  <c r="E35" i="37"/>
  <c r="D36" i="37"/>
  <c r="E36" i="37" s="1"/>
  <c r="G19" i="37"/>
  <c r="G18" i="37"/>
  <c r="F21" i="37"/>
  <c r="F23" i="37" s="1"/>
  <c r="CF145" i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P35" i="32"/>
  <c r="P38" i="32"/>
  <c r="E18" i="5"/>
  <c r="F18" i="5" s="1"/>
  <c r="F13" i="5"/>
  <c r="G60" i="5"/>
  <c r="G58" i="5"/>
  <c r="G61" i="5" s="1"/>
  <c r="AU164" i="1"/>
  <c r="AV164" i="1" s="1"/>
  <c r="AW164" i="1" s="1"/>
  <c r="AX164" i="1" s="1"/>
  <c r="AM189" i="1"/>
  <c r="AM190" i="1" s="1"/>
  <c r="AJ194" i="1"/>
  <c r="AJ195" i="1" s="1"/>
  <c r="F38" i="37" s="1"/>
  <c r="I38" i="25"/>
  <c r="AH196" i="1"/>
  <c r="I35" i="31"/>
  <c r="I38" i="32"/>
  <c r="J36" i="31"/>
  <c r="J39" i="32"/>
  <c r="J39" i="25"/>
  <c r="J30" i="34"/>
  <c r="CU34" i="1"/>
  <c r="K18" i="34"/>
  <c r="E23" i="5"/>
  <c r="DG27" i="1"/>
  <c r="DG124" i="1" s="1"/>
  <c r="DG125" i="1" s="1"/>
  <c r="K19" i="34"/>
  <c r="K17" i="34"/>
  <c r="AV27" i="1"/>
  <c r="AV124" i="1" s="1"/>
  <c r="AV125" i="1" s="1"/>
  <c r="BM27" i="1"/>
  <c r="BM124" i="1" s="1"/>
  <c r="BM125" i="1" s="1"/>
  <c r="AU35" i="1"/>
  <c r="AU83" i="1" s="1"/>
  <c r="AU93" i="1" s="1"/>
  <c r="CT28" i="1"/>
  <c r="CT34" i="1" s="1"/>
  <c r="CH35" i="1"/>
  <c r="CS11" i="1"/>
  <c r="CG23" i="1"/>
  <c r="CG24" i="1"/>
  <c r="CG25" i="1"/>
  <c r="CF24" i="1"/>
  <c r="CF25" i="1"/>
  <c r="CF23" i="1"/>
  <c r="AW25" i="1"/>
  <c r="AW24" i="1"/>
  <c r="AW23" i="1"/>
  <c r="CR11" i="1"/>
  <c r="F81" i="5"/>
  <c r="F88" i="5"/>
  <c r="F63" i="5"/>
  <c r="CY11" i="1"/>
  <c r="BS25" i="1"/>
  <c r="BS24" i="1"/>
  <c r="BS23" i="1"/>
  <c r="D101" i="5"/>
  <c r="D82" i="5"/>
  <c r="BZ24" i="1"/>
  <c r="BZ25" i="1"/>
  <c r="BZ23" i="1"/>
  <c r="G21" i="37" l="1"/>
  <c r="F31" i="37"/>
  <c r="F24" i="37"/>
  <c r="G24" i="37" s="1"/>
  <c r="G23" i="37"/>
  <c r="L18" i="34"/>
  <c r="L19" i="34"/>
  <c r="CR145" i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E27" i="5"/>
  <c r="F27" i="5" s="1"/>
  <c r="E58" i="5"/>
  <c r="E67" i="5" s="1"/>
  <c r="G21" i="5"/>
  <c r="E60" i="5"/>
  <c r="G67" i="5"/>
  <c r="E21" i="5"/>
  <c r="F21" i="5" s="1"/>
  <c r="AN189" i="1"/>
  <c r="E50" i="5"/>
  <c r="F50" i="5" s="1"/>
  <c r="N36" i="32"/>
  <c r="P36" i="32" s="1"/>
  <c r="C35" i="34"/>
  <c r="AJ196" i="1"/>
  <c r="J38" i="25"/>
  <c r="J38" i="32"/>
  <c r="J35" i="31"/>
  <c r="I40" i="32"/>
  <c r="I41" i="32"/>
  <c r="K39" i="32"/>
  <c r="K36" i="31"/>
  <c r="K39" i="25"/>
  <c r="AK186" i="1"/>
  <c r="AK192" i="1" s="1"/>
  <c r="K13" i="5"/>
  <c r="K18" i="5" s="1"/>
  <c r="K22" i="34"/>
  <c r="BS27" i="1"/>
  <c r="BS124" i="1" s="1"/>
  <c r="BS125" i="1" s="1"/>
  <c r="L17" i="34"/>
  <c r="AW27" i="1"/>
  <c r="AW124" i="1" s="1"/>
  <c r="AW125" i="1" s="1"/>
  <c r="BZ27" i="1"/>
  <c r="BZ124" i="1" s="1"/>
  <c r="BZ125" i="1" s="1"/>
  <c r="CF27" i="1"/>
  <c r="CF124" i="1" s="1"/>
  <c r="CF125" i="1" s="1"/>
  <c r="CG27" i="1"/>
  <c r="CG124" i="1" s="1"/>
  <c r="CG125" i="1" s="1"/>
  <c r="CT35" i="1"/>
  <c r="K21" i="34"/>
  <c r="K29" i="34" s="1"/>
  <c r="K30" i="34" s="1"/>
  <c r="E31" i="5"/>
  <c r="F31" i="5" s="1"/>
  <c r="E28" i="5"/>
  <c r="F28" i="5" s="1"/>
  <c r="AU84" i="1"/>
  <c r="AV28" i="1"/>
  <c r="AV34" i="1" s="1"/>
  <c r="AV82" i="1" s="1"/>
  <c r="AV92" i="1" s="1"/>
  <c r="AV182" i="1" s="1"/>
  <c r="AV85" i="1"/>
  <c r="BM28" i="1"/>
  <c r="DG28" i="1"/>
  <c r="DG34" i="1" s="1"/>
  <c r="DE11" i="1"/>
  <c r="CS23" i="1"/>
  <c r="CS24" i="1"/>
  <c r="CS25" i="1"/>
  <c r="DF11" i="1"/>
  <c r="AX25" i="1"/>
  <c r="M19" i="34" s="1"/>
  <c r="AX24" i="1"/>
  <c r="M18" i="34" s="1"/>
  <c r="AX23" i="1"/>
  <c r="CR23" i="1"/>
  <c r="CR24" i="1"/>
  <c r="CR25" i="1"/>
  <c r="F102" i="5"/>
  <c r="F85" i="5"/>
  <c r="CL25" i="1"/>
  <c r="CL23" i="1"/>
  <c r="CL24" i="1"/>
  <c r="G81" i="5"/>
  <c r="G88" i="5"/>
  <c r="G63" i="5"/>
  <c r="BT25" i="1"/>
  <c r="BT24" i="1"/>
  <c r="BT23" i="1"/>
  <c r="L22" i="34" l="1"/>
  <c r="F35" i="37"/>
  <c r="G31" i="37"/>
  <c r="F32" i="37"/>
  <c r="G32" i="37" s="1"/>
  <c r="DE145" i="1"/>
  <c r="DF145" i="1" s="1"/>
  <c r="DG145" i="1" s="1"/>
  <c r="E61" i="5"/>
  <c r="E63" i="5" s="1"/>
  <c r="AN190" i="1"/>
  <c r="AO189" i="1"/>
  <c r="AO190" i="1" s="1"/>
  <c r="D35" i="34"/>
  <c r="L39" i="32"/>
  <c r="L36" i="31"/>
  <c r="L39" i="25"/>
  <c r="J40" i="32"/>
  <c r="J41" i="32"/>
  <c r="AK194" i="1"/>
  <c r="AK195" i="1" s="1"/>
  <c r="K38" i="25"/>
  <c r="K35" i="31"/>
  <c r="K38" i="32"/>
  <c r="K41" i="32" s="1"/>
  <c r="AL186" i="1"/>
  <c r="AL192" i="1" s="1"/>
  <c r="L13" i="5"/>
  <c r="K25" i="5"/>
  <c r="L21" i="34"/>
  <c r="L29" i="34" s="1"/>
  <c r="L33" i="34" s="1"/>
  <c r="L34" i="34" s="1"/>
  <c r="CR27" i="1"/>
  <c r="CR124" i="1" s="1"/>
  <c r="CR125" i="1" s="1"/>
  <c r="K24" i="5"/>
  <c r="I13" i="5"/>
  <c r="I18" i="5" s="1"/>
  <c r="J13" i="5"/>
  <c r="J18" i="5" s="1"/>
  <c r="BT27" i="1"/>
  <c r="BT124" i="1" s="1"/>
  <c r="BT125" i="1" s="1"/>
  <c r="AV35" i="1"/>
  <c r="AV83" i="1" s="1"/>
  <c r="AV84" i="1" s="1"/>
  <c r="K23" i="5"/>
  <c r="CL27" i="1"/>
  <c r="CL124" i="1" s="1"/>
  <c r="CL125" i="1" s="1"/>
  <c r="M17" i="34"/>
  <c r="M21" i="34" s="1"/>
  <c r="M29" i="34" s="1"/>
  <c r="AX27" i="1"/>
  <c r="AX124" i="1" s="1"/>
  <c r="AX125" i="1" s="1"/>
  <c r="E29" i="5"/>
  <c r="F29" i="5" s="1"/>
  <c r="E39" i="5"/>
  <c r="F39" i="5" s="1"/>
  <c r="K33" i="34"/>
  <c r="K34" i="34" s="1"/>
  <c r="E40" i="5"/>
  <c r="E30" i="5"/>
  <c r="F30" i="5" s="1"/>
  <c r="CS27" i="1"/>
  <c r="CS124" i="1" s="1"/>
  <c r="CS125" i="1" s="1"/>
  <c r="DG35" i="1"/>
  <c r="BZ28" i="1"/>
  <c r="BZ34" i="1" s="1"/>
  <c r="BM34" i="1"/>
  <c r="BM35" i="1"/>
  <c r="AW28" i="1"/>
  <c r="AW34" i="1" s="1"/>
  <c r="AW82" i="1" s="1"/>
  <c r="AW92" i="1" s="1"/>
  <c r="AW182" i="1" s="1"/>
  <c r="AW85" i="1"/>
  <c r="BS28" i="1"/>
  <c r="BS35" i="1" s="1"/>
  <c r="CF28" i="1"/>
  <c r="CF35" i="1" s="1"/>
  <c r="CG28" i="1"/>
  <c r="CG35" i="1" s="1"/>
  <c r="DF23" i="1"/>
  <c r="DF24" i="1"/>
  <c r="DF25" i="1"/>
  <c r="AY25" i="1"/>
  <c r="AY23" i="1"/>
  <c r="AY24" i="1"/>
  <c r="G24" i="5" s="1"/>
  <c r="R93" i="5" s="1"/>
  <c r="X93" i="5" s="1"/>
  <c r="DE24" i="1"/>
  <c r="DE25" i="1"/>
  <c r="DE23" i="1"/>
  <c r="F86" i="5"/>
  <c r="F97" i="5" s="1"/>
  <c r="J60" i="5"/>
  <c r="J58" i="5"/>
  <c r="G102" i="5"/>
  <c r="G85" i="5"/>
  <c r="BU25" i="1"/>
  <c r="BU24" i="1"/>
  <c r="BU23" i="1"/>
  <c r="CY25" i="1"/>
  <c r="CY24" i="1"/>
  <c r="CY23" i="1"/>
  <c r="E88" i="5" l="1"/>
  <c r="F36" i="37"/>
  <c r="G36" i="37" s="1"/>
  <c r="G35" i="37"/>
  <c r="N19" i="34"/>
  <c r="P19" i="34" s="1"/>
  <c r="H19" i="37"/>
  <c r="E81" i="5"/>
  <c r="H18" i="37"/>
  <c r="E45" i="5"/>
  <c r="E87" i="5" s="1"/>
  <c r="F40" i="5"/>
  <c r="L18" i="5"/>
  <c r="L21" i="5" s="1"/>
  <c r="AM186" i="1"/>
  <c r="AM192" i="1" s="1"/>
  <c r="M39" i="25"/>
  <c r="M36" i="31"/>
  <c r="M39" i="32"/>
  <c r="K40" i="32"/>
  <c r="AK196" i="1"/>
  <c r="L38" i="32"/>
  <c r="L38" i="25"/>
  <c r="L35" i="31"/>
  <c r="AL194" i="1"/>
  <c r="AL195" i="1" s="1"/>
  <c r="L30" i="34"/>
  <c r="AV93" i="1"/>
  <c r="BZ35" i="1"/>
  <c r="M22" i="34"/>
  <c r="BU27" i="1"/>
  <c r="BU124" i="1" s="1"/>
  <c r="BU125" i="1" s="1"/>
  <c r="J21" i="5"/>
  <c r="K21" i="5"/>
  <c r="I60" i="5"/>
  <c r="I58" i="5"/>
  <c r="I21" i="5"/>
  <c r="H60" i="5"/>
  <c r="H58" i="5"/>
  <c r="L24" i="5"/>
  <c r="E85" i="5"/>
  <c r="E86" i="5" s="1"/>
  <c r="E97" i="5" s="1"/>
  <c r="E102" i="5"/>
  <c r="G25" i="5"/>
  <c r="DF27" i="1"/>
  <c r="DF124" i="1" s="1"/>
  <c r="DF125" i="1" s="1"/>
  <c r="G23" i="5"/>
  <c r="K31" i="5"/>
  <c r="K28" i="5"/>
  <c r="K27" i="5"/>
  <c r="L25" i="5"/>
  <c r="CF34" i="1"/>
  <c r="L23" i="5"/>
  <c r="CY27" i="1"/>
  <c r="CY124" i="1" s="1"/>
  <c r="CY125" i="1" s="1"/>
  <c r="DE27" i="1"/>
  <c r="DE124" i="1" s="1"/>
  <c r="DE125" i="1" s="1"/>
  <c r="N17" i="34"/>
  <c r="P17" i="34" s="1"/>
  <c r="AY27" i="1"/>
  <c r="AY124" i="1" s="1"/>
  <c r="AY125" i="1" s="1"/>
  <c r="E41" i="5"/>
  <c r="F41" i="5" s="1"/>
  <c r="E44" i="5"/>
  <c r="CG34" i="1"/>
  <c r="BT28" i="1"/>
  <c r="BT35" i="1" s="1"/>
  <c r="CS28" i="1"/>
  <c r="CS34" i="1" s="1"/>
  <c r="CL28" i="1"/>
  <c r="CL34" i="1" s="1"/>
  <c r="BS34" i="1"/>
  <c r="CR28" i="1"/>
  <c r="CR34" i="1" s="1"/>
  <c r="AX28" i="1"/>
  <c r="AX34" i="1" s="1"/>
  <c r="AX82" i="1" s="1"/>
  <c r="AX92" i="1" s="1"/>
  <c r="AX182" i="1" s="1"/>
  <c r="AX85" i="1"/>
  <c r="AW35" i="1"/>
  <c r="AW83" i="1" s="1"/>
  <c r="AW84" i="1" s="1"/>
  <c r="M33" i="34"/>
  <c r="M34" i="34" s="1"/>
  <c r="M30" i="34"/>
  <c r="N18" i="34"/>
  <c r="P18" i="34" s="1"/>
  <c r="AZ25" i="1"/>
  <c r="AZ24" i="1"/>
  <c r="AZ23" i="1"/>
  <c r="G86" i="5"/>
  <c r="G97" i="5" s="1"/>
  <c r="K60" i="5"/>
  <c r="K58" i="5"/>
  <c r="BV25" i="1"/>
  <c r="BV24" i="1"/>
  <c r="BV23" i="1"/>
  <c r="J67" i="5"/>
  <c r="J61" i="5"/>
  <c r="G31" i="5" l="1"/>
  <c r="I18" i="37"/>
  <c r="H21" i="37"/>
  <c r="H23" i="37" s="1"/>
  <c r="K18" i="37"/>
  <c r="E98" i="5"/>
  <c r="I19" i="37"/>
  <c r="K19" i="37"/>
  <c r="E99" i="5"/>
  <c r="E100" i="5" s="1"/>
  <c r="E48" i="5"/>
  <c r="F48" i="5" s="1"/>
  <c r="F44" i="5"/>
  <c r="E49" i="5"/>
  <c r="F45" i="5"/>
  <c r="E35" i="34"/>
  <c r="AL196" i="1"/>
  <c r="M38" i="25"/>
  <c r="AM194" i="1"/>
  <c r="AM195" i="1" s="1"/>
  <c r="H38" i="37" s="1"/>
  <c r="M38" i="32"/>
  <c r="M35" i="31"/>
  <c r="AN186" i="1"/>
  <c r="AN192" i="1" s="1"/>
  <c r="L41" i="32"/>
  <c r="L40" i="32"/>
  <c r="N39" i="32"/>
  <c r="N36" i="31"/>
  <c r="N39" i="25"/>
  <c r="H67" i="5"/>
  <c r="H61" i="5"/>
  <c r="I67" i="5"/>
  <c r="I61" i="5"/>
  <c r="BT34" i="1"/>
  <c r="AX35" i="1"/>
  <c r="AX83" i="1" s="1"/>
  <c r="AX93" i="1" s="1"/>
  <c r="CS35" i="1"/>
  <c r="AZ27" i="1"/>
  <c r="AZ124" i="1" s="1"/>
  <c r="AZ125" i="1" s="1"/>
  <c r="BV27" i="1"/>
  <c r="BV124" i="1" s="1"/>
  <c r="BV125" i="1" s="1"/>
  <c r="K29" i="5"/>
  <c r="K30" i="5"/>
  <c r="E46" i="5"/>
  <c r="F46" i="5" s="1"/>
  <c r="E101" i="5"/>
  <c r="E82" i="5"/>
  <c r="G28" i="5"/>
  <c r="G27" i="5"/>
  <c r="L31" i="5"/>
  <c r="L27" i="5"/>
  <c r="L28" i="5"/>
  <c r="AW93" i="1"/>
  <c r="CR35" i="1"/>
  <c r="CY28" i="1"/>
  <c r="CY34" i="1" s="1"/>
  <c r="CL35" i="1"/>
  <c r="DE28" i="1"/>
  <c r="DE35" i="1" s="1"/>
  <c r="AY28" i="1"/>
  <c r="AY35" i="1" s="1"/>
  <c r="AY83" i="1" s="1"/>
  <c r="AY85" i="1"/>
  <c r="BU28" i="1"/>
  <c r="BU35" i="1" s="1"/>
  <c r="DF28" i="1"/>
  <c r="DF35" i="1" s="1"/>
  <c r="P22" i="34"/>
  <c r="P21" i="34"/>
  <c r="P29" i="34" s="1"/>
  <c r="N21" i="34"/>
  <c r="N29" i="34" s="1"/>
  <c r="N22" i="34"/>
  <c r="X86" i="5"/>
  <c r="X89" i="5" s="1"/>
  <c r="X92" i="5" s="1"/>
  <c r="X94" i="5" s="1"/>
  <c r="X98" i="5" s="1"/>
  <c r="BA25" i="1"/>
  <c r="BA24" i="1"/>
  <c r="BA23" i="1"/>
  <c r="K67" i="5"/>
  <c r="K61" i="5"/>
  <c r="BW25" i="1"/>
  <c r="BW24" i="1"/>
  <c r="BW23" i="1"/>
  <c r="J88" i="5"/>
  <c r="J81" i="5"/>
  <c r="J63" i="5"/>
  <c r="R86" i="5"/>
  <c r="R89" i="5" s="1"/>
  <c r="R92" i="5" s="1"/>
  <c r="R94" i="5" s="1"/>
  <c r="R98" i="5" s="1"/>
  <c r="C42" i="34" l="1"/>
  <c r="K21" i="37"/>
  <c r="K23" i="37" s="1"/>
  <c r="H24" i="37"/>
  <c r="I24" i="37" s="1"/>
  <c r="H31" i="37"/>
  <c r="I23" i="37"/>
  <c r="I21" i="37"/>
  <c r="F51" i="5"/>
  <c r="F49" i="5"/>
  <c r="F35" i="34"/>
  <c r="AM178" i="1"/>
  <c r="E47" i="5"/>
  <c r="F47" i="5" s="1"/>
  <c r="N35" i="31"/>
  <c r="AM196" i="1"/>
  <c r="N38" i="25"/>
  <c r="AN194" i="1"/>
  <c r="AN195" i="1" s="1"/>
  <c r="N38" i="32"/>
  <c r="M41" i="32"/>
  <c r="M40" i="32"/>
  <c r="AO186" i="1"/>
  <c r="AO192" i="1" s="1"/>
  <c r="C39" i="37" s="1"/>
  <c r="BU34" i="1"/>
  <c r="AX84" i="1"/>
  <c r="BW27" i="1"/>
  <c r="BW124" i="1" s="1"/>
  <c r="BW125" i="1" s="1"/>
  <c r="I88" i="5"/>
  <c r="I81" i="5"/>
  <c r="I63" i="5"/>
  <c r="H63" i="5"/>
  <c r="H88" i="5"/>
  <c r="H81" i="5"/>
  <c r="CY35" i="1"/>
  <c r="G40" i="5"/>
  <c r="G45" i="5" s="1"/>
  <c r="G49" i="5" s="1"/>
  <c r="G30" i="5"/>
  <c r="DF34" i="1"/>
  <c r="L30" i="5"/>
  <c r="L29" i="5"/>
  <c r="BA27" i="1"/>
  <c r="BA124" i="1" s="1"/>
  <c r="BA125" i="1" s="1"/>
  <c r="G29" i="5"/>
  <c r="G39" i="5"/>
  <c r="AY34" i="1"/>
  <c r="AY82" i="1" s="1"/>
  <c r="AY92" i="1" s="1"/>
  <c r="AY182" i="1" s="1"/>
  <c r="DE34" i="1"/>
  <c r="AZ28" i="1"/>
  <c r="AZ34" i="1" s="1"/>
  <c r="BV28" i="1"/>
  <c r="BV34" i="1" s="1"/>
  <c r="N33" i="34"/>
  <c r="N34" i="34" s="1"/>
  <c r="N30" i="34"/>
  <c r="P33" i="34"/>
  <c r="P34" i="34" s="1"/>
  <c r="P30" i="34"/>
  <c r="BB25" i="1"/>
  <c r="BB23" i="1"/>
  <c r="BB24" i="1"/>
  <c r="AY93" i="1"/>
  <c r="AY84" i="1"/>
  <c r="K88" i="5"/>
  <c r="K81" i="5"/>
  <c r="K63" i="5"/>
  <c r="J102" i="5"/>
  <c r="J85" i="5"/>
  <c r="BX25" i="1"/>
  <c r="J25" i="5" s="1"/>
  <c r="BX24" i="1"/>
  <c r="J24" i="5" s="1"/>
  <c r="BX23" i="1"/>
  <c r="H35" i="37" l="1"/>
  <c r="I31" i="37"/>
  <c r="H32" i="37"/>
  <c r="I32" i="37" s="1"/>
  <c r="K25" i="37"/>
  <c r="K31" i="37"/>
  <c r="D42" i="34"/>
  <c r="G35" i="34"/>
  <c r="AZ35" i="1"/>
  <c r="N41" i="32"/>
  <c r="N40" i="32"/>
  <c r="C39" i="34"/>
  <c r="AN196" i="1"/>
  <c r="AO194" i="1"/>
  <c r="AO195" i="1" s="1"/>
  <c r="AP194" i="1" s="1"/>
  <c r="AP195" i="1" s="1"/>
  <c r="E90" i="5"/>
  <c r="E91" i="5"/>
  <c r="E42" i="34"/>
  <c r="H102" i="5"/>
  <c r="H85" i="5"/>
  <c r="H86" i="5" s="1"/>
  <c r="H97" i="5" s="1"/>
  <c r="I85" i="5"/>
  <c r="I86" i="5" s="1"/>
  <c r="I97" i="5" s="1"/>
  <c r="I102" i="5"/>
  <c r="G41" i="5"/>
  <c r="G44" i="5"/>
  <c r="G48" i="5" s="1"/>
  <c r="G51" i="5" s="1"/>
  <c r="J23" i="5"/>
  <c r="BX27" i="1"/>
  <c r="BX124" i="1" s="1"/>
  <c r="BX125" i="1" s="1"/>
  <c r="BB27" i="1"/>
  <c r="BB124" i="1" s="1"/>
  <c r="BB125" i="1" s="1"/>
  <c r="BV35" i="1"/>
  <c r="BW28" i="1"/>
  <c r="BW35" i="1" s="1"/>
  <c r="BA28" i="1"/>
  <c r="BA35" i="1" s="1"/>
  <c r="AY164" i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C23" i="1"/>
  <c r="BC24" i="1"/>
  <c r="BC25" i="1"/>
  <c r="K102" i="5"/>
  <c r="K85" i="5"/>
  <c r="AU175" i="1"/>
  <c r="F98" i="5"/>
  <c r="F99" i="5"/>
  <c r="F100" i="5" s="1"/>
  <c r="F87" i="5"/>
  <c r="J86" i="5"/>
  <c r="J97" i="5" s="1"/>
  <c r="C40" i="34" l="1"/>
  <c r="C41" i="34"/>
  <c r="AP196" i="1"/>
  <c r="AQ194" i="1"/>
  <c r="AQ195" i="1" s="1"/>
  <c r="AQ196" i="1" s="1"/>
  <c r="K35" i="37"/>
  <c r="K36" i="37" s="1"/>
  <c r="K32" i="37"/>
  <c r="I35" i="37"/>
  <c r="H36" i="37"/>
  <c r="I36" i="37" s="1"/>
  <c r="AS189" i="1"/>
  <c r="H35" i="34"/>
  <c r="AU163" i="1"/>
  <c r="AU138" i="1"/>
  <c r="F42" i="34"/>
  <c r="D39" i="34"/>
  <c r="AO196" i="1"/>
  <c r="BA34" i="1"/>
  <c r="J31" i="5"/>
  <c r="J28" i="5"/>
  <c r="J27" i="5"/>
  <c r="G46" i="5"/>
  <c r="BC27" i="1"/>
  <c r="BC124" i="1" s="1"/>
  <c r="BC125" i="1" s="1"/>
  <c r="BW34" i="1"/>
  <c r="BB28" i="1"/>
  <c r="BB35" i="1" s="1"/>
  <c r="BX28" i="1"/>
  <c r="BX35" i="1" s="1"/>
  <c r="BD24" i="1"/>
  <c r="BD23" i="1"/>
  <c r="BD25" i="1"/>
  <c r="K86" i="5"/>
  <c r="K97" i="5" s="1"/>
  <c r="F101" i="5"/>
  <c r="F82" i="5"/>
  <c r="AV175" i="1"/>
  <c r="AS190" i="1" l="1"/>
  <c r="AA62" i="39"/>
  <c r="AR194" i="1"/>
  <c r="AR195" i="1" s="1"/>
  <c r="AT189" i="1"/>
  <c r="AT190" i="1" s="1"/>
  <c r="I35" i="34"/>
  <c r="AV163" i="1"/>
  <c r="AU165" i="1"/>
  <c r="AV138" i="1"/>
  <c r="AU143" i="1"/>
  <c r="AU159" i="1" s="1"/>
  <c r="E39" i="34"/>
  <c r="AS184" i="1"/>
  <c r="D41" i="34"/>
  <c r="D40" i="34"/>
  <c r="J29" i="5"/>
  <c r="J30" i="5"/>
  <c r="BD27" i="1"/>
  <c r="BD124" i="1" s="1"/>
  <c r="BD125" i="1" s="1"/>
  <c r="BX34" i="1"/>
  <c r="BB34" i="1"/>
  <c r="BC28" i="1"/>
  <c r="BC34" i="1" s="1"/>
  <c r="BE25" i="1"/>
  <c r="BE24" i="1"/>
  <c r="BE23" i="1"/>
  <c r="AW175" i="1"/>
  <c r="AO62" i="39" l="1"/>
  <c r="AN62" i="39"/>
  <c r="G42" i="34"/>
  <c r="AW163" i="1"/>
  <c r="AV165" i="1"/>
  <c r="J35" i="34"/>
  <c r="AU189" i="1"/>
  <c r="AU190" i="1" s="1"/>
  <c r="AU176" i="1"/>
  <c r="AV143" i="1"/>
  <c r="AV159" i="1" s="1"/>
  <c r="AW138" i="1"/>
  <c r="AT184" i="1"/>
  <c r="F39" i="34"/>
  <c r="E41" i="34"/>
  <c r="E40" i="34"/>
  <c r="AS186" i="1"/>
  <c r="AS192" i="1" s="1"/>
  <c r="BE27" i="1"/>
  <c r="BE124" i="1" s="1"/>
  <c r="BE125" i="1" s="1"/>
  <c r="BC35" i="1"/>
  <c r="BD28" i="1"/>
  <c r="BD34" i="1" s="1"/>
  <c r="BF25" i="1"/>
  <c r="BF24" i="1"/>
  <c r="BF23" i="1"/>
  <c r="AX175" i="1"/>
  <c r="H42" i="34" l="1"/>
  <c r="AR196" i="1"/>
  <c r="D39" i="37"/>
  <c r="E39" i="37" s="1"/>
  <c r="AV189" i="1"/>
  <c r="AV190" i="1" s="1"/>
  <c r="K35" i="34"/>
  <c r="AV176" i="1"/>
  <c r="AX163" i="1"/>
  <c r="AY163" i="1" s="1"/>
  <c r="AW165" i="1"/>
  <c r="AW143" i="1"/>
  <c r="AW159" i="1" s="1"/>
  <c r="AX138" i="1"/>
  <c r="G39" i="34"/>
  <c r="AS194" i="1"/>
  <c r="AS195" i="1" s="1"/>
  <c r="F41" i="34"/>
  <c r="F40" i="34"/>
  <c r="AT186" i="1"/>
  <c r="AT192" i="1" s="1"/>
  <c r="AT106" i="1" s="1"/>
  <c r="AU160" i="1"/>
  <c r="AU184" i="1" s="1"/>
  <c r="BF27" i="1"/>
  <c r="BF124" i="1" s="1"/>
  <c r="BF125" i="1" s="1"/>
  <c r="BD35" i="1"/>
  <c r="BE28" i="1"/>
  <c r="BE34" i="1" s="1"/>
  <c r="BG24" i="1"/>
  <c r="BG23" i="1"/>
  <c r="BG25" i="1"/>
  <c r="AY175" i="1"/>
  <c r="AT118" i="1" l="1"/>
  <c r="AT121" i="1" s="1"/>
  <c r="AT178" i="1" s="1"/>
  <c r="I42" i="34"/>
  <c r="AW189" i="1"/>
  <c r="AW190" i="1" s="1"/>
  <c r="L35" i="34"/>
  <c r="AW176" i="1"/>
  <c r="AX165" i="1"/>
  <c r="AX143" i="1"/>
  <c r="AX159" i="1" s="1"/>
  <c r="AY138" i="1"/>
  <c r="AU186" i="1"/>
  <c r="AU192" i="1" s="1"/>
  <c r="J42" i="34" s="1"/>
  <c r="AU177" i="1"/>
  <c r="AV160" i="1"/>
  <c r="AV184" i="1" s="1"/>
  <c r="H39" i="34"/>
  <c r="AT194" i="1"/>
  <c r="AT195" i="1" s="1"/>
  <c r="AS196" i="1"/>
  <c r="G41" i="34"/>
  <c r="G40" i="34"/>
  <c r="BG27" i="1"/>
  <c r="BG124" i="1" s="1"/>
  <c r="BG125" i="1" s="1"/>
  <c r="BE35" i="1"/>
  <c r="BF28" i="1"/>
  <c r="BF34" i="1" s="1"/>
  <c r="BH25" i="1"/>
  <c r="BH23" i="1"/>
  <c r="BH24" i="1"/>
  <c r="AZ174" i="1"/>
  <c r="AU106" i="1" l="1"/>
  <c r="AZ163" i="1"/>
  <c r="AY165" i="1"/>
  <c r="N35" i="34" s="1"/>
  <c r="AX189" i="1"/>
  <c r="AX190" i="1" s="1"/>
  <c r="AX176" i="1"/>
  <c r="M35" i="34"/>
  <c r="AY143" i="1"/>
  <c r="AY159" i="1" s="1"/>
  <c r="AZ138" i="1"/>
  <c r="AW160" i="1"/>
  <c r="AW184" i="1" s="1"/>
  <c r="H41" i="34"/>
  <c r="H40" i="34"/>
  <c r="AV186" i="1"/>
  <c r="AV192" i="1" s="1"/>
  <c r="K42" i="34" s="1"/>
  <c r="AV177" i="1"/>
  <c r="I39" i="34"/>
  <c r="AU194" i="1"/>
  <c r="AU195" i="1" s="1"/>
  <c r="AT196" i="1"/>
  <c r="BH27" i="1"/>
  <c r="BH124" i="1" s="1"/>
  <c r="BH125" i="1" s="1"/>
  <c r="BF35" i="1"/>
  <c r="BG28" i="1"/>
  <c r="BG34" i="1" s="1"/>
  <c r="BI24" i="1"/>
  <c r="BI25" i="1"/>
  <c r="BI23" i="1"/>
  <c r="BA174" i="1"/>
  <c r="AV106" i="1" l="1"/>
  <c r="F39" i="37"/>
  <c r="G39" i="37" s="1"/>
  <c r="G50" i="5"/>
  <c r="AY189" i="1"/>
  <c r="AY190" i="1" s="1"/>
  <c r="AY176" i="1"/>
  <c r="BA163" i="1"/>
  <c r="AZ165" i="1"/>
  <c r="AZ143" i="1"/>
  <c r="BA138" i="1"/>
  <c r="I41" i="34"/>
  <c r="I40" i="34"/>
  <c r="AW186" i="1"/>
  <c r="AW192" i="1" s="1"/>
  <c r="AW177" i="1"/>
  <c r="J39" i="34"/>
  <c r="AV194" i="1"/>
  <c r="AV195" i="1" s="1"/>
  <c r="AU196" i="1"/>
  <c r="AX160" i="1"/>
  <c r="AX184" i="1" s="1"/>
  <c r="AU118" i="1"/>
  <c r="BI27" i="1"/>
  <c r="BI124" i="1" s="1"/>
  <c r="BI125" i="1" s="1"/>
  <c r="BG35" i="1"/>
  <c r="BH28" i="1"/>
  <c r="BH35" i="1" s="1"/>
  <c r="BJ23" i="1"/>
  <c r="BJ25" i="1"/>
  <c r="BJ24" i="1"/>
  <c r="BB174" i="1"/>
  <c r="AW106" i="1" l="1"/>
  <c r="L42" i="34"/>
  <c r="AU121" i="1"/>
  <c r="AU178" i="1" s="1"/>
  <c r="AZ189" i="1"/>
  <c r="AZ190" i="1" s="1"/>
  <c r="BB163" i="1"/>
  <c r="BA165" i="1"/>
  <c r="BB138" i="1"/>
  <c r="BA143" i="1"/>
  <c r="BH34" i="1"/>
  <c r="J41" i="34"/>
  <c r="J40" i="34"/>
  <c r="AV118" i="1"/>
  <c r="K39" i="34"/>
  <c r="AV196" i="1"/>
  <c r="AW194" i="1"/>
  <c r="AW195" i="1" s="1"/>
  <c r="AX186" i="1"/>
  <c r="AX192" i="1" s="1"/>
  <c r="M42" i="34" s="1"/>
  <c r="AX177" i="1"/>
  <c r="AY160" i="1"/>
  <c r="AY184" i="1" s="1"/>
  <c r="BJ27" i="1"/>
  <c r="BJ124" i="1" s="1"/>
  <c r="BJ125" i="1" s="1"/>
  <c r="BI28" i="1"/>
  <c r="BI35" i="1" s="1"/>
  <c r="BK25" i="1"/>
  <c r="BK23" i="1"/>
  <c r="BK24" i="1"/>
  <c r="BC174" i="1"/>
  <c r="AX106" i="1" l="1"/>
  <c r="AV121" i="1"/>
  <c r="AV178" i="1" s="1"/>
  <c r="BA189" i="1"/>
  <c r="BA190" i="1" s="1"/>
  <c r="BC163" i="1"/>
  <c r="BB165" i="1"/>
  <c r="BB143" i="1"/>
  <c r="BC138" i="1"/>
  <c r="L39" i="34"/>
  <c r="AX194" i="1"/>
  <c r="AX195" i="1" s="1"/>
  <c r="AW196" i="1"/>
  <c r="AY186" i="1"/>
  <c r="AY192" i="1" s="1"/>
  <c r="N42" i="34" s="1"/>
  <c r="AY177" i="1"/>
  <c r="K41" i="34"/>
  <c r="K40" i="34"/>
  <c r="AW118" i="1"/>
  <c r="BK27" i="1"/>
  <c r="BK124" i="1" s="1"/>
  <c r="BK125" i="1" s="1"/>
  <c r="BI34" i="1"/>
  <c r="BJ28" i="1"/>
  <c r="BJ34" i="1" s="1"/>
  <c r="BL25" i="1"/>
  <c r="BL24" i="1"/>
  <c r="BL23" i="1"/>
  <c r="BD174" i="1"/>
  <c r="AY106" i="1" l="1"/>
  <c r="H39" i="37"/>
  <c r="I39" i="37" s="1"/>
  <c r="AW121" i="1"/>
  <c r="AW178" i="1" s="1"/>
  <c r="BB189" i="1"/>
  <c r="BB190" i="1" s="1"/>
  <c r="BD163" i="1"/>
  <c r="BC165" i="1"/>
  <c r="BD138" i="1"/>
  <c r="BC143" i="1"/>
  <c r="AX118" i="1"/>
  <c r="L41" i="34"/>
  <c r="L40" i="34"/>
  <c r="M39" i="34"/>
  <c r="AX196" i="1"/>
  <c r="AY194" i="1"/>
  <c r="AY195" i="1" s="1"/>
  <c r="I23" i="5"/>
  <c r="BL27" i="1"/>
  <c r="BL124" i="1" s="1"/>
  <c r="BL125" i="1" s="1"/>
  <c r="H23" i="5"/>
  <c r="I24" i="5"/>
  <c r="H24" i="5"/>
  <c r="I25" i="5"/>
  <c r="H25" i="5"/>
  <c r="BJ35" i="1"/>
  <c r="BK28" i="1"/>
  <c r="BK35" i="1" s="1"/>
  <c r="BE174" i="1"/>
  <c r="AX121" i="1" l="1"/>
  <c r="AX178" i="1" s="1"/>
  <c r="BC189" i="1"/>
  <c r="BC190" i="1" s="1"/>
  <c r="BE163" i="1"/>
  <c r="BD165" i="1"/>
  <c r="BD143" i="1"/>
  <c r="BE138" i="1"/>
  <c r="AY118" i="1"/>
  <c r="G47" i="5"/>
  <c r="AY196" i="1"/>
  <c r="AZ194" i="1"/>
  <c r="N39" i="34"/>
  <c r="H31" i="5"/>
  <c r="H28" i="5"/>
  <c r="H27" i="5"/>
  <c r="I31" i="5"/>
  <c r="I27" i="5"/>
  <c r="I28" i="5"/>
  <c r="BK34" i="1"/>
  <c r="BL28" i="1"/>
  <c r="BL34" i="1" s="1"/>
  <c r="BF174" i="1"/>
  <c r="AY121" i="1" l="1"/>
  <c r="AY178" i="1" s="1"/>
  <c r="BD189" i="1"/>
  <c r="BD190" i="1" s="1"/>
  <c r="BF163" i="1"/>
  <c r="BE165" i="1"/>
  <c r="BE143" i="1"/>
  <c r="BF138" i="1"/>
  <c r="BL35" i="1"/>
  <c r="F91" i="5"/>
  <c r="F90" i="5"/>
  <c r="I29" i="5"/>
  <c r="H29" i="5"/>
  <c r="H30" i="5"/>
  <c r="I30" i="5"/>
  <c r="BG174" i="1"/>
  <c r="BE189" i="1" l="1"/>
  <c r="BE190" i="1" s="1"/>
  <c r="BG163" i="1"/>
  <c r="BF165" i="1"/>
  <c r="BF143" i="1"/>
  <c r="BG138" i="1"/>
  <c r="BH174" i="1"/>
  <c r="BF189" i="1" l="1"/>
  <c r="BF190" i="1" s="1"/>
  <c r="BH163" i="1"/>
  <c r="BG165" i="1"/>
  <c r="BG143" i="1"/>
  <c r="BH138" i="1"/>
  <c r="BI174" i="1"/>
  <c r="BG189" i="1" l="1"/>
  <c r="BG190" i="1" s="1"/>
  <c r="BI163" i="1"/>
  <c r="BH165" i="1"/>
  <c r="BH143" i="1"/>
  <c r="BI138" i="1"/>
  <c r="BJ174" i="1"/>
  <c r="BH189" i="1" l="1"/>
  <c r="BH190" i="1" s="1"/>
  <c r="BJ163" i="1"/>
  <c r="BI165" i="1"/>
  <c r="BJ138" i="1"/>
  <c r="BI143" i="1"/>
  <c r="BK174" i="1"/>
  <c r="BI189" i="1" l="1"/>
  <c r="BI190" i="1" s="1"/>
  <c r="BJ165" i="1"/>
  <c r="BK138" i="1"/>
  <c r="BJ143" i="1"/>
  <c r="BJ189" i="1" l="1"/>
  <c r="BJ190" i="1" s="1"/>
  <c r="BL138" i="1"/>
  <c r="BK143" i="1"/>
  <c r="BL143" i="1" l="1"/>
  <c r="BM138" i="1"/>
  <c r="BM143" i="1" l="1"/>
  <c r="BN138" i="1"/>
  <c r="BN143" i="1" l="1"/>
  <c r="BO138" i="1"/>
  <c r="BO143" i="1" l="1"/>
  <c r="BP138" i="1"/>
  <c r="BP143" i="1" l="1"/>
  <c r="BQ138" i="1"/>
  <c r="BQ143" i="1" l="1"/>
  <c r="BR138" i="1"/>
  <c r="BS138" i="1" l="1"/>
  <c r="BR143" i="1"/>
  <c r="BT138" i="1" l="1"/>
  <c r="BS143" i="1"/>
  <c r="BT143" i="1" l="1"/>
  <c r="BU138" i="1"/>
  <c r="BU143" i="1" l="1"/>
  <c r="BV138" i="1"/>
  <c r="BV143" i="1" l="1"/>
  <c r="BW138" i="1"/>
  <c r="BW143" i="1" l="1"/>
  <c r="BX138" i="1"/>
  <c r="BX143" i="1" l="1"/>
  <c r="BY138" i="1"/>
  <c r="BZ138" i="1" l="1"/>
  <c r="BY143" i="1"/>
  <c r="BZ143" i="1" l="1"/>
  <c r="CA138" i="1"/>
  <c r="CB138" i="1" l="1"/>
  <c r="CA143" i="1"/>
  <c r="CB143" i="1" l="1"/>
  <c r="CC138" i="1"/>
  <c r="CC143" i="1" l="1"/>
  <c r="CD138" i="1"/>
  <c r="CD143" i="1" l="1"/>
  <c r="CE138" i="1"/>
  <c r="CE143" i="1" l="1"/>
  <c r="CF138" i="1"/>
  <c r="CF143" i="1" l="1"/>
  <c r="CG138" i="1"/>
  <c r="CG143" i="1" l="1"/>
  <c r="CH138" i="1"/>
  <c r="CH143" i="1" l="1"/>
  <c r="CI138" i="1"/>
  <c r="CJ138" i="1" l="1"/>
  <c r="CI143" i="1"/>
  <c r="CJ143" i="1" l="1"/>
  <c r="CK138" i="1"/>
  <c r="CK143" i="1" l="1"/>
  <c r="CL138" i="1"/>
  <c r="CL143" i="1" l="1"/>
  <c r="CM138" i="1"/>
  <c r="CM143" i="1" l="1"/>
  <c r="CN138" i="1"/>
  <c r="CN143" i="1" l="1"/>
  <c r="CO138" i="1"/>
  <c r="CP138" i="1" l="1"/>
  <c r="CO143" i="1"/>
  <c r="CQ138" i="1" l="1"/>
  <c r="CP143" i="1"/>
  <c r="CR138" i="1" l="1"/>
  <c r="CQ143" i="1"/>
  <c r="CR143" i="1" l="1"/>
  <c r="CS138" i="1"/>
  <c r="CS143" i="1" l="1"/>
  <c r="CT138" i="1"/>
  <c r="CT143" i="1" l="1"/>
  <c r="CU138" i="1"/>
  <c r="CU143" i="1" l="1"/>
  <c r="CV138" i="1"/>
  <c r="CV143" i="1" l="1"/>
  <c r="CW138" i="1"/>
  <c r="CX138" i="1" l="1"/>
  <c r="CW143" i="1"/>
  <c r="CY138" i="1" l="1"/>
  <c r="CX143" i="1"/>
  <c r="CY143" i="1" l="1"/>
  <c r="CZ138" i="1"/>
  <c r="CZ143" i="1" l="1"/>
  <c r="DA138" i="1"/>
  <c r="DA143" i="1" l="1"/>
  <c r="DB138" i="1"/>
  <c r="DB143" i="1" l="1"/>
  <c r="DC138" i="1"/>
  <c r="DC143" i="1" l="1"/>
  <c r="DD138" i="1"/>
  <c r="DD143" i="1" l="1"/>
  <c r="DE138" i="1"/>
  <c r="DF138" i="1" l="1"/>
  <c r="DE143" i="1"/>
  <c r="DG138" i="1" l="1"/>
  <c r="DG143" i="1" s="1"/>
  <c r="DF143" i="1"/>
  <c r="AZ47" i="1" l="1"/>
  <c r="AZ48" i="1"/>
  <c r="AZ78" i="1" s="1"/>
  <c r="AZ79" i="1" l="1"/>
  <c r="AZ85" i="1" l="1"/>
  <c r="AZ131" i="1"/>
  <c r="AZ133" i="1" s="1"/>
  <c r="AZ159" i="1" s="1"/>
  <c r="AZ160" i="1" s="1"/>
  <c r="AZ184" i="1" s="1"/>
  <c r="AZ83" i="1"/>
  <c r="AZ82" i="1"/>
  <c r="AZ92" i="1" s="1"/>
  <c r="AZ175" i="1" l="1"/>
  <c r="AZ176" i="1" s="1"/>
  <c r="AZ177" i="1" s="1"/>
  <c r="AZ182" i="1"/>
  <c r="AZ186" i="1" s="1"/>
  <c r="AZ192" i="1" s="1"/>
  <c r="AZ84" i="1"/>
  <c r="AZ93" i="1"/>
  <c r="M40" i="34"/>
  <c r="M41" i="34"/>
  <c r="AZ106" i="1" l="1"/>
  <c r="AZ195" i="1"/>
  <c r="AZ196" i="1" l="1"/>
  <c r="BA194" i="1"/>
  <c r="AZ118" i="1"/>
  <c r="AZ121" i="1" s="1"/>
  <c r="AZ178" i="1" s="1"/>
  <c r="BT47" i="1"/>
  <c r="BT48" i="1" s="1"/>
  <c r="BT78" i="1"/>
  <c r="BT79" i="1" s="1"/>
  <c r="BG47" i="1"/>
  <c r="BG48" i="1"/>
  <c r="BG78" i="1" s="1"/>
  <c r="BG79" i="1" s="1"/>
  <c r="DE47" i="1"/>
  <c r="DE48" i="1" s="1"/>
  <c r="DE78" i="1" s="1"/>
  <c r="DE79" i="1" s="1"/>
  <c r="BR47" i="1"/>
  <c r="BR48" i="1" s="1"/>
  <c r="BR78" i="1" s="1"/>
  <c r="BR79" i="1" s="1"/>
  <c r="CD47" i="1"/>
  <c r="CD48" i="1" s="1"/>
  <c r="CD78" i="1" s="1"/>
  <c r="CD79" i="1" s="1"/>
  <c r="CZ47" i="1"/>
  <c r="CZ48" i="1" s="1"/>
  <c r="CZ78" i="1" s="1"/>
  <c r="CZ79" i="1" s="1"/>
  <c r="CR47" i="1"/>
  <c r="CR48" i="1"/>
  <c r="CR78" i="1" s="1"/>
  <c r="CR79" i="1" s="1"/>
  <c r="DB47" i="1"/>
  <c r="DB48" i="1"/>
  <c r="DB78" i="1" s="1"/>
  <c r="DB79" i="1" s="1"/>
  <c r="DB82" i="1" s="1"/>
  <c r="DB92" i="1" s="1"/>
  <c r="CA47" i="1"/>
  <c r="CA48" i="1" s="1"/>
  <c r="CA78" i="1" s="1"/>
  <c r="CA79" i="1" s="1"/>
  <c r="CB47" i="1"/>
  <c r="CB48" i="1"/>
  <c r="CB78" i="1" s="1"/>
  <c r="CB79" i="1" s="1"/>
  <c r="CK47" i="1"/>
  <c r="CK48" i="1" s="1"/>
  <c r="CK78" i="1" s="1"/>
  <c r="CK79" i="1" s="1"/>
  <c r="DA47" i="1"/>
  <c r="DA48" i="1" s="1"/>
  <c r="DA78" i="1" s="1"/>
  <c r="DA79" i="1" s="1"/>
  <c r="BV47" i="1"/>
  <c r="BV48" i="1" s="1"/>
  <c r="BV78" i="1" s="1"/>
  <c r="BV79" i="1" s="1"/>
  <c r="BV131" i="1" s="1"/>
  <c r="BV133" i="1" s="1"/>
  <c r="BV159" i="1" s="1"/>
  <c r="BV160" i="1" s="1"/>
  <c r="CS47" i="1"/>
  <c r="CS48" i="1" s="1"/>
  <c r="CS78" i="1" s="1"/>
  <c r="CS79" i="1" s="1"/>
  <c r="DG47" i="1"/>
  <c r="DG48" i="1" s="1"/>
  <c r="DG78" i="1" s="1"/>
  <c r="DG79" i="1" s="1"/>
  <c r="BN47" i="1"/>
  <c r="BN48" i="1" s="1"/>
  <c r="BN78" i="1" s="1"/>
  <c r="BN79" i="1" s="1"/>
  <c r="BJ47" i="1"/>
  <c r="BJ48" i="1" s="1"/>
  <c r="BJ78" i="1" s="1"/>
  <c r="BJ79" i="1" s="1"/>
  <c r="BC47" i="1"/>
  <c r="BC48" i="1" s="1"/>
  <c r="BC78" i="1" s="1"/>
  <c r="BC79" i="1" s="1"/>
  <c r="CG47" i="1"/>
  <c r="CG48" i="1" s="1"/>
  <c r="CG78" i="1" s="1"/>
  <c r="CG79" i="1" s="1"/>
  <c r="BQ47" i="1"/>
  <c r="BQ48" i="1" s="1"/>
  <c r="BQ78" i="1" s="1"/>
  <c r="BQ79" i="1" s="1"/>
  <c r="BQ131" i="1" s="1"/>
  <c r="BQ133" i="1" s="1"/>
  <c r="BQ159" i="1" s="1"/>
  <c r="BQ160" i="1" s="1"/>
  <c r="CN47" i="1"/>
  <c r="CN48" i="1" s="1"/>
  <c r="CN78" i="1" s="1"/>
  <c r="CN79" i="1" s="1"/>
  <c r="CT47" i="1"/>
  <c r="CT48" i="1"/>
  <c r="CT78" i="1" s="1"/>
  <c r="CT79" i="1" s="1"/>
  <c r="CM47" i="1"/>
  <c r="CM48" i="1" s="1"/>
  <c r="CM78" i="1" s="1"/>
  <c r="CM79" i="1" s="1"/>
  <c r="CM82" i="1" s="1"/>
  <c r="CM92" i="1" s="1"/>
  <c r="BL47" i="1"/>
  <c r="BL48" i="1"/>
  <c r="BL78" i="1" s="1"/>
  <c r="BO47" i="1"/>
  <c r="BO48" i="1" s="1"/>
  <c r="BO78" i="1" s="1"/>
  <c r="BO79" i="1" s="1"/>
  <c r="BM47" i="1"/>
  <c r="BM48" i="1" s="1"/>
  <c r="BM78" i="1" s="1"/>
  <c r="BM79" i="1" s="1"/>
  <c r="BM131" i="1" s="1"/>
  <c r="BM133" i="1" s="1"/>
  <c r="BM159" i="1" s="1"/>
  <c r="BM160" i="1" s="1"/>
  <c r="CO47" i="1"/>
  <c r="CO48" i="1" s="1"/>
  <c r="CO78" i="1" s="1"/>
  <c r="CO79" i="1" s="1"/>
  <c r="CC47" i="1"/>
  <c r="CC48" i="1"/>
  <c r="CC78" i="1" s="1"/>
  <c r="CC79" i="1" s="1"/>
  <c r="CC83" i="1" s="1"/>
  <c r="CP47" i="1"/>
  <c r="CP48" i="1" s="1"/>
  <c r="CP78" i="1" s="1"/>
  <c r="CP79" i="1" s="1"/>
  <c r="CP85" i="1" s="1"/>
  <c r="BE47" i="1"/>
  <c r="BE48" i="1" s="1"/>
  <c r="BE78" i="1" s="1"/>
  <c r="BE79" i="1" s="1"/>
  <c r="CW47" i="1"/>
  <c r="CW48" i="1" s="1"/>
  <c r="CW78" i="1" s="1"/>
  <c r="CW79" i="1" s="1"/>
  <c r="BS47" i="1"/>
  <c r="BS48" i="1" s="1"/>
  <c r="BS78" i="1" s="1"/>
  <c r="BS79" i="1" s="1"/>
  <c r="BS85" i="1" s="1"/>
  <c r="BY47" i="1"/>
  <c r="BY48" i="1"/>
  <c r="BY78" i="1" s="1"/>
  <c r="BW47" i="1"/>
  <c r="BW48" i="1" s="1"/>
  <c r="BW78" i="1" s="1"/>
  <c r="BW79" i="1" s="1"/>
  <c r="DC47" i="1"/>
  <c r="DC48" i="1" s="1"/>
  <c r="DC78" i="1" s="1"/>
  <c r="DC79" i="1" s="1"/>
  <c r="DC131" i="1" s="1"/>
  <c r="DC133" i="1" s="1"/>
  <c r="DC159" i="1" s="1"/>
  <c r="DC160" i="1" s="1"/>
  <c r="BH47" i="1"/>
  <c r="BH48" i="1" s="1"/>
  <c r="BH78" i="1" s="1"/>
  <c r="BH79" i="1" s="1"/>
  <c r="BH85" i="1" s="1"/>
  <c r="CE47" i="1"/>
  <c r="CE48" i="1" s="1"/>
  <c r="CE78" i="1" s="1"/>
  <c r="CE79" i="1" s="1"/>
  <c r="BD47" i="1"/>
  <c r="BD48" i="1" s="1"/>
  <c r="BD78" i="1" s="1"/>
  <c r="BD79" i="1" s="1"/>
  <c r="DF47" i="1"/>
  <c r="DF48" i="1" s="1"/>
  <c r="DF78" i="1" s="1"/>
  <c r="DF79" i="1" s="1"/>
  <c r="CF47" i="1"/>
  <c r="CF48" i="1" s="1"/>
  <c r="CF78" i="1" s="1"/>
  <c r="CF79" i="1" s="1"/>
  <c r="CF85" i="1" s="1"/>
  <c r="CJ47" i="1"/>
  <c r="CJ48" i="1" s="1"/>
  <c r="CJ78" i="1" s="1"/>
  <c r="CJ79" i="1" s="1"/>
  <c r="CL47" i="1"/>
  <c r="CL48" i="1" s="1"/>
  <c r="CL78" i="1" s="1"/>
  <c r="CL79" i="1" s="1"/>
  <c r="CI47" i="1"/>
  <c r="CI48" i="1" s="1"/>
  <c r="CI78" i="1" s="1"/>
  <c r="CI79" i="1" s="1"/>
  <c r="CY47" i="1"/>
  <c r="CY48" i="1" s="1"/>
  <c r="CY78" i="1" s="1"/>
  <c r="CY79" i="1" s="1"/>
  <c r="BK47" i="1"/>
  <c r="BK48" i="1" s="1"/>
  <c r="BK78" i="1" s="1"/>
  <c r="BK79" i="1" s="1"/>
  <c r="CH47" i="1"/>
  <c r="CH48" i="1" s="1"/>
  <c r="CH78" i="1" s="1"/>
  <c r="CH79" i="1" s="1"/>
  <c r="CH131" i="1" s="1"/>
  <c r="CH133" i="1" s="1"/>
  <c r="CH159" i="1" s="1"/>
  <c r="CH160" i="1" s="1"/>
  <c r="BX47" i="1"/>
  <c r="BX48" i="1" s="1"/>
  <c r="BX78" i="1" s="1"/>
  <c r="BX79" i="1" s="1"/>
  <c r="DD47" i="1"/>
  <c r="DD48" i="1" s="1"/>
  <c r="DD78" i="1" s="1"/>
  <c r="DD79" i="1" s="1"/>
  <c r="BZ47" i="1"/>
  <c r="BZ48" i="1" s="1"/>
  <c r="BZ78" i="1" s="1"/>
  <c r="BZ79" i="1" s="1"/>
  <c r="CV47" i="1"/>
  <c r="CV48" i="1" s="1"/>
  <c r="CV78" i="1" s="1"/>
  <c r="CQ47" i="1"/>
  <c r="CQ48" i="1" s="1"/>
  <c r="CQ78" i="1" s="1"/>
  <c r="CQ79" i="1" s="1"/>
  <c r="CU47" i="1"/>
  <c r="CU48" i="1" s="1"/>
  <c r="CU78" i="1" s="1"/>
  <c r="CU79" i="1" s="1"/>
  <c r="BF47" i="1"/>
  <c r="BF48" i="1"/>
  <c r="BF78" i="1" s="1"/>
  <c r="BF79" i="1" s="1"/>
  <c r="BF85" i="1" s="1"/>
  <c r="BP47" i="1"/>
  <c r="BP48" i="1" s="1"/>
  <c r="BP78" i="1" s="1"/>
  <c r="BP79" i="1" s="1"/>
  <c r="BA47" i="1"/>
  <c r="BA48" i="1" s="1"/>
  <c r="BA78" i="1" s="1"/>
  <c r="CX47" i="1"/>
  <c r="CX48" i="1" s="1"/>
  <c r="CX78" i="1" s="1"/>
  <c r="CX79" i="1" s="1"/>
  <c r="BB47" i="1"/>
  <c r="BB48" i="1" s="1"/>
  <c r="BB78" i="1" s="1"/>
  <c r="BB79" i="1" s="1"/>
  <c r="BU47" i="1"/>
  <c r="BU48" i="1" s="1"/>
  <c r="BU78" i="1" s="1"/>
  <c r="BU79" i="1" s="1"/>
  <c r="BI47" i="1"/>
  <c r="BI48" i="1" s="1"/>
  <c r="BI78" i="1" s="1"/>
  <c r="BI79" i="1" s="1"/>
  <c r="BI85" i="1" s="1"/>
  <c r="CM83" i="1" l="1"/>
  <c r="BF83" i="1"/>
  <c r="BF93" i="1" s="1"/>
  <c r="BM83" i="1"/>
  <c r="BK131" i="1"/>
  <c r="BK133" i="1" s="1"/>
  <c r="BK159" i="1" s="1"/>
  <c r="BK160" i="1" s="1"/>
  <c r="BK85" i="1"/>
  <c r="BK83" i="1"/>
  <c r="BK82" i="1"/>
  <c r="BK92" i="1" s="1"/>
  <c r="DF83" i="1"/>
  <c r="DF85" i="1"/>
  <c r="DF131" i="1"/>
  <c r="DF133" i="1" s="1"/>
  <c r="DF159" i="1" s="1"/>
  <c r="DF160" i="1" s="1"/>
  <c r="DF82" i="1"/>
  <c r="DF92" i="1" s="1"/>
  <c r="CL83" i="1"/>
  <c r="CL85" i="1"/>
  <c r="CL82" i="1"/>
  <c r="CL92" i="1" s="1"/>
  <c r="CL131" i="1"/>
  <c r="CL133" i="1" s="1"/>
  <c r="CL159" i="1" s="1"/>
  <c r="CL160" i="1" s="1"/>
  <c r="CW85" i="1"/>
  <c r="CW82" i="1"/>
  <c r="CW92" i="1" s="1"/>
  <c r="CW83" i="1"/>
  <c r="CW131" i="1"/>
  <c r="CW133" i="1" s="1"/>
  <c r="CW159" i="1" s="1"/>
  <c r="CW160" i="1" s="1"/>
  <c r="BU83" i="1"/>
  <c r="BU85" i="1"/>
  <c r="BU131" i="1"/>
  <c r="BU133" i="1" s="1"/>
  <c r="BU159" i="1" s="1"/>
  <c r="BU160" i="1" s="1"/>
  <c r="BV184" i="1" s="1"/>
  <c r="BU82" i="1"/>
  <c r="BU92" i="1" s="1"/>
  <c r="BZ82" i="1"/>
  <c r="BZ92" i="1" s="1"/>
  <c r="BZ131" i="1"/>
  <c r="BZ133" i="1" s="1"/>
  <c r="BZ159" i="1" s="1"/>
  <c r="BZ160" i="1" s="1"/>
  <c r="BZ83" i="1"/>
  <c r="BZ85" i="1"/>
  <c r="BY79" i="1"/>
  <c r="J35" i="5"/>
  <c r="J37" i="5" s="1"/>
  <c r="I35" i="5"/>
  <c r="I37" i="5" s="1"/>
  <c r="BL79" i="1"/>
  <c r="DD82" i="1"/>
  <c r="DD92" i="1" s="1"/>
  <c r="DD131" i="1"/>
  <c r="DD133" i="1" s="1"/>
  <c r="DD159" i="1" s="1"/>
  <c r="DD160" i="1" s="1"/>
  <c r="DD184" i="1" s="1"/>
  <c r="DD83" i="1"/>
  <c r="DD85" i="1"/>
  <c r="BF84" i="1"/>
  <c r="BD83" i="1"/>
  <c r="BD82" i="1"/>
  <c r="BD92" i="1" s="1"/>
  <c r="BD131" i="1"/>
  <c r="BD133" i="1" s="1"/>
  <c r="BD159" i="1" s="1"/>
  <c r="BD160" i="1" s="1"/>
  <c r="BD85" i="1"/>
  <c r="CU131" i="1"/>
  <c r="CU133" i="1" s="1"/>
  <c r="CU159" i="1" s="1"/>
  <c r="CU160" i="1" s="1"/>
  <c r="CU83" i="1"/>
  <c r="CU82" i="1"/>
  <c r="CU92" i="1" s="1"/>
  <c r="CU85" i="1"/>
  <c r="CH83" i="1"/>
  <c r="CH82" i="1"/>
  <c r="CH92" i="1" s="1"/>
  <c r="CH85" i="1"/>
  <c r="CJ85" i="1"/>
  <c r="CJ83" i="1"/>
  <c r="CJ131" i="1"/>
  <c r="CJ133" i="1" s="1"/>
  <c r="CJ159" i="1" s="1"/>
  <c r="CJ160" i="1" s="1"/>
  <c r="CJ82" i="1"/>
  <c r="CJ92" i="1" s="1"/>
  <c r="K35" i="5"/>
  <c r="K37" i="5" s="1"/>
  <c r="BH82" i="1"/>
  <c r="BH92" i="1" s="1"/>
  <c r="BH131" i="1"/>
  <c r="BH133" i="1" s="1"/>
  <c r="BH159" i="1" s="1"/>
  <c r="BH160" i="1" s="1"/>
  <c r="BH83" i="1"/>
  <c r="BB131" i="1"/>
  <c r="BB133" i="1" s="1"/>
  <c r="BB159" i="1" s="1"/>
  <c r="BB160" i="1" s="1"/>
  <c r="BB83" i="1"/>
  <c r="BB82" i="1"/>
  <c r="BB92" i="1" s="1"/>
  <c r="BB85" i="1"/>
  <c r="CY131" i="1"/>
  <c r="CY133" i="1" s="1"/>
  <c r="CY159" i="1" s="1"/>
  <c r="CY160" i="1" s="1"/>
  <c r="CY82" i="1"/>
  <c r="CY92" i="1" s="1"/>
  <c r="CY83" i="1"/>
  <c r="CY85" i="1"/>
  <c r="DB182" i="1"/>
  <c r="BI82" i="1"/>
  <c r="BI92" i="1" s="1"/>
  <c r="BI83" i="1"/>
  <c r="BI131" i="1"/>
  <c r="BI133" i="1" s="1"/>
  <c r="BI159" i="1" s="1"/>
  <c r="BI160" i="1" s="1"/>
  <c r="CP83" i="1"/>
  <c r="CP82" i="1"/>
  <c r="CP92" i="1" s="1"/>
  <c r="CP131" i="1"/>
  <c r="CP133" i="1" s="1"/>
  <c r="CP159" i="1" s="1"/>
  <c r="CP160" i="1" s="1"/>
  <c r="CM182" i="1"/>
  <c r="CF82" i="1"/>
  <c r="CF92" i="1" s="1"/>
  <c r="CF83" i="1"/>
  <c r="CF131" i="1"/>
  <c r="CF133" i="1" s="1"/>
  <c r="CF159" i="1" s="1"/>
  <c r="CF160" i="1" s="1"/>
  <c r="BS83" i="1"/>
  <c r="BS82" i="1"/>
  <c r="BS92" i="1" s="1"/>
  <c r="BS131" i="1"/>
  <c r="BS133" i="1" s="1"/>
  <c r="BS159" i="1" s="1"/>
  <c r="BS160" i="1" s="1"/>
  <c r="BE82" i="1"/>
  <c r="BE92" i="1" s="1"/>
  <c r="BE83" i="1"/>
  <c r="BE131" i="1"/>
  <c r="BE133" i="1" s="1"/>
  <c r="BE159" i="1" s="1"/>
  <c r="BE160" i="1" s="1"/>
  <c r="BE85" i="1"/>
  <c r="CQ83" i="1"/>
  <c r="CQ85" i="1"/>
  <c r="CQ131" i="1"/>
  <c r="CQ133" i="1" s="1"/>
  <c r="CQ159" i="1" s="1"/>
  <c r="CQ160" i="1" s="1"/>
  <c r="CQ82" i="1"/>
  <c r="CQ92" i="1" s="1"/>
  <c r="H35" i="5"/>
  <c r="H37" i="5" s="1"/>
  <c r="BA79" i="1"/>
  <c r="L35" i="5"/>
  <c r="L37" i="5" s="1"/>
  <c r="CV79" i="1"/>
  <c r="BX83" i="1"/>
  <c r="BX131" i="1"/>
  <c r="BX133" i="1" s="1"/>
  <c r="BX159" i="1" s="1"/>
  <c r="BX160" i="1" s="1"/>
  <c r="BX85" i="1"/>
  <c r="BX82" i="1"/>
  <c r="BX92" i="1" s="1"/>
  <c r="CI131" i="1"/>
  <c r="CI133" i="1" s="1"/>
  <c r="CI159" i="1" s="1"/>
  <c r="CI160" i="1" s="1"/>
  <c r="CI184" i="1" s="1"/>
  <c r="CI85" i="1"/>
  <c r="CI82" i="1"/>
  <c r="CI92" i="1" s="1"/>
  <c r="CI83" i="1"/>
  <c r="CC84" i="1"/>
  <c r="CC93" i="1"/>
  <c r="CT83" i="1"/>
  <c r="CT131" i="1"/>
  <c r="CT133" i="1" s="1"/>
  <c r="CT159" i="1" s="1"/>
  <c r="CT160" i="1" s="1"/>
  <c r="CT184" i="1" s="1"/>
  <c r="CT85" i="1"/>
  <c r="CT82" i="1"/>
  <c r="CT92" i="1" s="1"/>
  <c r="CS83" i="1"/>
  <c r="CS85" i="1"/>
  <c r="CS82" i="1"/>
  <c r="CS92" i="1" s="1"/>
  <c r="CS131" i="1"/>
  <c r="CS133" i="1" s="1"/>
  <c r="CS159" i="1" s="1"/>
  <c r="CS160" i="1" s="1"/>
  <c r="BP82" i="1"/>
  <c r="BP92" i="1" s="1"/>
  <c r="BP85" i="1"/>
  <c r="BP131" i="1"/>
  <c r="BP133" i="1" s="1"/>
  <c r="BP159" i="1" s="1"/>
  <c r="BP160" i="1" s="1"/>
  <c r="BP83" i="1"/>
  <c r="BF82" i="1"/>
  <c r="BF92" i="1" s="1"/>
  <c r="BF131" i="1"/>
  <c r="BF133" i="1" s="1"/>
  <c r="BF159" i="1" s="1"/>
  <c r="BF160" i="1" s="1"/>
  <c r="CX131" i="1"/>
  <c r="CX133" i="1" s="1"/>
  <c r="CX159" i="1" s="1"/>
  <c r="CX160" i="1" s="1"/>
  <c r="CX83" i="1"/>
  <c r="CX82" i="1"/>
  <c r="CX92" i="1" s="1"/>
  <c r="CX85" i="1"/>
  <c r="CE83" i="1"/>
  <c r="CE131" i="1"/>
  <c r="CE133" i="1" s="1"/>
  <c r="CE159" i="1" s="1"/>
  <c r="CE160" i="1" s="1"/>
  <c r="CE82" i="1"/>
  <c r="CE92" i="1" s="1"/>
  <c r="CE85" i="1"/>
  <c r="DC85" i="1"/>
  <c r="DC82" i="1"/>
  <c r="DC92" i="1" s="1"/>
  <c r="DC83" i="1"/>
  <c r="CN131" i="1"/>
  <c r="CN133" i="1" s="1"/>
  <c r="CN159" i="1" s="1"/>
  <c r="CN160" i="1" s="1"/>
  <c r="CN82" i="1"/>
  <c r="CN92" i="1" s="1"/>
  <c r="CN85" i="1"/>
  <c r="CN83" i="1"/>
  <c r="BC83" i="1"/>
  <c r="BC131" i="1"/>
  <c r="BC133" i="1" s="1"/>
  <c r="BC159" i="1" s="1"/>
  <c r="BC160" i="1" s="1"/>
  <c r="BC82" i="1"/>
  <c r="BC92" i="1" s="1"/>
  <c r="BC85" i="1"/>
  <c r="BO82" i="1"/>
  <c r="BO92" i="1" s="1"/>
  <c r="BO131" i="1"/>
  <c r="BO133" i="1" s="1"/>
  <c r="BO159" i="1" s="1"/>
  <c r="BO160" i="1" s="1"/>
  <c r="BO85" i="1"/>
  <c r="BO83" i="1"/>
  <c r="CG131" i="1"/>
  <c r="CG133" i="1" s="1"/>
  <c r="CG159" i="1" s="1"/>
  <c r="CG160" i="1" s="1"/>
  <c r="CG82" i="1"/>
  <c r="CG92" i="1" s="1"/>
  <c r="CG83" i="1"/>
  <c r="CA83" i="1"/>
  <c r="CA131" i="1"/>
  <c r="CA133" i="1" s="1"/>
  <c r="CA159" i="1" s="1"/>
  <c r="CA160" i="1" s="1"/>
  <c r="CA184" i="1" s="1"/>
  <c r="CA85" i="1"/>
  <c r="CA82" i="1"/>
  <c r="CA92" i="1" s="1"/>
  <c r="CZ85" i="1"/>
  <c r="CZ131" i="1"/>
  <c r="CZ133" i="1" s="1"/>
  <c r="CZ159" i="1" s="1"/>
  <c r="CZ160" i="1" s="1"/>
  <c r="CZ83" i="1"/>
  <c r="CZ82" i="1"/>
  <c r="CZ92" i="1" s="1"/>
  <c r="BN83" i="1"/>
  <c r="BN131" i="1"/>
  <c r="BN133" i="1" s="1"/>
  <c r="BN159" i="1" s="1"/>
  <c r="BN160" i="1" s="1"/>
  <c r="BN184" i="1" s="1"/>
  <c r="BN82" i="1"/>
  <c r="BN92" i="1" s="1"/>
  <c r="BN85" i="1"/>
  <c r="DB85" i="1"/>
  <c r="DB131" i="1"/>
  <c r="DB133" i="1" s="1"/>
  <c r="DB159" i="1" s="1"/>
  <c r="DB160" i="1" s="1"/>
  <c r="DB83" i="1"/>
  <c r="CD82" i="1"/>
  <c r="CD92" i="1" s="1"/>
  <c r="CD131" i="1"/>
  <c r="CD133" i="1" s="1"/>
  <c r="CD159" i="1" s="1"/>
  <c r="CD160" i="1" s="1"/>
  <c r="CD85" i="1"/>
  <c r="CD83" i="1"/>
  <c r="CM93" i="1"/>
  <c r="CM84" i="1"/>
  <c r="CK131" i="1"/>
  <c r="CK133" i="1" s="1"/>
  <c r="CK159" i="1" s="1"/>
  <c r="CK160" i="1" s="1"/>
  <c r="CK83" i="1"/>
  <c r="CK82" i="1"/>
  <c r="CK92" i="1" s="1"/>
  <c r="CK85" i="1"/>
  <c r="CB131" i="1"/>
  <c r="CB133" i="1" s="1"/>
  <c r="CB159" i="1" s="1"/>
  <c r="CB160" i="1" s="1"/>
  <c r="CB184" i="1" s="1"/>
  <c r="CB85" i="1"/>
  <c r="CB82" i="1"/>
  <c r="CB92" i="1" s="1"/>
  <c r="CB83" i="1"/>
  <c r="BW82" i="1"/>
  <c r="BW92" i="1" s="1"/>
  <c r="BW83" i="1"/>
  <c r="BW85" i="1"/>
  <c r="CO83" i="1"/>
  <c r="CO131" i="1"/>
  <c r="CO133" i="1" s="1"/>
  <c r="CO159" i="1" s="1"/>
  <c r="CO160" i="1" s="1"/>
  <c r="CO85" i="1"/>
  <c r="CO82" i="1"/>
  <c r="CO92" i="1" s="1"/>
  <c r="BW131" i="1"/>
  <c r="BW133" i="1" s="1"/>
  <c r="BW159" i="1" s="1"/>
  <c r="BW160" i="1" s="1"/>
  <c r="BW184" i="1" s="1"/>
  <c r="CC82" i="1"/>
  <c r="CC92" i="1" s="1"/>
  <c r="CC131" i="1"/>
  <c r="CC133" i="1" s="1"/>
  <c r="CC159" i="1" s="1"/>
  <c r="CC160" i="1" s="1"/>
  <c r="CC85" i="1"/>
  <c r="BM84" i="1"/>
  <c r="BM93" i="1"/>
  <c r="BJ85" i="1"/>
  <c r="BJ83" i="1"/>
  <c r="BJ82" i="1"/>
  <c r="BJ92" i="1" s="1"/>
  <c r="BJ131" i="1"/>
  <c r="BJ133" i="1" s="1"/>
  <c r="BJ159" i="1" s="1"/>
  <c r="BJ160" i="1" s="1"/>
  <c r="CR131" i="1"/>
  <c r="CR133" i="1" s="1"/>
  <c r="CR159" i="1" s="1"/>
  <c r="CR160" i="1" s="1"/>
  <c r="CR83" i="1"/>
  <c r="CR82" i="1"/>
  <c r="CR92" i="1" s="1"/>
  <c r="CR85" i="1"/>
  <c r="BM82" i="1"/>
  <c r="BM92" i="1" s="1"/>
  <c r="BQ82" i="1"/>
  <c r="BQ92" i="1" s="1"/>
  <c r="BQ85" i="1"/>
  <c r="BQ83" i="1"/>
  <c r="BM85" i="1"/>
  <c r="DA82" i="1"/>
  <c r="DA92" i="1" s="1"/>
  <c r="DA83" i="1"/>
  <c r="DA85" i="1"/>
  <c r="DA131" i="1"/>
  <c r="DA133" i="1" s="1"/>
  <c r="DA159" i="1" s="1"/>
  <c r="DA160" i="1" s="1"/>
  <c r="CM131" i="1"/>
  <c r="CM133" i="1" s="1"/>
  <c r="CM159" i="1" s="1"/>
  <c r="CM160" i="1" s="1"/>
  <c r="CM85" i="1"/>
  <c r="DG82" i="1"/>
  <c r="DG92" i="1" s="1"/>
  <c r="DG83" i="1"/>
  <c r="DG85" i="1"/>
  <c r="DG131" i="1"/>
  <c r="DG133" i="1" s="1"/>
  <c r="DG159" i="1" s="1"/>
  <c r="DG160" i="1" s="1"/>
  <c r="DG184" i="1" s="1"/>
  <c r="BV83" i="1"/>
  <c r="BV82" i="1"/>
  <c r="BV92" i="1" s="1"/>
  <c r="BV85" i="1"/>
  <c r="CG85" i="1"/>
  <c r="BT83" i="1"/>
  <c r="BT131" i="1"/>
  <c r="BT133" i="1" s="1"/>
  <c r="BT159" i="1" s="1"/>
  <c r="BT160" i="1" s="1"/>
  <c r="BT85" i="1"/>
  <c r="BT82" i="1"/>
  <c r="BT92" i="1" s="1"/>
  <c r="BR83" i="1"/>
  <c r="BR82" i="1"/>
  <c r="BR92" i="1" s="1"/>
  <c r="BR131" i="1"/>
  <c r="BR133" i="1" s="1"/>
  <c r="BR159" i="1" s="1"/>
  <c r="BR160" i="1" s="1"/>
  <c r="BR184" i="1" s="1"/>
  <c r="BR85" i="1"/>
  <c r="DE85" i="1"/>
  <c r="DE83" i="1"/>
  <c r="DE82" i="1"/>
  <c r="DE92" i="1" s="1"/>
  <c r="DE131" i="1"/>
  <c r="DE133" i="1" s="1"/>
  <c r="DE159" i="1" s="1"/>
  <c r="DE160" i="1" s="1"/>
  <c r="DE184" i="1" s="1"/>
  <c r="BG82" i="1"/>
  <c r="BG92" i="1" s="1"/>
  <c r="BG131" i="1"/>
  <c r="BG133" i="1" s="1"/>
  <c r="BG159" i="1" s="1"/>
  <c r="BG160" i="1" s="1"/>
  <c r="BG184" i="1" s="1"/>
  <c r="BG85" i="1"/>
  <c r="BG83" i="1"/>
  <c r="CK184" i="1" l="1"/>
  <c r="CG184" i="1"/>
  <c r="CX184" i="1"/>
  <c r="BJ184" i="1"/>
  <c r="CM184" i="1"/>
  <c r="CM186" i="1" s="1"/>
  <c r="CO184" i="1"/>
  <c r="BP184" i="1"/>
  <c r="CD184" i="1"/>
  <c r="CR184" i="1"/>
  <c r="BX184" i="1"/>
  <c r="CZ184" i="1"/>
  <c r="BQ184" i="1"/>
  <c r="CN184" i="1"/>
  <c r="BS184" i="1"/>
  <c r="BI184" i="1"/>
  <c r="BC184" i="1"/>
  <c r="CF184" i="1"/>
  <c r="DB184" i="1"/>
  <c r="DB186" i="1" s="1"/>
  <c r="BF184" i="1"/>
  <c r="BO182" i="1"/>
  <c r="CN182" i="1"/>
  <c r="CE93" i="1"/>
  <c r="CE84" i="1"/>
  <c r="H39" i="5"/>
  <c r="H40" i="5"/>
  <c r="H45" i="5" s="1"/>
  <c r="BE182" i="1"/>
  <c r="CJ84" i="1"/>
  <c r="CJ93" i="1"/>
  <c r="CU184" i="1"/>
  <c r="CW93" i="1"/>
  <c r="CW84" i="1"/>
  <c r="DF184" i="1"/>
  <c r="DA84" i="1"/>
  <c r="DA93" i="1"/>
  <c r="BN84" i="1"/>
  <c r="BN93" i="1"/>
  <c r="BZ182" i="1"/>
  <c r="CW182" i="1"/>
  <c r="DE93" i="1"/>
  <c r="DE84" i="1"/>
  <c r="BT184" i="1"/>
  <c r="DG93" i="1"/>
  <c r="DG84" i="1"/>
  <c r="DA182" i="1"/>
  <c r="CR84" i="1"/>
  <c r="CR93" i="1"/>
  <c r="CK182" i="1"/>
  <c r="CK186" i="1" s="1"/>
  <c r="CD182" i="1"/>
  <c r="CD186" i="1" s="1"/>
  <c r="CZ182" i="1"/>
  <c r="CG93" i="1"/>
  <c r="CG84" i="1"/>
  <c r="DC84" i="1"/>
  <c r="DC93" i="1"/>
  <c r="CX182" i="1"/>
  <c r="CX186" i="1" s="1"/>
  <c r="BP182" i="1"/>
  <c r="CT84" i="1"/>
  <c r="CT93" i="1"/>
  <c r="CQ184" i="1"/>
  <c r="BS182" i="1"/>
  <c r="CP182" i="1"/>
  <c r="CY93" i="1"/>
  <c r="CY84" i="1"/>
  <c r="BH84" i="1"/>
  <c r="BH93" i="1"/>
  <c r="BD184" i="1"/>
  <c r="BL131" i="1"/>
  <c r="BL133" i="1" s="1"/>
  <c r="BL159" i="1" s="1"/>
  <c r="BL160" i="1" s="1"/>
  <c r="BL83" i="1"/>
  <c r="BL82" i="1"/>
  <c r="BL92" i="1" s="1"/>
  <c r="BL85" i="1"/>
  <c r="CH184" i="1"/>
  <c r="DF93" i="1"/>
  <c r="DF84" i="1"/>
  <c r="CP184" i="1"/>
  <c r="CC184" i="1"/>
  <c r="BW84" i="1"/>
  <c r="BW93" i="1"/>
  <c r="CK84" i="1"/>
  <c r="CK93" i="1"/>
  <c r="DB84" i="1"/>
  <c r="DB93" i="1"/>
  <c r="CZ84" i="1"/>
  <c r="CZ93" i="1"/>
  <c r="CG182" i="1"/>
  <c r="CG186" i="1" s="1"/>
  <c r="BC182" i="1"/>
  <c r="DC182" i="1"/>
  <c r="CX93" i="1"/>
  <c r="CX84" i="1"/>
  <c r="CS184" i="1"/>
  <c r="BS84" i="1"/>
  <c r="BS93" i="1"/>
  <c r="CP84" i="1"/>
  <c r="CP93" i="1"/>
  <c r="CY182" i="1"/>
  <c r="BH184" i="1"/>
  <c r="CH182" i="1"/>
  <c r="CH186" i="1" s="1"/>
  <c r="BD182" i="1"/>
  <c r="I39" i="5"/>
  <c r="I40" i="5"/>
  <c r="I45" i="5" s="1"/>
  <c r="BU182" i="1"/>
  <c r="CL184" i="1"/>
  <c r="DC184" i="1"/>
  <c r="DE182" i="1"/>
  <c r="DE186" i="1" s="1"/>
  <c r="CA93" i="1"/>
  <c r="CA84" i="1"/>
  <c r="CQ182" i="1"/>
  <c r="BQ93" i="1"/>
  <c r="BQ84" i="1"/>
  <c r="CC182" i="1"/>
  <c r="CS182" i="1"/>
  <c r="CQ84" i="1"/>
  <c r="CQ93" i="1"/>
  <c r="CY184" i="1"/>
  <c r="BH182" i="1"/>
  <c r="CH84" i="1"/>
  <c r="CH93" i="1"/>
  <c r="BD84" i="1"/>
  <c r="BD93" i="1"/>
  <c r="J40" i="5"/>
  <c r="J45" i="5" s="1"/>
  <c r="J39" i="5"/>
  <c r="BU184" i="1"/>
  <c r="CL182" i="1"/>
  <c r="BK182" i="1"/>
  <c r="BT182" i="1"/>
  <c r="CR182" i="1"/>
  <c r="DG182" i="1"/>
  <c r="DG186" i="1" s="1"/>
  <c r="CB93" i="1"/>
  <c r="CB84" i="1"/>
  <c r="BC84" i="1"/>
  <c r="BC93" i="1"/>
  <c r="CI93" i="1"/>
  <c r="CI84" i="1"/>
  <c r="CV131" i="1"/>
  <c r="CV133" i="1" s="1"/>
  <c r="CV159" i="1" s="1"/>
  <c r="CV160" i="1" s="1"/>
  <c r="CV184" i="1" s="1"/>
  <c r="CV82" i="1"/>
  <c r="CV92" i="1" s="1"/>
  <c r="CV83" i="1"/>
  <c r="CV85" i="1"/>
  <c r="CF93" i="1"/>
  <c r="CF84" i="1"/>
  <c r="BI84" i="1"/>
  <c r="BI93" i="1"/>
  <c r="K40" i="5"/>
  <c r="K45" i="5" s="1"/>
  <c r="K39" i="5"/>
  <c r="BY82" i="1"/>
  <c r="BY92" i="1" s="1"/>
  <c r="BY83" i="1"/>
  <c r="BY131" i="1"/>
  <c r="BY133" i="1" s="1"/>
  <c r="BY159" i="1" s="1"/>
  <c r="BY160" i="1" s="1"/>
  <c r="BY184" i="1" s="1"/>
  <c r="BY85" i="1"/>
  <c r="BK84" i="1"/>
  <c r="BK93" i="1"/>
  <c r="CO93" i="1"/>
  <c r="CO84" i="1"/>
  <c r="DD182" i="1"/>
  <c r="DD186" i="1" s="1"/>
  <c r="BT93" i="1"/>
  <c r="BT84" i="1"/>
  <c r="BG84" i="1"/>
  <c r="BG93" i="1"/>
  <c r="BW182" i="1"/>
  <c r="BW186" i="1" s="1"/>
  <c r="BX84" i="1"/>
  <c r="BX93" i="1"/>
  <c r="BJ182" i="1"/>
  <c r="BJ186" i="1" s="1"/>
  <c r="BJ192" i="1" s="1"/>
  <c r="BO93" i="1"/>
  <c r="BO84" i="1"/>
  <c r="BR182" i="1"/>
  <c r="BR186" i="1" s="1"/>
  <c r="CO182" i="1"/>
  <c r="CN84" i="1"/>
  <c r="CN93" i="1"/>
  <c r="BF182" i="1"/>
  <c r="CI182" i="1"/>
  <c r="CI186" i="1" s="1"/>
  <c r="L40" i="5"/>
  <c r="L45" i="5" s="1"/>
  <c r="L39" i="5"/>
  <c r="BE184" i="1"/>
  <c r="CF182" i="1"/>
  <c r="BI182" i="1"/>
  <c r="BB182" i="1"/>
  <c r="CJ182" i="1"/>
  <c r="CJ175" i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U182" i="1"/>
  <c r="BU84" i="1"/>
  <c r="BU93" i="1"/>
  <c r="CL84" i="1"/>
  <c r="CL93" i="1"/>
  <c r="BX175" i="1"/>
  <c r="BX182" i="1"/>
  <c r="BV182" i="1"/>
  <c r="BV186" i="1" s="1"/>
  <c r="BQ182" i="1"/>
  <c r="BJ93" i="1"/>
  <c r="BJ84" i="1"/>
  <c r="CB182" i="1"/>
  <c r="CB186" i="1" s="1"/>
  <c r="CA182" i="1"/>
  <c r="CA186" i="1" s="1"/>
  <c r="CE182" i="1"/>
  <c r="CS93" i="1"/>
  <c r="CS84" i="1"/>
  <c r="BG182" i="1"/>
  <c r="BG186" i="1" s="1"/>
  <c r="BG192" i="1" s="1"/>
  <c r="BR84" i="1"/>
  <c r="BR93" i="1"/>
  <c r="BV93" i="1"/>
  <c r="BV84" i="1"/>
  <c r="DA184" i="1"/>
  <c r="BM182" i="1"/>
  <c r="CD93" i="1"/>
  <c r="CD84" i="1"/>
  <c r="BN182" i="1"/>
  <c r="BN186" i="1" s="1"/>
  <c r="BO184" i="1"/>
  <c r="CE184" i="1"/>
  <c r="BP93" i="1"/>
  <c r="BP84" i="1"/>
  <c r="CT182" i="1"/>
  <c r="CT186" i="1" s="1"/>
  <c r="BA131" i="1"/>
  <c r="BA133" i="1" s="1"/>
  <c r="BA159" i="1" s="1"/>
  <c r="BA160" i="1" s="1"/>
  <c r="BA184" i="1" s="1"/>
  <c r="BA85" i="1"/>
  <c r="BA83" i="1"/>
  <c r="BA82" i="1"/>
  <c r="BA92" i="1" s="1"/>
  <c r="BE84" i="1"/>
  <c r="BE93" i="1"/>
  <c r="BB84" i="1"/>
  <c r="BB93" i="1"/>
  <c r="CJ184" i="1"/>
  <c r="CU84" i="1"/>
  <c r="CU93" i="1"/>
  <c r="DD84" i="1"/>
  <c r="DD93" i="1"/>
  <c r="BZ84" i="1"/>
  <c r="BZ93" i="1"/>
  <c r="DF182" i="1"/>
  <c r="BK184" i="1"/>
  <c r="BP186" i="1" l="1"/>
  <c r="BI186" i="1"/>
  <c r="BI192" i="1" s="1"/>
  <c r="CF186" i="1"/>
  <c r="CO186" i="1"/>
  <c r="DF186" i="1"/>
  <c r="CR186" i="1"/>
  <c r="CQ186" i="1"/>
  <c r="CZ186" i="1"/>
  <c r="BF186" i="1"/>
  <c r="BF192" i="1" s="1"/>
  <c r="BX186" i="1"/>
  <c r="BQ186" i="1"/>
  <c r="CN186" i="1"/>
  <c r="CW184" i="1"/>
  <c r="CW186" i="1" s="1"/>
  <c r="CU186" i="1"/>
  <c r="BC186" i="1"/>
  <c r="BC192" i="1" s="1"/>
  <c r="CJ186" i="1"/>
  <c r="DC186" i="1"/>
  <c r="BZ184" i="1"/>
  <c r="BZ186" i="1" s="1"/>
  <c r="CP186" i="1"/>
  <c r="BT186" i="1"/>
  <c r="BU186" i="1"/>
  <c r="BS186" i="1"/>
  <c r="J41" i="5"/>
  <c r="J44" i="5"/>
  <c r="BL84" i="1"/>
  <c r="BL93" i="1"/>
  <c r="J49" i="5"/>
  <c r="I99" i="5"/>
  <c r="I100" i="5" s="1"/>
  <c r="I87" i="5"/>
  <c r="I98" i="5"/>
  <c r="BL184" i="1"/>
  <c r="BM184" i="1"/>
  <c r="BM186" i="1" s="1"/>
  <c r="H44" i="5"/>
  <c r="H41" i="5"/>
  <c r="H49" i="5"/>
  <c r="G99" i="5"/>
  <c r="G100" i="5" s="1"/>
  <c r="G98" i="5"/>
  <c r="G87" i="5"/>
  <c r="L44" i="5"/>
  <c r="L41" i="5"/>
  <c r="BY93" i="1"/>
  <c r="BY84" i="1"/>
  <c r="I49" i="5"/>
  <c r="H99" i="5"/>
  <c r="H100" i="5" s="1"/>
  <c r="H87" i="5"/>
  <c r="H98" i="5"/>
  <c r="CY186" i="1"/>
  <c r="K98" i="5"/>
  <c r="L49" i="5"/>
  <c r="K87" i="5"/>
  <c r="K99" i="5"/>
  <c r="K100" i="5" s="1"/>
  <c r="BY175" i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BY182" i="1"/>
  <c r="BY186" i="1" s="1"/>
  <c r="CV84" i="1"/>
  <c r="CV93" i="1"/>
  <c r="BK186" i="1"/>
  <c r="CS186" i="1"/>
  <c r="I44" i="5"/>
  <c r="I41" i="5"/>
  <c r="BB184" i="1"/>
  <c r="BB186" i="1" s="1"/>
  <c r="BB192" i="1" s="1"/>
  <c r="K41" i="5"/>
  <c r="K44" i="5"/>
  <c r="CV182" i="1"/>
  <c r="CV186" i="1" s="1"/>
  <c r="CV175" i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CL186" i="1"/>
  <c r="BA84" i="1"/>
  <c r="BA93" i="1"/>
  <c r="J98" i="5"/>
  <c r="K49" i="5"/>
  <c r="J87" i="5"/>
  <c r="J99" i="5"/>
  <c r="J100" i="5" s="1"/>
  <c r="BH186" i="1"/>
  <c r="BH192" i="1" s="1"/>
  <c r="CC186" i="1"/>
  <c r="BD186" i="1"/>
  <c r="BD192" i="1" s="1"/>
  <c r="BA175" i="1"/>
  <c r="BA182" i="1"/>
  <c r="BA186" i="1" s="1"/>
  <c r="BA192" i="1" s="1"/>
  <c r="N41" i="34"/>
  <c r="N40" i="34"/>
  <c r="CE186" i="1"/>
  <c r="BL175" i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L182" i="1"/>
  <c r="DA186" i="1"/>
  <c r="BE186" i="1"/>
  <c r="BE192" i="1" s="1"/>
  <c r="BO186" i="1"/>
  <c r="BL186" i="1" l="1"/>
  <c r="BA176" i="1"/>
  <c r="BA177" i="1" s="1"/>
  <c r="BB175" i="1"/>
  <c r="BK164" i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BK163" i="1"/>
  <c r="I46" i="5"/>
  <c r="I48" i="5"/>
  <c r="I51" i="5" s="1"/>
  <c r="M49" i="5"/>
  <c r="H101" i="5"/>
  <c r="H82" i="5"/>
  <c r="G101" i="5"/>
  <c r="G82" i="5"/>
  <c r="H46" i="5"/>
  <c r="H48" i="5"/>
  <c r="H51" i="5" s="1"/>
  <c r="K48" i="5"/>
  <c r="K51" i="5" s="1"/>
  <c r="K46" i="5"/>
  <c r="K101" i="5"/>
  <c r="K82" i="5"/>
  <c r="J46" i="5"/>
  <c r="J48" i="5"/>
  <c r="J51" i="5" s="1"/>
  <c r="BA195" i="1"/>
  <c r="BA106" i="1"/>
  <c r="J101" i="5"/>
  <c r="J82" i="5"/>
  <c r="L48" i="5"/>
  <c r="L51" i="5" s="1"/>
  <c r="L46" i="5"/>
  <c r="I101" i="5"/>
  <c r="I82" i="5"/>
  <c r="BK165" i="1" l="1"/>
  <c r="BL163" i="1"/>
  <c r="BA118" i="1"/>
  <c r="BA121" i="1" s="1"/>
  <c r="BA178" i="1" s="1"/>
  <c r="BB106" i="1"/>
  <c r="BB176" i="1"/>
  <c r="BB177" i="1" s="1"/>
  <c r="BC175" i="1"/>
  <c r="BA196" i="1"/>
  <c r="BB194" i="1"/>
  <c r="BB195" i="1" s="1"/>
  <c r="M48" i="5"/>
  <c r="M51" i="5" s="1"/>
  <c r="BC176" i="1" l="1"/>
  <c r="BC177" i="1" s="1"/>
  <c r="BD175" i="1"/>
  <c r="BB118" i="1"/>
  <c r="BB121" i="1" s="1"/>
  <c r="BB178" i="1" s="1"/>
  <c r="BC106" i="1"/>
  <c r="BL165" i="1"/>
  <c r="BL189" i="1" s="1"/>
  <c r="BL190" i="1" s="1"/>
  <c r="BL192" i="1" s="1"/>
  <c r="BM163" i="1"/>
  <c r="BC194" i="1"/>
  <c r="BC195" i="1" s="1"/>
  <c r="BB196" i="1"/>
  <c r="BK189" i="1"/>
  <c r="BK190" i="1" s="1"/>
  <c r="BK192" i="1" s="1"/>
  <c r="H50" i="5"/>
  <c r="BC118" i="1" l="1"/>
  <c r="BC121" i="1" s="1"/>
  <c r="BC178" i="1" s="1"/>
  <c r="BD106" i="1"/>
  <c r="BM165" i="1"/>
  <c r="BM189" i="1" s="1"/>
  <c r="BM190" i="1" s="1"/>
  <c r="BM192" i="1" s="1"/>
  <c r="BN163" i="1"/>
  <c r="BD176" i="1"/>
  <c r="BD177" i="1" s="1"/>
  <c r="BE175" i="1"/>
  <c r="BC196" i="1"/>
  <c r="BD194" i="1"/>
  <c r="BD195" i="1" s="1"/>
  <c r="BE194" i="1" l="1"/>
  <c r="BE195" i="1" s="1"/>
  <c r="BD196" i="1"/>
  <c r="BD118" i="1"/>
  <c r="BD121" i="1" s="1"/>
  <c r="BD178" i="1" s="1"/>
  <c r="BE106" i="1"/>
  <c r="BN165" i="1"/>
  <c r="BN189" i="1" s="1"/>
  <c r="BN190" i="1" s="1"/>
  <c r="BN192" i="1" s="1"/>
  <c r="BO163" i="1"/>
  <c r="BE176" i="1"/>
  <c r="BE177" i="1" s="1"/>
  <c r="BF175" i="1"/>
  <c r="BO165" i="1" l="1"/>
  <c r="BO189" i="1" s="1"/>
  <c r="BO190" i="1" s="1"/>
  <c r="BO192" i="1" s="1"/>
  <c r="BP163" i="1"/>
  <c r="BE118" i="1"/>
  <c r="BE121" i="1" s="1"/>
  <c r="BE178" i="1" s="1"/>
  <c r="BF106" i="1"/>
  <c r="BF176" i="1"/>
  <c r="BF177" i="1" s="1"/>
  <c r="BG175" i="1"/>
  <c r="BE196" i="1"/>
  <c r="BF194" i="1"/>
  <c r="BF195" i="1" s="1"/>
  <c r="BG176" i="1" l="1"/>
  <c r="BG177" i="1" s="1"/>
  <c r="BH175" i="1"/>
  <c r="BF118" i="1"/>
  <c r="BF121" i="1" s="1"/>
  <c r="BF178" i="1" s="1"/>
  <c r="BG106" i="1"/>
  <c r="BP165" i="1"/>
  <c r="BP189" i="1" s="1"/>
  <c r="BP190" i="1" s="1"/>
  <c r="BP192" i="1" s="1"/>
  <c r="BQ163" i="1"/>
  <c r="BF196" i="1"/>
  <c r="BG194" i="1"/>
  <c r="BG195" i="1" s="1"/>
  <c r="BQ165" i="1" l="1"/>
  <c r="BQ189" i="1" s="1"/>
  <c r="BQ190" i="1" s="1"/>
  <c r="BQ192" i="1" s="1"/>
  <c r="BR163" i="1"/>
  <c r="BG118" i="1"/>
  <c r="BG121" i="1" s="1"/>
  <c r="BG178" i="1" s="1"/>
  <c r="BH106" i="1"/>
  <c r="BG196" i="1"/>
  <c r="BH194" i="1"/>
  <c r="BH195" i="1" s="1"/>
  <c r="BH176" i="1"/>
  <c r="BH177" i="1" s="1"/>
  <c r="BI175" i="1"/>
  <c r="BH196" i="1" l="1"/>
  <c r="BI194" i="1"/>
  <c r="BI195" i="1" s="1"/>
  <c r="BH118" i="1"/>
  <c r="BH121" i="1" s="1"/>
  <c r="BH178" i="1" s="1"/>
  <c r="BI106" i="1"/>
  <c r="BR165" i="1"/>
  <c r="BR189" i="1" s="1"/>
  <c r="BR190" i="1" s="1"/>
  <c r="BR192" i="1" s="1"/>
  <c r="BS163" i="1"/>
  <c r="BI176" i="1"/>
  <c r="BI177" i="1" s="1"/>
  <c r="BJ175" i="1"/>
  <c r="BS165" i="1" l="1"/>
  <c r="BS189" i="1" s="1"/>
  <c r="BS190" i="1" s="1"/>
  <c r="BS192" i="1" s="1"/>
  <c r="BT163" i="1"/>
  <c r="BI118" i="1"/>
  <c r="BI121" i="1" s="1"/>
  <c r="BI178" i="1" s="1"/>
  <c r="BJ106" i="1"/>
  <c r="BJ176" i="1"/>
  <c r="BJ177" i="1" s="1"/>
  <c r="BK175" i="1"/>
  <c r="BI196" i="1"/>
  <c r="BJ194" i="1"/>
  <c r="BJ195" i="1" s="1"/>
  <c r="BJ118" i="1" l="1"/>
  <c r="BJ121" i="1" s="1"/>
  <c r="BJ178" i="1" s="1"/>
  <c r="BK106" i="1"/>
  <c r="BT165" i="1"/>
  <c r="BT189" i="1" s="1"/>
  <c r="BT190" i="1" s="1"/>
  <c r="BT192" i="1" s="1"/>
  <c r="BU163" i="1"/>
  <c r="BK176" i="1"/>
  <c r="BK177" i="1" s="1"/>
  <c r="BL174" i="1"/>
  <c r="BJ196" i="1"/>
  <c r="BK194" i="1"/>
  <c r="BK195" i="1" s="1"/>
  <c r="BU165" i="1" l="1"/>
  <c r="BU189" i="1" s="1"/>
  <c r="BU190" i="1" s="1"/>
  <c r="BU192" i="1" s="1"/>
  <c r="BV163" i="1"/>
  <c r="BK118" i="1"/>
  <c r="BK121" i="1" s="1"/>
  <c r="BK178" i="1" s="1"/>
  <c r="BL106" i="1"/>
  <c r="BL176" i="1"/>
  <c r="BL177" i="1" s="1"/>
  <c r="BM174" i="1"/>
  <c r="BL194" i="1"/>
  <c r="BL195" i="1" s="1"/>
  <c r="BK196" i="1"/>
  <c r="H47" i="5"/>
  <c r="BM176" i="1" l="1"/>
  <c r="BM177" i="1" s="1"/>
  <c r="BN174" i="1"/>
  <c r="BL118" i="1"/>
  <c r="BL121" i="1" s="1"/>
  <c r="BL178" i="1" s="1"/>
  <c r="BM106" i="1"/>
  <c r="BV165" i="1"/>
  <c r="BV189" i="1" s="1"/>
  <c r="BV190" i="1" s="1"/>
  <c r="BV192" i="1" s="1"/>
  <c r="BW163" i="1"/>
  <c r="G91" i="5"/>
  <c r="G90" i="5"/>
  <c r="BL196" i="1"/>
  <c r="BM194" i="1"/>
  <c r="BM195" i="1" s="1"/>
  <c r="BW165" i="1" l="1"/>
  <c r="BX163" i="1"/>
  <c r="BM118" i="1"/>
  <c r="BM121" i="1" s="1"/>
  <c r="BM178" i="1" s="1"/>
  <c r="BN106" i="1"/>
  <c r="BM196" i="1"/>
  <c r="BN194" i="1"/>
  <c r="BN195" i="1" s="1"/>
  <c r="BN176" i="1"/>
  <c r="BN177" i="1" s="1"/>
  <c r="BO174" i="1"/>
  <c r="BN118" i="1" l="1"/>
  <c r="BN121" i="1" s="1"/>
  <c r="BN178" i="1" s="1"/>
  <c r="BO106" i="1"/>
  <c r="BN196" i="1"/>
  <c r="BO194" i="1"/>
  <c r="BO195" i="1" s="1"/>
  <c r="BY163" i="1"/>
  <c r="BX165" i="1"/>
  <c r="BX189" i="1" s="1"/>
  <c r="BX190" i="1" s="1"/>
  <c r="BX192" i="1" s="1"/>
  <c r="BO176" i="1"/>
  <c r="BO177" i="1" s="1"/>
  <c r="BP174" i="1"/>
  <c r="BW189" i="1"/>
  <c r="BW190" i="1" s="1"/>
  <c r="BW192" i="1" s="1"/>
  <c r="I50" i="5"/>
  <c r="BY165" i="1" l="1"/>
  <c r="BY189" i="1" s="1"/>
  <c r="BY190" i="1" s="1"/>
  <c r="BY192" i="1" s="1"/>
  <c r="BZ163" i="1"/>
  <c r="BO196" i="1"/>
  <c r="BP194" i="1"/>
  <c r="BP195" i="1" s="1"/>
  <c r="BO118" i="1"/>
  <c r="BO121" i="1" s="1"/>
  <c r="BO178" i="1" s="1"/>
  <c r="BP106" i="1"/>
  <c r="BP176" i="1"/>
  <c r="BP177" i="1" s="1"/>
  <c r="BQ174" i="1"/>
  <c r="BP118" i="1" l="1"/>
  <c r="BP121" i="1" s="1"/>
  <c r="BP178" i="1" s="1"/>
  <c r="BQ106" i="1"/>
  <c r="BP196" i="1"/>
  <c r="BQ194" i="1"/>
  <c r="BQ195" i="1" s="1"/>
  <c r="BQ176" i="1"/>
  <c r="BQ177" i="1" s="1"/>
  <c r="BR174" i="1"/>
  <c r="BZ165" i="1"/>
  <c r="BZ189" i="1" s="1"/>
  <c r="BZ190" i="1" s="1"/>
  <c r="BZ192" i="1" s="1"/>
  <c r="CA163" i="1"/>
  <c r="BR176" i="1" l="1"/>
  <c r="BR177" i="1" s="1"/>
  <c r="BS174" i="1"/>
  <c r="BQ196" i="1"/>
  <c r="BR194" i="1"/>
  <c r="BR195" i="1" s="1"/>
  <c r="BQ118" i="1"/>
  <c r="BQ121" i="1" s="1"/>
  <c r="BQ178" i="1" s="1"/>
  <c r="BR106" i="1"/>
  <c r="CA165" i="1"/>
  <c r="CA189" i="1" s="1"/>
  <c r="CA190" i="1" s="1"/>
  <c r="CA192" i="1" s="1"/>
  <c r="CB163" i="1"/>
  <c r="BR118" i="1" l="1"/>
  <c r="BR121" i="1" s="1"/>
  <c r="BR178" i="1" s="1"/>
  <c r="BS106" i="1"/>
  <c r="BR196" i="1"/>
  <c r="BS194" i="1"/>
  <c r="BS195" i="1" s="1"/>
  <c r="CB165" i="1"/>
  <c r="CB189" i="1" s="1"/>
  <c r="CB190" i="1" s="1"/>
  <c r="CB192" i="1" s="1"/>
  <c r="CC163" i="1"/>
  <c r="BT174" i="1"/>
  <c r="BS176" i="1"/>
  <c r="BS177" i="1" s="1"/>
  <c r="BT176" i="1" l="1"/>
  <c r="BT177" i="1" s="1"/>
  <c r="BU174" i="1"/>
  <c r="BS118" i="1"/>
  <c r="BS121" i="1" s="1"/>
  <c r="BS178" i="1" s="1"/>
  <c r="BT106" i="1"/>
  <c r="CC165" i="1"/>
  <c r="CC189" i="1" s="1"/>
  <c r="CC190" i="1" s="1"/>
  <c r="CC192" i="1" s="1"/>
  <c r="CD163" i="1"/>
  <c r="BS196" i="1"/>
  <c r="BT194" i="1"/>
  <c r="BT195" i="1" s="1"/>
  <c r="CD165" i="1" l="1"/>
  <c r="CD189" i="1" s="1"/>
  <c r="CD190" i="1" s="1"/>
  <c r="CD192" i="1" s="1"/>
  <c r="CE163" i="1"/>
  <c r="BU106" i="1"/>
  <c r="BT118" i="1"/>
  <c r="BT121" i="1" s="1"/>
  <c r="BT178" i="1" s="1"/>
  <c r="BU176" i="1"/>
  <c r="BU177" i="1" s="1"/>
  <c r="BV174" i="1"/>
  <c r="BT196" i="1"/>
  <c r="BU194" i="1"/>
  <c r="BU195" i="1" s="1"/>
  <c r="BV176" i="1" l="1"/>
  <c r="BV177" i="1" s="1"/>
  <c r="BW174" i="1"/>
  <c r="BU118" i="1"/>
  <c r="BU121" i="1" s="1"/>
  <c r="BU178" i="1" s="1"/>
  <c r="BV106" i="1"/>
  <c r="CE165" i="1"/>
  <c r="CE189" i="1" s="1"/>
  <c r="CE190" i="1" s="1"/>
  <c r="CE192" i="1" s="1"/>
  <c r="CF163" i="1"/>
  <c r="BU196" i="1"/>
  <c r="BV194" i="1"/>
  <c r="BV195" i="1" s="1"/>
  <c r="BV118" i="1" l="1"/>
  <c r="BV121" i="1" s="1"/>
  <c r="BV178" i="1" s="1"/>
  <c r="BW106" i="1"/>
  <c r="CF165" i="1"/>
  <c r="CF189" i="1" s="1"/>
  <c r="CF190" i="1" s="1"/>
  <c r="CF192" i="1" s="1"/>
  <c r="CG163" i="1"/>
  <c r="BW176" i="1"/>
  <c r="BW177" i="1" s="1"/>
  <c r="BX174" i="1"/>
  <c r="BV196" i="1"/>
  <c r="BW194" i="1"/>
  <c r="BW195" i="1" s="1"/>
  <c r="CG165" i="1" l="1"/>
  <c r="CG189" i="1" s="1"/>
  <c r="CG190" i="1" s="1"/>
  <c r="CG192" i="1" s="1"/>
  <c r="CH163" i="1"/>
  <c r="BX176" i="1"/>
  <c r="BX177" i="1" s="1"/>
  <c r="BY174" i="1"/>
  <c r="BW118" i="1"/>
  <c r="BW121" i="1" s="1"/>
  <c r="BW178" i="1" s="1"/>
  <c r="BX106" i="1"/>
  <c r="I47" i="5"/>
  <c r="BW196" i="1"/>
  <c r="BX194" i="1"/>
  <c r="BX195" i="1" s="1"/>
  <c r="BX196" i="1" l="1"/>
  <c r="J47" i="5"/>
  <c r="BY194" i="1"/>
  <c r="BY195" i="1" s="1"/>
  <c r="BY176" i="1"/>
  <c r="BY177" i="1" s="1"/>
  <c r="BZ174" i="1"/>
  <c r="CH165" i="1"/>
  <c r="CH189" i="1" s="1"/>
  <c r="CH190" i="1" s="1"/>
  <c r="CH192" i="1" s="1"/>
  <c r="CI163" i="1"/>
  <c r="BX118" i="1"/>
  <c r="BX121" i="1" s="1"/>
  <c r="BX178" i="1" s="1"/>
  <c r="BY106" i="1"/>
  <c r="H91" i="5"/>
  <c r="H90" i="5"/>
  <c r="BZ176" i="1" l="1"/>
  <c r="BZ177" i="1" s="1"/>
  <c r="CA174" i="1"/>
  <c r="BY118" i="1"/>
  <c r="BY121" i="1" s="1"/>
  <c r="BY178" i="1" s="1"/>
  <c r="BZ106" i="1"/>
  <c r="CI165" i="1"/>
  <c r="CJ163" i="1"/>
  <c r="BY196" i="1"/>
  <c r="K47" i="5"/>
  <c r="BZ194" i="1"/>
  <c r="BZ195" i="1" s="1"/>
  <c r="I91" i="5"/>
  <c r="I90" i="5"/>
  <c r="CJ165" i="1" l="1"/>
  <c r="CJ189" i="1" s="1"/>
  <c r="CJ190" i="1" s="1"/>
  <c r="CJ192" i="1" s="1"/>
  <c r="CK163" i="1"/>
  <c r="CI189" i="1"/>
  <c r="CI190" i="1" s="1"/>
  <c r="CI192" i="1" s="1"/>
  <c r="J50" i="5"/>
  <c r="BZ118" i="1"/>
  <c r="BZ121" i="1" s="1"/>
  <c r="BZ178" i="1" s="1"/>
  <c r="CA106" i="1"/>
  <c r="L47" i="5"/>
  <c r="BZ196" i="1"/>
  <c r="CA194" i="1"/>
  <c r="CA195" i="1" s="1"/>
  <c r="J91" i="5"/>
  <c r="J90" i="5"/>
  <c r="CA176" i="1"/>
  <c r="CA177" i="1" s="1"/>
  <c r="CB174" i="1"/>
  <c r="CA118" i="1" l="1"/>
  <c r="CA121" i="1" s="1"/>
  <c r="CA178" i="1" s="1"/>
  <c r="CB106" i="1"/>
  <c r="K91" i="5"/>
  <c r="K90" i="5"/>
  <c r="CB176" i="1"/>
  <c r="CB177" i="1" s="1"/>
  <c r="CC174" i="1"/>
  <c r="CA196" i="1"/>
  <c r="CB194" i="1"/>
  <c r="CB195" i="1" s="1"/>
  <c r="CK165" i="1"/>
  <c r="CK189" i="1" s="1"/>
  <c r="CK190" i="1" s="1"/>
  <c r="CK192" i="1" s="1"/>
  <c r="CL163" i="1"/>
  <c r="CC176" i="1" l="1"/>
  <c r="CC177" i="1" s="1"/>
  <c r="CD174" i="1"/>
  <c r="CL165" i="1"/>
  <c r="CL189" i="1" s="1"/>
  <c r="CL190" i="1" s="1"/>
  <c r="CL192" i="1" s="1"/>
  <c r="CM163" i="1"/>
  <c r="CB118" i="1"/>
  <c r="CB121" i="1" s="1"/>
  <c r="CB178" i="1" s="1"/>
  <c r="CC106" i="1"/>
  <c r="CB196" i="1"/>
  <c r="CC194" i="1"/>
  <c r="CC195" i="1" s="1"/>
  <c r="CC118" i="1" l="1"/>
  <c r="CC121" i="1" s="1"/>
  <c r="CC178" i="1" s="1"/>
  <c r="CD106" i="1"/>
  <c r="CM165" i="1"/>
  <c r="CM189" i="1" s="1"/>
  <c r="CM190" i="1" s="1"/>
  <c r="CM192" i="1" s="1"/>
  <c r="CN163" i="1"/>
  <c r="CC196" i="1"/>
  <c r="CD194" i="1"/>
  <c r="CD195" i="1" s="1"/>
  <c r="CD176" i="1"/>
  <c r="CD177" i="1" s="1"/>
  <c r="CE174" i="1"/>
  <c r="CN165" i="1" l="1"/>
  <c r="CN189" i="1" s="1"/>
  <c r="CN190" i="1" s="1"/>
  <c r="CN192" i="1" s="1"/>
  <c r="CO163" i="1"/>
  <c r="CD196" i="1"/>
  <c r="CE194" i="1"/>
  <c r="CE195" i="1" s="1"/>
  <c r="CD118" i="1"/>
  <c r="CD121" i="1" s="1"/>
  <c r="CD178" i="1" s="1"/>
  <c r="CE106" i="1"/>
  <c r="CE176" i="1"/>
  <c r="CE177" i="1" s="1"/>
  <c r="CF174" i="1"/>
  <c r="CE118" i="1" l="1"/>
  <c r="CE121" i="1" s="1"/>
  <c r="CE178" i="1" s="1"/>
  <c r="CF106" i="1"/>
  <c r="CF176" i="1"/>
  <c r="CF177" i="1" s="1"/>
  <c r="CG174" i="1"/>
  <c r="CF194" i="1"/>
  <c r="CF195" i="1" s="1"/>
  <c r="CE196" i="1"/>
  <c r="CO165" i="1"/>
  <c r="CO189" i="1" s="1"/>
  <c r="CO190" i="1" s="1"/>
  <c r="CO192" i="1" s="1"/>
  <c r="CP163" i="1"/>
  <c r="CF196" i="1" l="1"/>
  <c r="CG194" i="1"/>
  <c r="CG195" i="1" s="1"/>
  <c r="CG176" i="1"/>
  <c r="CG177" i="1" s="1"/>
  <c r="CH174" i="1"/>
  <c r="CG106" i="1"/>
  <c r="CF118" i="1"/>
  <c r="CF121" i="1" s="1"/>
  <c r="CF178" i="1" s="1"/>
  <c r="CP165" i="1"/>
  <c r="CP189" i="1" s="1"/>
  <c r="CP190" i="1" s="1"/>
  <c r="CP192" i="1" s="1"/>
  <c r="CQ163" i="1"/>
  <c r="CH176" i="1" l="1"/>
  <c r="CH177" i="1" s="1"/>
  <c r="CI174" i="1"/>
  <c r="CG196" i="1"/>
  <c r="CH194" i="1"/>
  <c r="CH195" i="1" s="1"/>
  <c r="CG118" i="1"/>
  <c r="CG121" i="1" s="1"/>
  <c r="CG178" i="1" s="1"/>
  <c r="CH106" i="1"/>
  <c r="CQ165" i="1"/>
  <c r="CQ189" i="1" s="1"/>
  <c r="CQ190" i="1" s="1"/>
  <c r="CQ192" i="1" s="1"/>
  <c r="CR163" i="1"/>
  <c r="CH118" i="1" l="1"/>
  <c r="CH121" i="1" s="1"/>
  <c r="CH178" i="1" s="1"/>
  <c r="CI106" i="1"/>
  <c r="CH196" i="1"/>
  <c r="CI194" i="1"/>
  <c r="CI195" i="1" s="1"/>
  <c r="CR165" i="1"/>
  <c r="CR189" i="1" s="1"/>
  <c r="CR190" i="1" s="1"/>
  <c r="CR192" i="1" s="1"/>
  <c r="CS163" i="1"/>
  <c r="CI176" i="1"/>
  <c r="CI177" i="1" s="1"/>
  <c r="CJ174" i="1"/>
  <c r="CT163" i="1" l="1"/>
  <c r="CS165" i="1"/>
  <c r="CS189" i="1" s="1"/>
  <c r="CS190" i="1" s="1"/>
  <c r="CS192" i="1" s="1"/>
  <c r="CI196" i="1"/>
  <c r="CJ194" i="1"/>
  <c r="CJ195" i="1" s="1"/>
  <c r="CI118" i="1"/>
  <c r="CI121" i="1" s="1"/>
  <c r="CI178" i="1" s="1"/>
  <c r="CJ106" i="1"/>
  <c r="CJ176" i="1"/>
  <c r="CJ177" i="1" s="1"/>
  <c r="CK174" i="1"/>
  <c r="CJ118" i="1" l="1"/>
  <c r="CJ121" i="1" s="1"/>
  <c r="CJ178" i="1" s="1"/>
  <c r="CK106" i="1"/>
  <c r="CK176" i="1"/>
  <c r="CK177" i="1" s="1"/>
  <c r="CL174" i="1"/>
  <c r="CJ196" i="1"/>
  <c r="CK194" i="1"/>
  <c r="CK195" i="1" s="1"/>
  <c r="CT165" i="1"/>
  <c r="CT189" i="1" s="1"/>
  <c r="CT190" i="1" s="1"/>
  <c r="CT192" i="1" s="1"/>
  <c r="CU163" i="1"/>
  <c r="CL176" i="1" l="1"/>
  <c r="CL177" i="1" s="1"/>
  <c r="CM174" i="1"/>
  <c r="CK196" i="1"/>
  <c r="CL194" i="1"/>
  <c r="CL195" i="1" s="1"/>
  <c r="CK118" i="1"/>
  <c r="CK121" i="1" s="1"/>
  <c r="CK178" i="1" s="1"/>
  <c r="CL106" i="1"/>
  <c r="CU165" i="1"/>
  <c r="CV163" i="1"/>
  <c r="CM106" i="1" l="1"/>
  <c r="CL118" i="1"/>
  <c r="CL121" i="1" s="1"/>
  <c r="CL178" i="1" s="1"/>
  <c r="CL196" i="1"/>
  <c r="CM194" i="1"/>
  <c r="CM195" i="1" s="1"/>
  <c r="CV165" i="1"/>
  <c r="CV189" i="1" s="1"/>
  <c r="CV190" i="1" s="1"/>
  <c r="CV192" i="1" s="1"/>
  <c r="CW163" i="1"/>
  <c r="CM176" i="1"/>
  <c r="CM177" i="1" s="1"/>
  <c r="CN174" i="1"/>
  <c r="CU189" i="1"/>
  <c r="CU190" i="1" s="1"/>
  <c r="CU192" i="1" s="1"/>
  <c r="K50" i="5"/>
  <c r="CW165" i="1" l="1"/>
  <c r="CW189" i="1" s="1"/>
  <c r="CW190" i="1" s="1"/>
  <c r="CW192" i="1" s="1"/>
  <c r="CX163" i="1"/>
  <c r="CN194" i="1"/>
  <c r="CN195" i="1" s="1"/>
  <c r="CM196" i="1"/>
  <c r="CN176" i="1"/>
  <c r="CN177" i="1" s="1"/>
  <c r="CO174" i="1"/>
  <c r="CM118" i="1"/>
  <c r="CM121" i="1" s="1"/>
  <c r="CM178" i="1" s="1"/>
  <c r="CN106" i="1"/>
  <c r="CN196" i="1" l="1"/>
  <c r="CO194" i="1"/>
  <c r="CO195" i="1" s="1"/>
  <c r="CN118" i="1"/>
  <c r="CN121" i="1" s="1"/>
  <c r="CN178" i="1" s="1"/>
  <c r="CO106" i="1"/>
  <c r="CO176" i="1"/>
  <c r="CO177" i="1" s="1"/>
  <c r="CP174" i="1"/>
  <c r="CX165" i="1"/>
  <c r="CX189" i="1" s="1"/>
  <c r="CX190" i="1" s="1"/>
  <c r="CX192" i="1" s="1"/>
  <c r="CY163" i="1"/>
  <c r="CP176" i="1" l="1"/>
  <c r="CP177" i="1" s="1"/>
  <c r="CQ174" i="1"/>
  <c r="CO196" i="1"/>
  <c r="CP194" i="1"/>
  <c r="CP195" i="1" s="1"/>
  <c r="CP106" i="1"/>
  <c r="CO118" i="1"/>
  <c r="CO121" i="1" s="1"/>
  <c r="CO178" i="1" s="1"/>
  <c r="CZ163" i="1"/>
  <c r="CY165" i="1"/>
  <c r="CY189" i="1" s="1"/>
  <c r="CY190" i="1" s="1"/>
  <c r="CY192" i="1" s="1"/>
  <c r="CP118" i="1" l="1"/>
  <c r="CP121" i="1" s="1"/>
  <c r="CP178" i="1" s="1"/>
  <c r="CQ106" i="1"/>
  <c r="CP196" i="1"/>
  <c r="CQ194" i="1"/>
  <c r="CQ195" i="1" s="1"/>
  <c r="CQ176" i="1"/>
  <c r="CQ177" i="1" s="1"/>
  <c r="CR174" i="1"/>
  <c r="DA163" i="1"/>
  <c r="CZ165" i="1"/>
  <c r="CZ189" i="1" s="1"/>
  <c r="CZ190" i="1" s="1"/>
  <c r="CZ192" i="1" s="1"/>
  <c r="CS174" i="1" l="1"/>
  <c r="CR176" i="1"/>
  <c r="CR177" i="1" s="1"/>
  <c r="DA165" i="1"/>
  <c r="DA189" i="1" s="1"/>
  <c r="DA190" i="1" s="1"/>
  <c r="DA192" i="1" s="1"/>
  <c r="DB163" i="1"/>
  <c r="CQ196" i="1"/>
  <c r="CR194" i="1"/>
  <c r="CR195" i="1" s="1"/>
  <c r="CQ118" i="1"/>
  <c r="CQ121" i="1" s="1"/>
  <c r="CQ178" i="1" s="1"/>
  <c r="CR106" i="1"/>
  <c r="CR196" i="1" l="1"/>
  <c r="CS194" i="1"/>
  <c r="CS195" i="1" s="1"/>
  <c r="DB165" i="1"/>
  <c r="DB189" i="1" s="1"/>
  <c r="DB190" i="1" s="1"/>
  <c r="DB192" i="1" s="1"/>
  <c r="DC163" i="1"/>
  <c r="CR118" i="1"/>
  <c r="CR121" i="1" s="1"/>
  <c r="CR178" i="1" s="1"/>
  <c r="CS106" i="1"/>
  <c r="CS176" i="1"/>
  <c r="CS177" i="1" s="1"/>
  <c r="CT174" i="1"/>
  <c r="CU174" i="1" l="1"/>
  <c r="CT176" i="1"/>
  <c r="CT177" i="1" s="1"/>
  <c r="CS196" i="1"/>
  <c r="CT194" i="1"/>
  <c r="CT195" i="1" s="1"/>
  <c r="CS118" i="1"/>
  <c r="CS121" i="1" s="1"/>
  <c r="CS178" i="1" s="1"/>
  <c r="CT106" i="1"/>
  <c r="DC165" i="1"/>
  <c r="DC189" i="1" s="1"/>
  <c r="DC190" i="1" s="1"/>
  <c r="DC192" i="1" s="1"/>
  <c r="DD163" i="1"/>
  <c r="CT118" i="1" l="1"/>
  <c r="CT121" i="1" s="1"/>
  <c r="CT178" i="1" s="1"/>
  <c r="CU106" i="1"/>
  <c r="CT196" i="1"/>
  <c r="CU194" i="1"/>
  <c r="CU195" i="1" s="1"/>
  <c r="DD165" i="1"/>
  <c r="DD189" i="1" s="1"/>
  <c r="DD190" i="1" s="1"/>
  <c r="DD192" i="1" s="1"/>
  <c r="DE163" i="1"/>
  <c r="CU176" i="1"/>
  <c r="CU177" i="1" s="1"/>
  <c r="CV174" i="1"/>
  <c r="CV176" i="1" l="1"/>
  <c r="CV177" i="1" s="1"/>
  <c r="CW174" i="1"/>
  <c r="DE165" i="1"/>
  <c r="DE189" i="1" s="1"/>
  <c r="DE190" i="1" s="1"/>
  <c r="DE192" i="1" s="1"/>
  <c r="DF163" i="1"/>
  <c r="CU196" i="1"/>
  <c r="CV194" i="1"/>
  <c r="CV195" i="1" s="1"/>
  <c r="CU118" i="1"/>
  <c r="CU121" i="1" s="1"/>
  <c r="CU178" i="1" s="1"/>
  <c r="CV106" i="1"/>
  <c r="CV196" i="1" l="1"/>
  <c r="CW194" i="1"/>
  <c r="CW195" i="1" s="1"/>
  <c r="DF165" i="1"/>
  <c r="DF189" i="1" s="1"/>
  <c r="DF190" i="1" s="1"/>
  <c r="DF192" i="1" s="1"/>
  <c r="DG163" i="1"/>
  <c r="DG165" i="1" s="1"/>
  <c r="CW176" i="1"/>
  <c r="CW177" i="1" s="1"/>
  <c r="CX174" i="1"/>
  <c r="CV118" i="1"/>
  <c r="CV121" i="1" s="1"/>
  <c r="CV178" i="1" s="1"/>
  <c r="CW106" i="1"/>
  <c r="CX176" i="1" l="1"/>
  <c r="CX177" i="1" s="1"/>
  <c r="CY174" i="1"/>
  <c r="L50" i="5"/>
  <c r="M50" i="5" s="1"/>
  <c r="DG189" i="1"/>
  <c r="DG190" i="1" s="1"/>
  <c r="DG192" i="1" s="1"/>
  <c r="CW196" i="1"/>
  <c r="CX194" i="1"/>
  <c r="CX195" i="1" s="1"/>
  <c r="CW118" i="1"/>
  <c r="CW121" i="1" s="1"/>
  <c r="CW178" i="1" s="1"/>
  <c r="CX106" i="1"/>
  <c r="CX196" i="1" l="1"/>
  <c r="CY194" i="1"/>
  <c r="CY195" i="1" s="1"/>
  <c r="CX118" i="1"/>
  <c r="CX121" i="1" s="1"/>
  <c r="CX178" i="1" s="1"/>
  <c r="CY106" i="1"/>
  <c r="CY176" i="1"/>
  <c r="CY177" i="1" s="1"/>
  <c r="CZ174" i="1"/>
  <c r="CZ176" i="1" l="1"/>
  <c r="CZ177" i="1" s="1"/>
  <c r="DA174" i="1"/>
  <c r="CY118" i="1"/>
  <c r="CY121" i="1" s="1"/>
  <c r="CY178" i="1" s="1"/>
  <c r="CZ106" i="1"/>
  <c r="CY196" i="1"/>
  <c r="CZ194" i="1"/>
  <c r="CZ195" i="1" s="1"/>
  <c r="CZ118" i="1" l="1"/>
  <c r="CZ121" i="1" s="1"/>
  <c r="CZ178" i="1" s="1"/>
  <c r="DA106" i="1"/>
  <c r="CZ196" i="1"/>
  <c r="DA194" i="1"/>
  <c r="DA195" i="1" s="1"/>
  <c r="DB174" i="1"/>
  <c r="DA176" i="1"/>
  <c r="DA177" i="1" s="1"/>
  <c r="DB176" i="1" l="1"/>
  <c r="DB177" i="1" s="1"/>
  <c r="DC174" i="1"/>
  <c r="DA118" i="1"/>
  <c r="DA121" i="1" s="1"/>
  <c r="DA178" i="1" s="1"/>
  <c r="DB106" i="1"/>
  <c r="DA196" i="1"/>
  <c r="DB194" i="1"/>
  <c r="DB195" i="1" s="1"/>
  <c r="DC194" i="1" l="1"/>
  <c r="DC195" i="1" s="1"/>
  <c r="DB196" i="1"/>
  <c r="DB118" i="1"/>
  <c r="DB121" i="1" s="1"/>
  <c r="DC106" i="1"/>
  <c r="DD174" i="1"/>
  <c r="DC176" i="1"/>
  <c r="DC177" i="1" s="1"/>
  <c r="DB178" i="1"/>
  <c r="DE174" i="1" l="1"/>
  <c r="DD176" i="1"/>
  <c r="DD177" i="1" s="1"/>
  <c r="DC118" i="1"/>
  <c r="DC121" i="1" s="1"/>
  <c r="DC178" i="1" s="1"/>
  <c r="DD106" i="1"/>
  <c r="DC196" i="1"/>
  <c r="DD194" i="1"/>
  <c r="DD195" i="1" s="1"/>
  <c r="DD196" i="1" l="1"/>
  <c r="DE194" i="1"/>
  <c r="DE195" i="1" s="1"/>
  <c r="DD118" i="1"/>
  <c r="DD121" i="1" s="1"/>
  <c r="DD178" i="1" s="1"/>
  <c r="DE106" i="1"/>
  <c r="DF174" i="1"/>
  <c r="DE176" i="1"/>
  <c r="DE177" i="1" s="1"/>
  <c r="DE118" i="1" l="1"/>
  <c r="DE121" i="1" s="1"/>
  <c r="DE178" i="1" s="1"/>
  <c r="DF106" i="1"/>
  <c r="DF176" i="1"/>
  <c r="DF177" i="1" s="1"/>
  <c r="DG174" i="1"/>
  <c r="DG176" i="1" s="1"/>
  <c r="DG177" i="1" s="1"/>
  <c r="DE196" i="1"/>
  <c r="DF194" i="1"/>
  <c r="DF195" i="1" s="1"/>
  <c r="DG194" i="1" l="1"/>
  <c r="DG195" i="1" s="1"/>
  <c r="DF196" i="1"/>
  <c r="DF118" i="1"/>
  <c r="DF121" i="1" s="1"/>
  <c r="DF178" i="1" s="1"/>
  <c r="DG106" i="1"/>
  <c r="DG118" i="1" l="1"/>
  <c r="DG121" i="1" s="1"/>
  <c r="DG178" i="1" s="1"/>
  <c r="DG196" i="1"/>
  <c r="AT108" i="1" l="1"/>
  <c r="AU108" i="1" s="1"/>
  <c r="AU104" i="1" s="1"/>
  <c r="H43" i="34"/>
  <c r="H44" i="34" s="1"/>
  <c r="I43" i="34" l="1"/>
  <c r="I44" i="34" s="1"/>
  <c r="AU107" i="1" l="1"/>
  <c r="AV108" i="1" s="1"/>
  <c r="AV104" i="1" l="1"/>
  <c r="J43" i="34"/>
  <c r="J44" i="34" s="1"/>
  <c r="AV107" i="1" l="1"/>
  <c r="AW108" i="1" s="1"/>
  <c r="AW104" i="1" l="1"/>
  <c r="K43" i="34"/>
  <c r="K44" i="34" s="1"/>
  <c r="AW107" i="1" l="1"/>
  <c r="AX108" i="1" s="1"/>
  <c r="AX104" i="1" s="1"/>
  <c r="L43" i="34" l="1"/>
  <c r="L44" i="34" s="1"/>
  <c r="AX107" i="1" l="1"/>
  <c r="AY108" i="1" s="1"/>
  <c r="M43" i="34" l="1"/>
  <c r="M44" i="34" s="1"/>
  <c r="AY104" i="1"/>
  <c r="AY107" i="1" l="1"/>
  <c r="AZ108" i="1" s="1"/>
  <c r="AZ104" i="1" l="1"/>
  <c r="N43" i="34"/>
  <c r="N44" i="34" s="1"/>
  <c r="AZ107" i="1" l="1"/>
  <c r="BA108" i="1" l="1"/>
  <c r="BA104" i="1" s="1"/>
  <c r="BA107" i="1" l="1"/>
  <c r="BB108" i="1" s="1"/>
  <c r="BB104" i="1" s="1"/>
  <c r="BB107" i="1" s="1"/>
  <c r="BC108" i="1" l="1"/>
  <c r="BC104" i="1" s="1"/>
  <c r="BC107" i="1" l="1"/>
  <c r="BD108" i="1" s="1"/>
  <c r="BD104" i="1" s="1"/>
  <c r="BD107" i="1" l="1"/>
  <c r="BE108" i="1" s="1"/>
  <c r="BE104" i="1" s="1"/>
  <c r="BE107" i="1" s="1"/>
  <c r="BF108" i="1" l="1"/>
  <c r="BF104" i="1" s="1"/>
  <c r="BF107" i="1" s="1"/>
  <c r="BG108" i="1" l="1"/>
  <c r="BG104" i="1" s="1"/>
  <c r="BG107" i="1" s="1"/>
  <c r="BH108" i="1" l="1"/>
  <c r="BH104" i="1" s="1"/>
  <c r="BH107" i="1" s="1"/>
  <c r="BI108" i="1" l="1"/>
  <c r="BI104" i="1" s="1"/>
  <c r="BI107" i="1" l="1"/>
  <c r="BJ108" i="1" s="1"/>
  <c r="BJ104" i="1" s="1"/>
  <c r="BJ107" i="1" s="1"/>
  <c r="BK108" i="1" l="1"/>
  <c r="BK104" i="1" s="1"/>
  <c r="BK107" i="1" l="1"/>
  <c r="BL108" i="1" s="1"/>
  <c r="BL104" i="1" s="1"/>
  <c r="BL107" i="1" l="1"/>
  <c r="BM108" i="1" s="1"/>
  <c r="BM104" i="1" s="1"/>
  <c r="BM107" i="1" s="1"/>
  <c r="BN108" i="1" l="1"/>
  <c r="BN104" i="1" s="1"/>
  <c r="BN107" i="1" l="1"/>
  <c r="BO108" i="1" s="1"/>
  <c r="BO104" i="1" s="1"/>
  <c r="BO107" i="1" s="1"/>
  <c r="BP108" i="1" l="1"/>
  <c r="BP104" i="1" s="1"/>
  <c r="BP107" i="1" s="1"/>
  <c r="BQ108" i="1" l="1"/>
  <c r="BQ104" i="1" s="1"/>
  <c r="BQ107" i="1" l="1"/>
  <c r="BR108" i="1" s="1"/>
  <c r="BR104" i="1" s="1"/>
  <c r="BR107" i="1" s="1"/>
  <c r="BS108" i="1" l="1"/>
  <c r="BS104" i="1" s="1"/>
  <c r="BS107" i="1" l="1"/>
  <c r="BT108" i="1" s="1"/>
  <c r="BT104" i="1" s="1"/>
  <c r="BT107" i="1" s="1"/>
  <c r="BU108" i="1" s="1"/>
  <c r="BU104" i="1" l="1"/>
  <c r="BU107" i="1" s="1"/>
  <c r="BV108" i="1" l="1"/>
  <c r="BV104" i="1" s="1"/>
  <c r="BV107" i="1" l="1"/>
  <c r="BW108" i="1" s="1"/>
  <c r="BW104" i="1" s="1"/>
  <c r="BW107" i="1" s="1"/>
  <c r="BX108" i="1" l="1"/>
  <c r="BX104" i="1" s="1"/>
  <c r="BX107" i="1" s="1"/>
  <c r="BY108" i="1" l="1"/>
  <c r="BY104" i="1" s="1"/>
  <c r="BY107" i="1" l="1"/>
  <c r="BZ108" i="1" s="1"/>
  <c r="BZ104" i="1" s="1"/>
  <c r="BZ107" i="1" s="1"/>
  <c r="CA108" i="1" l="1"/>
  <c r="CA104" i="1" s="1"/>
  <c r="CA107" i="1" l="1"/>
  <c r="CB108" i="1" s="1"/>
  <c r="CB104" i="1" s="1"/>
  <c r="CB107" i="1" s="1"/>
  <c r="CC108" i="1" l="1"/>
  <c r="CC104" i="1" s="1"/>
  <c r="CC107" i="1" s="1"/>
  <c r="CD108" i="1" l="1"/>
  <c r="CD104" i="1" s="1"/>
  <c r="CD107" i="1" l="1"/>
  <c r="CE108" i="1" s="1"/>
  <c r="CE104" i="1" s="1"/>
  <c r="CE107" i="1" s="1"/>
  <c r="CF108" i="1" l="1"/>
  <c r="CF104" i="1" s="1"/>
  <c r="CF107" i="1" s="1"/>
  <c r="CG108" i="1" l="1"/>
  <c r="CG104" i="1" s="1"/>
  <c r="CG107" i="1" s="1"/>
  <c r="CH108" i="1" s="1"/>
  <c r="CH104" i="1" l="1"/>
  <c r="CH107" i="1" s="1"/>
  <c r="CI108" i="1" l="1"/>
  <c r="CI104" i="1" s="1"/>
  <c r="CI107" i="1" l="1"/>
  <c r="CJ108" i="1" s="1"/>
  <c r="CJ104" i="1" s="1"/>
  <c r="CJ107" i="1" l="1"/>
  <c r="CK108" i="1" s="1"/>
  <c r="CK104" i="1" s="1"/>
  <c r="CK107" i="1" s="1"/>
  <c r="CL108" i="1" l="1"/>
  <c r="CL104" i="1" s="1"/>
  <c r="CL107" i="1" l="1"/>
  <c r="CM108" i="1" s="1"/>
  <c r="CM104" i="1" s="1"/>
  <c r="CM107" i="1" s="1"/>
  <c r="CN108" i="1" l="1"/>
  <c r="CN104" i="1" s="1"/>
  <c r="CN107" i="1" s="1"/>
  <c r="CO108" i="1" l="1"/>
  <c r="CO104" i="1" s="1"/>
  <c r="CO107" i="1" l="1"/>
  <c r="CP108" i="1" s="1"/>
  <c r="CP104" i="1" s="1"/>
  <c r="CP107" i="1" s="1"/>
  <c r="CQ108" i="1" l="1"/>
  <c r="CQ104" i="1" s="1"/>
  <c r="CQ107" i="1" s="1"/>
  <c r="CR108" i="1" l="1"/>
  <c r="CR104" i="1" s="1"/>
  <c r="CR107" i="1" l="1"/>
  <c r="CS108" i="1" s="1"/>
  <c r="CS104" i="1" s="1"/>
  <c r="CS107" i="1" s="1"/>
  <c r="CT108" i="1" l="1"/>
  <c r="CT104" i="1" s="1"/>
  <c r="CT107" i="1" s="1"/>
  <c r="CU108" i="1" l="1"/>
  <c r="CU104" i="1" s="1"/>
  <c r="CU107" i="1" s="1"/>
  <c r="CV108" i="1" l="1"/>
  <c r="CV104" i="1" s="1"/>
  <c r="CV107" i="1" s="1"/>
  <c r="CW108" i="1" l="1"/>
  <c r="CW104" i="1" s="1"/>
  <c r="CW107" i="1" l="1"/>
  <c r="CX108" i="1" s="1"/>
  <c r="CX104" i="1" s="1"/>
  <c r="CX107" i="1" s="1"/>
  <c r="CY108" i="1" l="1"/>
  <c r="CY104" i="1" s="1"/>
  <c r="CY107" i="1" l="1"/>
  <c r="CZ108" i="1" s="1"/>
  <c r="CZ104" i="1" s="1"/>
  <c r="CZ107" i="1" l="1"/>
  <c r="DA108" i="1" s="1"/>
  <c r="DA104" i="1" s="1"/>
  <c r="DA107" i="1" s="1"/>
  <c r="DB108" i="1" l="1"/>
  <c r="DB104" i="1" s="1"/>
  <c r="DB107" i="1" s="1"/>
  <c r="DC108" i="1" l="1"/>
  <c r="DC104" i="1" s="1"/>
  <c r="DC107" i="1" s="1"/>
  <c r="DD108" i="1" l="1"/>
  <c r="DD104" i="1" s="1"/>
  <c r="DD107" i="1" s="1"/>
  <c r="DE108" i="1" l="1"/>
  <c r="DE104" i="1" s="1"/>
  <c r="DE107" i="1" l="1"/>
  <c r="DF108" i="1" s="1"/>
  <c r="DF104" i="1" s="1"/>
  <c r="DF107" i="1" s="1"/>
  <c r="DG108" i="1" l="1"/>
  <c r="DG104" i="1" s="1"/>
  <c r="DG10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tc={652DF29B-C80F-474D-9452-32A45BAD392F}</author>
    <author>tc={973B5C3F-CC1C-478B-AAEB-95C45A193E9C}</author>
  </authors>
  <commentList>
    <comment ref="S42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42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D173" authorId="2" shapeId="0" xr:uid="{652DF29B-C80F-474D-9452-32A45BAD39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$800 Distribution</t>
      </text>
    </comment>
    <comment ref="AE173" authorId="3" shapeId="0" xr:uid="{973B5C3F-CC1C-478B-AAEB-95C45A193E9C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2023 Tax Payment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tc={3125FB75-D2A2-43C2-B371-A766032384F5}</author>
  </authors>
  <commentList>
    <comment ref="F14" authorId="0" shapeId="0" xr:uid="{3125FB75-D2A2-43C2-B371-A766032384F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Declined</t>
      </text>
    </comment>
  </commentList>
</comments>
</file>

<file path=xl/sharedStrings.xml><?xml version="1.0" encoding="utf-8"?>
<sst xmlns="http://schemas.openxmlformats.org/spreadsheetml/2006/main" count="1531" uniqueCount="572">
  <si>
    <t>Total</t>
  </si>
  <si>
    <t>Income</t>
  </si>
  <si>
    <t xml:space="preserve">   Total 50000 Service 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</si>
  <si>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</si>
  <si>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</si>
  <si>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</si>
  <si>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</si>
  <si>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</si>
  <si>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</si>
  <si>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</si>
  <si>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</si>
  <si>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</si>
  <si>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</si>
  <si>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</si>
  <si>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</si>
  <si>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</si>
  <si>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</si>
  <si>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</si>
  <si>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</si>
  <si>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</si>
  <si>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</si>
  <si>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</si>
  <si>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</si>
  <si>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</si>
  <si>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</si>
  <si>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</si>
  <si>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40200 Owner Distributions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</si>
  <si>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</si>
  <si>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</si>
  <si>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</si>
  <si>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</si>
  <si>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</si>
  <si>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</si>
  <si>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</si>
  <si>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</si>
  <si>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</si>
  <si>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</si>
  <si>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</si>
  <si>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</si>
  <si>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</si>
  <si>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</si>
  <si>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</si>
  <si>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</si>
  <si>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</si>
  <si>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</si>
  <si>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</si>
  <si>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</si>
  <si>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</si>
  <si>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</si>
  <si>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</si>
  <si>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</si>
  <si>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</si>
  <si>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Utilization %</t>
  </si>
  <si>
    <t># of Students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</si>
  <si>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</si>
  <si>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</si>
  <si>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</si>
  <si>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</si>
  <si>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</si>
  <si>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</si>
  <si>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</si>
  <si>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</si>
  <si>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</si>
  <si>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</si>
  <si>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</si>
  <si>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</si>
  <si>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</si>
  <si>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</si>
  <si>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</si>
  <si>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</si>
  <si>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</si>
  <si>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</si>
  <si>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</si>
  <si>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</si>
  <si>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</si>
  <si>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</si>
  <si>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</si>
  <si>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</si>
  <si>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</si>
  <si>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</si>
  <si>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</si>
  <si>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</si>
  <si>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</si>
  <si>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</si>
  <si>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</si>
  <si>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</si>
  <si>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</si>
  <si>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</si>
  <si>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</si>
  <si>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</si>
  <si>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</si>
  <si>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</si>
  <si>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</si>
  <si>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</si>
  <si>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</si>
  <si>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</si>
  <si>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</si>
  <si>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</si>
  <si>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</si>
  <si>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</si>
  <si>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</si>
  <si>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</si>
  <si>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</si>
  <si>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</si>
  <si>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</si>
  <si>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</si>
  <si>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</si>
  <si>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</si>
  <si>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</si>
  <si>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</si>
  <si>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</si>
  <si>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</si>
  <si>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</si>
  <si>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</si>
  <si>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</si>
  <si>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</si>
  <si>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</si>
  <si>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</si>
  <si>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</si>
  <si>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</si>
  <si>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</si>
  <si>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</si>
  <si>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</si>
  <si>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</si>
  <si>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</si>
  <si>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</si>
  <si>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</si>
  <si>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</si>
  <si>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</si>
  <si>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</si>
  <si>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</si>
  <si>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</si>
  <si>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</si>
  <si>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</si>
  <si>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</si>
  <si>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</si>
  <si>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</si>
  <si>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</si>
  <si>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</si>
  <si>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</si>
  <si>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</si>
  <si>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</si>
  <si>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</si>
  <si>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</si>
  <si>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</si>
  <si>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</si>
  <si>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</si>
  <si>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</si>
  <si>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</si>
  <si>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</si>
  <si>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</si>
  <si>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</si>
  <si>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</si>
  <si>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</si>
  <si>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</si>
  <si>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</si>
  <si>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</si>
  <si>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</si>
  <si>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</si>
  <si>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</si>
  <si>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</si>
  <si>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</si>
  <si>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</si>
  <si>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</si>
  <si>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</si>
  <si>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</si>
  <si>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</si>
  <si>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</si>
  <si>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</si>
  <si>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</si>
  <si>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</si>
  <si>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</si>
  <si>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</si>
  <si>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</si>
  <si>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</si>
  <si>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</si>
  <si>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</si>
  <si>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</si>
  <si>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</si>
  <si>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</si>
  <si>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</si>
  <si>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</si>
  <si>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</si>
  <si>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</si>
  <si>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</si>
  <si>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</si>
  <si>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</si>
  <si>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</si>
  <si>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</si>
  <si>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</si>
  <si>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</si>
  <si>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</si>
  <si>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</si>
  <si>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</si>
  <si>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</si>
  <si>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</si>
  <si>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</si>
  <si>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</si>
  <si>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</si>
  <si>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</si>
  <si>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</si>
  <si>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</si>
  <si>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</si>
  <si>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</si>
  <si>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</si>
  <si>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>Actual</t>
  </si>
  <si>
    <t>Variance</t>
  </si>
  <si>
    <t>Forecast</t>
  </si>
  <si>
    <t>Name</t>
  </si>
  <si>
    <t>Position</t>
  </si>
  <si>
    <t>NOI %</t>
  </si>
  <si>
    <t>Q4 2024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</si>
  <si>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</si>
  <si>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</si>
  <si>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</si>
  <si>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</si>
  <si>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</si>
  <si>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</si>
  <si>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</si>
  <si>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</si>
  <si>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</si>
  <si>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</si>
  <si>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</si>
  <si>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</si>
  <si>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2024 Overview (Rolling Forecast)</t>
  </si>
  <si>
    <t>2024 Overview (Annual Operating Plan)</t>
  </si>
  <si>
    <t>Total Cash Distributions</t>
  </si>
  <si>
    <t>Construction Revenue</t>
  </si>
  <si>
    <t>Cash Balance</t>
  </si>
  <si>
    <t>Contract #1</t>
  </si>
  <si>
    <t>Sale Price</t>
  </si>
  <si>
    <t>Expense Schedule</t>
  </si>
  <si>
    <t>Revenue Recognized (Accrual)</t>
  </si>
  <si>
    <t>Cost</t>
  </si>
  <si>
    <t>Construction Revenue (Accural Basis)</t>
  </si>
  <si>
    <t>GM % (Cash Basis)</t>
  </si>
  <si>
    <t>GM % (Accrual Basis)</t>
  </si>
  <si>
    <t>Gross Margin  (Accrual Basis)</t>
  </si>
  <si>
    <t>Gross Margin  (Cash Basis)</t>
  </si>
  <si>
    <t>COGS</t>
  </si>
  <si>
    <t>Cost of Goods Sold</t>
  </si>
  <si>
    <t xml:space="preserve">   Total Cost of goods sold</t>
  </si>
  <si>
    <t>Total Cost of Goods Sold</t>
  </si>
  <si>
    <t>Accrued Expenses</t>
  </si>
  <si>
    <t xml:space="preserve">   40100 Construction Revenue</t>
  </si>
  <si>
    <t xml:space="preserve">   30100 Advertising &amp; Marketing</t>
  </si>
  <si>
    <t xml:space="preserve">      30110 Merchandise</t>
  </si>
  <si>
    <t xml:space="preserve">   Total 30100 Advertising &amp; Marketing</t>
  </si>
  <si>
    <t xml:space="preserve">   60100 General &amp; Administrative Expenses</t>
  </si>
  <si>
    <t xml:space="preserve">      Total 60200 Office expenses</t>
  </si>
  <si>
    <t xml:space="preserve">      61000 Legal &amp; Accounting Services</t>
  </si>
  <si>
    <t xml:space="preserve">      Total 61000 Legal &amp; Accounting Services</t>
  </si>
  <si>
    <t xml:space="preserve">   Total 60100 General &amp; Administrative Expenses</t>
  </si>
  <si>
    <t xml:space="preserve">   70200 Interest Expense</t>
  </si>
  <si>
    <t xml:space="preserve">         Cash</t>
  </si>
  <si>
    <t xml:space="preserve">         Credit Cards</t>
  </si>
  <si>
    <t xml:space="preserve">         Total Credit Cards</t>
  </si>
  <si>
    <t xml:space="preserve">         Other Current Liabilities</t>
  </si>
  <si>
    <t xml:space="preserve">            Short-term loans due Partners</t>
  </si>
  <si>
    <t xml:space="preserve">               Loan Due Partner - Bobby</t>
  </si>
  <si>
    <t xml:space="preserve">               Loans due Partner - Felicia</t>
  </si>
  <si>
    <t xml:space="preserve">            Total Short-term loans due Partners</t>
  </si>
  <si>
    <t xml:space="preserve">         Total Other Current Liabilities</t>
  </si>
  <si>
    <t xml:space="preserve">      Total Current Liabilities</t>
  </si>
  <si>
    <t xml:space="preserve">         Total Accounts Payable</t>
  </si>
  <si>
    <t xml:space="preserve">      Partner distributions</t>
  </si>
  <si>
    <t xml:space="preserve">         Bobby - Partner Distributions</t>
  </si>
  <si>
    <t xml:space="preserve">         Felicia - Partner Distributions</t>
  </si>
  <si>
    <t xml:space="preserve">      Total Partner distributions</t>
  </si>
  <si>
    <t xml:space="preserve">      Partner investments</t>
  </si>
  <si>
    <t xml:space="preserve">         80100 Bobby - Partner Investments</t>
  </si>
  <si>
    <t xml:space="preserve">         80200 Felicia - Partner Investments</t>
  </si>
  <si>
    <t xml:space="preserve">      Total Partner investments</t>
  </si>
  <si>
    <t>Felicia Lee</t>
  </si>
  <si>
    <t>Bobby Ambush</t>
  </si>
  <si>
    <t>Partner</t>
  </si>
  <si>
    <t>Total Income (Cash Basis)</t>
  </si>
  <si>
    <t>Accumulated Deposits</t>
  </si>
  <si>
    <t>Revenue Recognized (Cash Deposits)</t>
  </si>
  <si>
    <t>Net Operating Income (EBITDA) - Cash Basis</t>
  </si>
  <si>
    <t>Net Operating Income (EBITDA) - Accrual Basis</t>
  </si>
  <si>
    <t>Tax Savings</t>
  </si>
  <si>
    <t>Accumulated Revenue Recognized (Accrual)</t>
  </si>
  <si>
    <t>Customer Deposits</t>
  </si>
  <si>
    <t>Net Income - Cash Basis</t>
  </si>
  <si>
    <t>Net Income - Accrual Basis</t>
  </si>
  <si>
    <t>Estimated Tax Burden - Accrual Basis</t>
  </si>
  <si>
    <t>Estimated Tax Burden - Cash Basis</t>
  </si>
  <si>
    <t>Construction Income (Cash Basis)</t>
  </si>
  <si>
    <t>Total Revenue</t>
  </si>
  <si>
    <t>EBITDA % - Cash Basis</t>
  </si>
  <si>
    <t>EBITDA % - Accrual Basis</t>
  </si>
  <si>
    <t>NI % - Accrual Basis</t>
  </si>
  <si>
    <t>NI % - Cash Basis</t>
  </si>
  <si>
    <t>*Estimated Tax Burden - Cash Basis</t>
  </si>
  <si>
    <t>*Estimated Tax Burden - Accrual Basis</t>
  </si>
  <si>
    <t>*Estimated Tax Burden - Accrual</t>
  </si>
  <si>
    <t xml:space="preserve">   50100 Construction Parts &amp; Tools - COGS</t>
  </si>
  <si>
    <t xml:space="preserve">   50200 Supplies &amp; Materials - COGS</t>
  </si>
  <si>
    <t xml:space="preserve">   50600 Subcontractors - COGS</t>
  </si>
  <si>
    <t xml:space="preserve">      30130 Marketing Material</t>
  </si>
  <si>
    <t xml:space="preserve">      60200 Office Expenses</t>
  </si>
  <si>
    <t xml:space="preserve">         60210 Office Supplies</t>
  </si>
  <si>
    <t xml:space="preserve">         60220 Shipping &amp; Postage</t>
  </si>
  <si>
    <t xml:space="preserve">         60230 Small Tools &amp; Equipment</t>
  </si>
  <si>
    <t xml:space="preserve">         60240 Software &amp; Apps</t>
  </si>
  <si>
    <t xml:space="preserve">         60310 Accounting &amp; Finance</t>
  </si>
  <si>
    <t xml:space="preserve">         60320 Legal &amp; Professional Fees</t>
  </si>
  <si>
    <t xml:space="preserve">      60400 Travel</t>
  </si>
  <si>
    <t xml:space="preserve">         60410 Airfare</t>
  </si>
  <si>
    <t xml:space="preserve">         60430 Hotels</t>
  </si>
  <si>
    <t xml:space="preserve">      Total 60400 Travel</t>
  </si>
  <si>
    <t xml:space="preserve">      60500 Memberships, Dues, &amp; Subscriptions</t>
  </si>
  <si>
    <t xml:space="preserve">      60600 Insurance</t>
  </si>
  <si>
    <t xml:space="preserve">      60700 Meals (50% Deductible)</t>
  </si>
  <si>
    <t xml:space="preserve">      60800 Phone Service</t>
  </si>
  <si>
    <t xml:space="preserve">      60900 Bank Fees &amp; Service Charges</t>
  </si>
  <si>
    <t xml:space="preserve">      61000 Business Licenses</t>
  </si>
  <si>
    <t xml:space="preserve">      61100 Donations</t>
  </si>
  <si>
    <t xml:space="preserve">      61200 Training &amp; Development</t>
  </si>
  <si>
    <t xml:space="preserve">   Reconciliation Discrepancies</t>
  </si>
  <si>
    <t xml:space="preserve">            (ARCHIVED) Cash Rewards Business (3775)</t>
  </si>
  <si>
    <t xml:space="preserve">               30210 Security Deposit - Kemps Ridge Lot 1</t>
  </si>
  <si>
    <t xml:space="preserve">               30220 Kemps Ridge Lot 1</t>
  </si>
  <si>
    <t>Price</t>
  </si>
  <si>
    <t>Services</t>
  </si>
  <si>
    <t>Relief Period (Project estimated time of completion)</t>
  </si>
  <si>
    <t>Total Adjusted Market</t>
  </si>
  <si>
    <t>Identified Leads</t>
  </si>
  <si>
    <t>Trial</t>
  </si>
  <si>
    <t>Proposal</t>
  </si>
  <si>
    <t>Decision</t>
  </si>
  <si>
    <t>Contract Hits</t>
  </si>
  <si>
    <t>Contract Hit Rate</t>
  </si>
  <si>
    <t>Total Client Additions</t>
  </si>
  <si>
    <t xml:space="preserve">   40200 Contract Consulting Revenue</t>
  </si>
  <si>
    <t>Contractor Services</t>
  </si>
  <si>
    <t xml:space="preserve">               30230 Security Deposit - Kemps Ridge Lot 2</t>
  </si>
  <si>
    <t xml:space="preserve">               30240 Kemps Ridge Lot 2</t>
  </si>
  <si>
    <t>Total Cash Deposits</t>
  </si>
  <si>
    <t>Construction Parts &amp; Tools as a % of Revenue</t>
  </si>
  <si>
    <t>Supplies &amp; Materials as a % of Revenue</t>
  </si>
  <si>
    <t>Subcontractors as a % of Revenue</t>
  </si>
  <si>
    <t xml:space="preserve">   50600 Subcontractors - COGS (Contractor Services)</t>
  </si>
  <si>
    <t>Subcontractors (Contractor Services) as a % of Revenue</t>
  </si>
  <si>
    <t>Construction Revenue (Accrual Basis)</t>
  </si>
  <si>
    <t>Contractor Services Revenue (Accrual Basis)</t>
  </si>
  <si>
    <t>Contractor Services (Cash Basis)</t>
  </si>
  <si>
    <t>Accumulated Contractor Services (Cash Basis)</t>
  </si>
  <si>
    <t>Total Accured Revenue</t>
  </si>
  <si>
    <t xml:space="preserve">   Construction Parts &amp; Tools</t>
  </si>
  <si>
    <t xml:space="preserve">   Supplies &amp; Materials</t>
  </si>
  <si>
    <t xml:space="preserve">   Subcontractors</t>
  </si>
  <si>
    <t xml:space="preserve">   Subcontractors (Contractor Services)</t>
  </si>
  <si>
    <t xml:space="preserve">Gross Margin </t>
  </si>
  <si>
    <t>Contractor Services Revenue</t>
  </si>
  <si>
    <t>Construction Income</t>
  </si>
  <si>
    <t>Contractor Services Income</t>
  </si>
  <si>
    <t xml:space="preserve">NI % </t>
  </si>
  <si>
    <t>\</t>
  </si>
  <si>
    <t>Home Builders Income (Cash Basis)</t>
  </si>
  <si>
    <t>Contractor Services Income (Cash Basis)</t>
  </si>
  <si>
    <t>2024 Overview (Cash Basis)</t>
  </si>
  <si>
    <t>Contract #3</t>
  </si>
  <si>
    <t>Contract #4</t>
  </si>
  <si>
    <t>Gross Profit (Accrual Basis)</t>
  </si>
  <si>
    <t>GM % (Home Builders)</t>
  </si>
  <si>
    <t>GM % (Contractor Services)</t>
  </si>
  <si>
    <t>Contract #5</t>
  </si>
  <si>
    <t>Contract #6</t>
  </si>
  <si>
    <t>Ed's Windows</t>
  </si>
  <si>
    <t>Home Builders Revenue</t>
  </si>
  <si>
    <t>GM % - Home Builders</t>
  </si>
  <si>
    <t>GM % - Contractor Services</t>
  </si>
  <si>
    <t>Contract #7</t>
  </si>
  <si>
    <t>Advertising &amp; Marketing</t>
  </si>
  <si>
    <t>General &amp; Admintrative</t>
  </si>
  <si>
    <t>Cash Distributions</t>
  </si>
  <si>
    <t>Summary Balance Sheet</t>
  </si>
  <si>
    <t>Cash</t>
  </si>
  <si>
    <t>A/R</t>
  </si>
  <si>
    <t>Other Current Assets</t>
  </si>
  <si>
    <t>Cash &amp; Liquidity</t>
  </si>
  <si>
    <t>Fixed Assets</t>
  </si>
  <si>
    <t>Total Assets</t>
  </si>
  <si>
    <t>Current Liabilites</t>
  </si>
  <si>
    <t>L/T Liabilites</t>
  </si>
  <si>
    <t>Total Debt</t>
  </si>
  <si>
    <t>Net Debt / (Net Cash)</t>
  </si>
  <si>
    <t>Shareholder Investments</t>
  </si>
  <si>
    <t>Net Income (Loss)/Dividends</t>
  </si>
  <si>
    <t>Total Equity</t>
  </si>
  <si>
    <t>EBITDA</t>
  </si>
  <si>
    <t>Less:  Depreciation</t>
  </si>
  <si>
    <t>EBIT</t>
  </si>
  <si>
    <t>Less: Interest/Taxes</t>
  </si>
  <si>
    <t>Earnings after Taxes</t>
  </si>
  <si>
    <t>Plus:  Depreciation</t>
  </si>
  <si>
    <t>Less:  Capital expenditures</t>
  </si>
  <si>
    <t xml:space="preserve"> + / -  Changes in working capital</t>
  </si>
  <si>
    <t xml:space="preserve"> + / -  Changes in other assets and liabilities</t>
  </si>
  <si>
    <t>Unlevered Free Cash Flow</t>
  </si>
  <si>
    <t>Unlevered Free Cash Flow Growth Rate</t>
  </si>
  <si>
    <t>Key Metrics &amp; Ratios</t>
  </si>
  <si>
    <t>Liquidity Coveraqe</t>
  </si>
  <si>
    <t>Perpetuity Growth Method</t>
  </si>
  <si>
    <t>EBITDA Multiple Method</t>
  </si>
  <si>
    <t>Interest Coverage</t>
  </si>
  <si>
    <t>Financial Leverage Ratio</t>
  </si>
  <si>
    <t>Weighted average cost of capital:</t>
  </si>
  <si>
    <t>TTM EBITDA</t>
  </si>
  <si>
    <t>Net present value of free cash flow</t>
  </si>
  <si>
    <t>Enterprise Value</t>
  </si>
  <si>
    <t>EBITDA Multiple</t>
  </si>
  <si>
    <t>5-Year CAGR</t>
  </si>
  <si>
    <t>Debt Service Coverage</t>
  </si>
  <si>
    <t>Exit multiple</t>
  </si>
  <si>
    <t>Working Capital</t>
  </si>
  <si>
    <t>Terminal value</t>
  </si>
  <si>
    <t>Present value of the terminal value</t>
  </si>
  <si>
    <t>Return on Assets</t>
  </si>
  <si>
    <t>Return on Equity</t>
  </si>
  <si>
    <t>CFO to CapEx</t>
  </si>
  <si>
    <t>Unlevered Beta</t>
  </si>
  <si>
    <t xml:space="preserve"> LESS: Net Debt (Cash)</t>
  </si>
  <si>
    <t>Levered Beta</t>
  </si>
  <si>
    <t>Equity Value</t>
  </si>
  <si>
    <t>Risk Free Rate</t>
  </si>
  <si>
    <t>Expected Rate of Return</t>
  </si>
  <si>
    <t>Diluted shares:</t>
  </si>
  <si>
    <t>Cost of Equity</t>
  </si>
  <si>
    <t>Effective Interest Rate</t>
  </si>
  <si>
    <t>Equity Value Per Share</t>
  </si>
  <si>
    <t>Cost of Debt</t>
  </si>
  <si>
    <t>WACC</t>
  </si>
  <si>
    <t>Capitalization Rate</t>
  </si>
  <si>
    <t>NAV</t>
  </si>
  <si>
    <t>NOI (Accrual Basis)</t>
  </si>
  <si>
    <t>EstimatedCost</t>
  </si>
  <si>
    <t>Actual Cost</t>
  </si>
  <si>
    <t>Charles Sterling</t>
  </si>
  <si>
    <t>Contract #2 - Madison</t>
  </si>
  <si>
    <t># of Contract Bookings</t>
  </si>
  <si>
    <t>Partner Salary - Bobby</t>
  </si>
  <si>
    <t>Partner Salary - Felicia</t>
  </si>
  <si>
    <t>Operating Cash Runway</t>
  </si>
  <si>
    <t>Cash Runway in Months</t>
  </si>
  <si>
    <t>Cash Burn</t>
  </si>
  <si>
    <t>*Estimated Tax 
Burden</t>
  </si>
  <si>
    <t>*Estimated 
Tax Burden</t>
  </si>
  <si>
    <t>2024 Overview</t>
  </si>
  <si>
    <t>2025 Overview</t>
  </si>
  <si>
    <t>Jason Lee</t>
  </si>
  <si>
    <t>CC Days</t>
  </si>
  <si>
    <t xml:space="preserve">   Subcontractors - Contractor Services</t>
  </si>
  <si>
    <t>Start Date</t>
  </si>
  <si>
    <t xml:space="preserve">         60420 Personal Mileage &amp; Gas</t>
  </si>
  <si>
    <t xml:space="preserve">         60440 Shared Rides/Parking</t>
  </si>
  <si>
    <t xml:space="preserve">         60450 Vehicle Rental</t>
  </si>
  <si>
    <t xml:space="preserve">         10100 PNC Checking - 0658</t>
  </si>
  <si>
    <t xml:space="preserve">         10200 Chase Checking - 3000</t>
  </si>
  <si>
    <t xml:space="preserve">         10900 ESCROW Checking - 4743</t>
  </si>
  <si>
    <t xml:space="preserve">         Payments to deposit</t>
  </si>
  <si>
    <t xml:space="preserve">         Prepaid expenses</t>
  </si>
  <si>
    <t xml:space="preserve">            30100 Customer Deposits - Contractor Services</t>
  </si>
  <si>
    <t xml:space="preserve">            30200 Customer Deposits - Home Builders</t>
  </si>
  <si>
    <t>AP Days</t>
  </si>
  <si>
    <t>Phase</t>
  </si>
  <si>
    <t>2023-2024</t>
  </si>
  <si>
    <t>2024-2025</t>
  </si>
  <si>
    <t>Anticipated Cash Deposit Rate</t>
  </si>
  <si>
    <t>Expense Rate</t>
  </si>
  <si>
    <t>2025-2026</t>
  </si>
  <si>
    <t>End Date</t>
  </si>
  <si>
    <t>Contract #8</t>
  </si>
  <si>
    <t>Charles Sterling - Backyard Pipe Burial</t>
  </si>
  <si>
    <t>Charles Sterling - Deck</t>
  </si>
  <si>
    <t xml:space="preserve">            Total 30200 Customer Deposits</t>
  </si>
  <si>
    <t>Anticipated Cash Deposit Rate - CONTRACTOR SERVICES</t>
  </si>
  <si>
    <t>Contracting Services</t>
  </si>
  <si>
    <t>Masai Troutman</t>
  </si>
  <si>
    <t>Ed Pesnell</t>
  </si>
  <si>
    <t xml:space="preserve">      30150 Conferences &amp; Trade Shows</t>
  </si>
  <si>
    <t>Wiley Mackintosh</t>
  </si>
  <si>
    <t xml:space="preserve">      60110 General &amp; Administrative Salaries</t>
  </si>
  <si>
    <t xml:space="preserve">         60130 Payroll Taxes</t>
  </si>
  <si>
    <t xml:space="preserve">      Total 60110 Payroll expenses</t>
  </si>
  <si>
    <t>Payroll Taxes as a % of Wages</t>
  </si>
  <si>
    <t xml:space="preserve">         60210 Partner Wages</t>
  </si>
  <si>
    <t>Health Benefits as a % of Wages</t>
  </si>
  <si>
    <t>Partner Salaries - Bobby</t>
  </si>
  <si>
    <t>Partner Salaries - Felicia</t>
  </si>
  <si>
    <t>EOY Contract Bookings Count</t>
  </si>
  <si>
    <t>Total Contract Bookings</t>
  </si>
  <si>
    <t xml:space="preserve">            Chase CC - 1758</t>
  </si>
  <si>
    <t xml:space="preserve">            PNC Cash Rewards - 3775</t>
  </si>
  <si>
    <t xml:space="preserve">            PNC Points Visa - 9782</t>
  </si>
  <si>
    <t>Kelly Athey</t>
  </si>
  <si>
    <t>Total Cost of Goods Sold (COGS)</t>
  </si>
  <si>
    <t>Advertising &amp; Marketing Expenses</t>
  </si>
  <si>
    <t>Q1</t>
  </si>
  <si>
    <t>Q2</t>
  </si>
  <si>
    <t>Q3</t>
  </si>
  <si>
    <t>Q4</t>
  </si>
  <si>
    <t>2024 AOP Income</t>
  </si>
  <si>
    <t>2024 AOP Net Income</t>
  </si>
  <si>
    <t>2024 AOP Avg. Appointments</t>
  </si>
  <si>
    <t>2024 AOP Avg. MRR</t>
  </si>
  <si>
    <t>2024 AOP Avg. Client Base</t>
  </si>
  <si>
    <t>Dave Harshman</t>
  </si>
  <si>
    <t>Service Start Date</t>
  </si>
  <si>
    <t>Estimate Start Date</t>
  </si>
  <si>
    <t xml:space="preserve">   40900 ALP Billable Expense Income</t>
  </si>
  <si>
    <t xml:space="preserve">      61300 Building Permits</t>
  </si>
  <si>
    <t xml:space="preserve">         40900 Construction in Progress</t>
  </si>
  <si>
    <t xml:space="preserve">   Total Other Assets</t>
  </si>
  <si>
    <t xml:space="preserve">      80200 Trademark</t>
  </si>
  <si>
    <t>Billable Expense Income</t>
  </si>
  <si>
    <t>Salary</t>
  </si>
  <si>
    <t>Partner Wages</t>
  </si>
  <si>
    <t>Variance (Forecast)</t>
  </si>
  <si>
    <t># of Recurring Client Base</t>
  </si>
  <si>
    <t>Net New Prospective Clients</t>
  </si>
  <si>
    <t># of Anticipated Appointments</t>
  </si>
  <si>
    <t># of Anticipated Clients</t>
  </si>
  <si>
    <t>Reschedule/Cancellation Rate</t>
  </si>
  <si>
    <t>Client Base Growth Rate</t>
  </si>
  <si>
    <t>Client Hit Rate</t>
  </si>
  <si>
    <t>Appt Multiplier</t>
  </si>
  <si>
    <t>Total Billable Hours</t>
  </si>
  <si>
    <t>Realized / Effective Bill Rate</t>
  </si>
  <si>
    <t>Productivity Utilization</t>
  </si>
  <si>
    <t>GP%</t>
  </si>
  <si>
    <t>Office Supplies &amp; Software</t>
  </si>
  <si>
    <t>Insurance</t>
  </si>
  <si>
    <t>NOI%</t>
  </si>
  <si>
    <t>Owner Personal Burden</t>
  </si>
  <si>
    <t># of Active Contracts</t>
  </si>
  <si>
    <t>Supplies &amp; Materials - COGS</t>
  </si>
  <si>
    <t>Subcontractors - COGS</t>
  </si>
  <si>
    <t>Subcontractors - COGS (Contractor Services)</t>
  </si>
  <si>
    <t>Total COGS</t>
  </si>
  <si>
    <t>Owner Payroll Expenses</t>
  </si>
  <si>
    <t>Legal &amp; Accounting Services</t>
  </si>
  <si>
    <t>Travel</t>
  </si>
  <si>
    <t>Memberships, Dues &amp; Subscriptions</t>
  </si>
  <si>
    <t>Meals (50% Deductible)</t>
  </si>
  <si>
    <t>Phone</t>
  </si>
  <si>
    <t>Bank Fees &amp; Services Charges</t>
  </si>
  <si>
    <t>Business Licenses</t>
  </si>
  <si>
    <t>Donations</t>
  </si>
  <si>
    <t>Training &amp; Development</t>
  </si>
  <si>
    <t>Building Permits</t>
  </si>
  <si>
    <t xml:space="preserve">            90000 Payroll Liabilities</t>
  </si>
  <si>
    <t xml:space="preserve">               90100 Payroll Wages Payable</t>
  </si>
  <si>
    <t xml:space="preserve">               90200 Payroll Taxes Payable</t>
  </si>
  <si>
    <t xml:space="preserve">            Total 90000 Payroll Liabilities</t>
  </si>
  <si>
    <t>Variance (Budget)</t>
  </si>
  <si>
    <t>Budget</t>
  </si>
  <si>
    <t xml:space="preserve">         60250 Office Rental</t>
  </si>
  <si>
    <t xml:space="preserve">         10300 Chase Savings - 0221</t>
  </si>
  <si>
    <t xml:space="preserve">            70100 Accrued Expenses</t>
  </si>
  <si>
    <t>Q1 2025</t>
  </si>
  <si>
    <t>Q2 2025</t>
  </si>
  <si>
    <t>Q3 2025</t>
  </si>
  <si>
    <t>Q4 2025</t>
  </si>
  <si>
    <t>ALP Billable Expense Income</t>
  </si>
  <si>
    <t xml:space="preserve">               90300 Employee Reimbursements Payable</t>
  </si>
  <si>
    <t xml:space="preserve">         60140 401k/Health/Retirement Benefits</t>
  </si>
  <si>
    <t>Liquid Cash (Net of Escrow)</t>
  </si>
  <si>
    <t>Cash Disbursements</t>
  </si>
  <si>
    <t>Liquid Cash Runway in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</si>
</sst>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[$-409]mmmm;@"/>
    <numFmt numFmtId="170" formatCode="[$-409]mmmm\-yy;@"/>
    <numFmt numFmtId="171" formatCode="_(&quot;$&quot;* #,##0_);_(&quot;$&quot;* \(#,##0\);_(&quot;$&quot;* &quot;-&quot;??_);_(@_)"/>
    <numFmt numFmtId="172" formatCode="_([$$]#,##0_)_%;\([$$]#,##0\)_%;_(&quot;–&quot;_)_%;_(@_)_%"/>
    <numFmt numFmtId="173" formatCode="0.0%"/>
    <numFmt numFmtId="174" formatCode="0.00000"/>
    <numFmt numFmtId="175" formatCode="_(&quot;$&quot;* #,##0.000_);_(&quot;$&quot;* \(#,##0.000\);_(&quot;$&quot;* &quot;-&quot;??_);_(@_)"/>
    <numFmt numFmtId="176" formatCode="0\ &quot;months&quot;"/>
    <numFmt numFmtId="177" formatCode="_(0.00\x_)_);_(\(0.00\x\)"/>
    <numFmt numFmtId="178" formatCode="#,##0.0%_);\(#,##0.0%\)"/>
    <numFmt numFmtId="179" formatCode="&quot;$&quot;#,##0.0_);\(&quot;$&quot;#,##0.0\)"/>
    <numFmt numFmtId="180" formatCode="#,##0.0\x_)"/>
    <numFmt numFmtId="181" formatCode="#,##0.0_);\(#,##0.0\)"/>
    <numFmt numFmtId="182" formatCode="#,##0.000_);\(#,##0.000\)"/>
    <numFmt numFmtId="183" formatCode="_(* #\ ##0.00_)&quot;month(s)&quot;;_(* #\ ##0.00_)&quot;month(s)&quot;;_(* &quot;-&quot;??_);_(@_)&quot;month(s)&quot;"/>
    <numFmt numFmtId="184" formatCode="[$-409]mmmm\ yyyy;@"/>
    <numFmt numFmtId="185" formatCode="0\ \x"/>
    <numFmt numFmtId="186" formatCode="0.00\ \x"/>
    <numFmt numFmtId="187" formatCode="_(* #,##0.00_)\ \x;_(* \(#,##0.00\)\ \x;_(* &quot;-&quot;??_);_(@_)\ \x"/>
  </numFmts>
  <fonts count="6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sz val="10"/>
      <color theme="9"/>
      <name val="Arial"/>
      <family val="2"/>
    </font>
    <font>
      <sz val="11"/>
      <color rgb="FFFFFF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8"/>
      <color theme="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dotted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indexed="64"/>
      </left>
      <right style="dotted">
        <color indexed="64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4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/>
    <xf numFmtId="14" fontId="8" fillId="4" borderId="0" xfId="0" applyNumberFormat="1" applyFont="1" applyFill="1" applyAlignment="1">
      <alignment horizontal="center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2" fillId="0" borderId="0" xfId="0" applyFont="1" applyAlignment="1">
      <alignment horizontal="right" wrapText="1"/>
    </xf>
    <xf numFmtId="2" fontId="0" fillId="0" borderId="2" xfId="3" applyNumberFormat="1" applyFont="1" applyBorder="1"/>
    <xf numFmtId="0" fontId="5" fillId="6" borderId="2" xfId="0" applyFont="1" applyFill="1" applyBorder="1" applyAlignment="1">
      <alignment horizontal="left" wrapText="1"/>
    </xf>
    <xf numFmtId="0" fontId="22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4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26" fillId="4" borderId="0" xfId="0" applyFont="1" applyFill="1" applyAlignment="1">
      <alignment horizontal="right" vertical="center"/>
    </xf>
    <xf numFmtId="169" fontId="27" fillId="4" borderId="0" xfId="0" applyNumberFormat="1" applyFont="1" applyFill="1" applyAlignment="1">
      <alignment horizontal="center" vertical="center"/>
    </xf>
    <xf numFmtId="0" fontId="28" fillId="4" borderId="0" xfId="0" applyFont="1" applyFill="1" applyAlignment="1">
      <alignment vertical="center"/>
    </xf>
    <xf numFmtId="170" fontId="2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1" fontId="16" fillId="2" borderId="2" xfId="2" applyNumberFormat="1" applyFont="1" applyFill="1" applyBorder="1" applyAlignment="1">
      <alignment horizontal="right"/>
    </xf>
    <xf numFmtId="171" fontId="0" fillId="0" borderId="0" xfId="2" applyNumberFormat="1" applyFont="1" applyBorder="1" applyAlignment="1">
      <alignment horizontal="right"/>
    </xf>
    <xf numFmtId="172" fontId="0" fillId="0" borderId="0" xfId="0" applyNumberFormat="1"/>
    <xf numFmtId="171" fontId="28" fillId="0" borderId="0" xfId="2" applyNumberFormat="1" applyFont="1"/>
    <xf numFmtId="0" fontId="11" fillId="2" borderId="2" xfId="0" applyFont="1" applyFill="1" applyBorder="1" applyAlignment="1">
      <alignment horizontal="right"/>
    </xf>
    <xf numFmtId="171" fontId="11" fillId="2" borderId="2" xfId="2" applyNumberFormat="1" applyFont="1" applyFill="1" applyBorder="1" applyAlignment="1"/>
    <xf numFmtId="171" fontId="0" fillId="0" borderId="0" xfId="2" applyNumberFormat="1" applyFont="1" applyAlignment="1"/>
    <xf numFmtId="0" fontId="30" fillId="0" borderId="0" xfId="0" applyFont="1" applyAlignment="1">
      <alignment horizontal="right"/>
    </xf>
    <xf numFmtId="168" fontId="30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1" fontId="27" fillId="10" borderId="2" xfId="2" applyNumberFormat="1" applyFont="1" applyFill="1" applyBorder="1" applyAlignment="1">
      <alignment horizontal="right"/>
    </xf>
    <xf numFmtId="171" fontId="27" fillId="10" borderId="2" xfId="2" applyNumberFormat="1" applyFont="1" applyFill="1" applyBorder="1"/>
    <xf numFmtId="0" fontId="29" fillId="10" borderId="0" xfId="0" applyFont="1" applyFill="1" applyAlignment="1">
      <alignment horizontal="right"/>
    </xf>
    <xf numFmtId="168" fontId="29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0" fillId="0" borderId="0" xfId="1" applyFont="1"/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1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2" fillId="0" borderId="0" xfId="3" applyFont="1" applyBorder="1"/>
    <xf numFmtId="173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0" fontId="18" fillId="2" borderId="15" xfId="0" applyFont="1" applyFill="1" applyBorder="1"/>
    <xf numFmtId="0" fontId="19" fillId="2" borderId="15" xfId="0" applyFont="1" applyFill="1" applyBorder="1" applyAlignment="1">
      <alignment horizontal="left"/>
    </xf>
    <xf numFmtId="0" fontId="20" fillId="2" borderId="15" xfId="0" applyFont="1" applyFill="1" applyBorder="1"/>
    <xf numFmtId="168" fontId="19" fillId="2" borderId="15" xfId="0" applyNumberFormat="1" applyFont="1" applyFill="1" applyBorder="1"/>
    <xf numFmtId="168" fontId="19" fillId="2" borderId="16" xfId="0" applyNumberFormat="1" applyFont="1" applyFill="1" applyBorder="1"/>
    <xf numFmtId="169" fontId="27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1" fontId="16" fillId="2" borderId="13" xfId="2" applyNumberFormat="1" applyFont="1" applyFill="1" applyBorder="1" applyAlignment="1">
      <alignment horizontal="right"/>
    </xf>
    <xf numFmtId="172" fontId="0" fillId="0" borderId="12" xfId="0" applyNumberFormat="1" applyBorder="1"/>
    <xf numFmtId="171" fontId="27" fillId="10" borderId="13" xfId="2" applyNumberFormat="1" applyFont="1" applyFill="1" applyBorder="1"/>
    <xf numFmtId="168" fontId="29" fillId="10" borderId="12" xfId="0" applyNumberFormat="1" applyFont="1" applyFill="1" applyBorder="1" applyAlignment="1">
      <alignment horizontal="right"/>
    </xf>
    <xf numFmtId="171" fontId="11" fillId="2" borderId="13" xfId="2" applyNumberFormat="1" applyFont="1" applyFill="1" applyBorder="1" applyAlignment="1"/>
    <xf numFmtId="168" fontId="30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 wrapText="1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43" fontId="11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0" fontId="0" fillId="2" borderId="0" xfId="0" applyFill="1"/>
    <xf numFmtId="0" fontId="0" fillId="0" borderId="23" xfId="0" applyBorder="1"/>
    <xf numFmtId="14" fontId="0" fillId="0" borderId="0" xfId="0" applyNumberFormat="1"/>
    <xf numFmtId="0" fontId="0" fillId="0" borderId="26" xfId="0" applyBorder="1"/>
    <xf numFmtId="44" fontId="0" fillId="0" borderId="0" xfId="2" applyFont="1" applyBorder="1"/>
    <xf numFmtId="44" fontId="0" fillId="0" borderId="26" xfId="0" applyNumberFormat="1" applyBorder="1"/>
    <xf numFmtId="0" fontId="0" fillId="0" borderId="34" xfId="0" applyBorder="1"/>
    <xf numFmtId="2" fontId="0" fillId="0" borderId="0" xfId="3" applyNumberFormat="1" applyFont="1"/>
    <xf numFmtId="174" fontId="0" fillId="0" borderId="0" xfId="0" applyNumberFormat="1"/>
    <xf numFmtId="0" fontId="8" fillId="4" borderId="21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14" fontId="8" fillId="4" borderId="21" xfId="0" applyNumberFormat="1" applyFont="1" applyFill="1" applyBorder="1" applyAlignment="1">
      <alignment horizontal="center"/>
    </xf>
    <xf numFmtId="0" fontId="0" fillId="0" borderId="21" xfId="0" applyBorder="1"/>
    <xf numFmtId="43" fontId="0" fillId="0" borderId="21" xfId="1" applyFont="1" applyBorder="1"/>
    <xf numFmtId="44" fontId="11" fillId="0" borderId="17" xfId="0" applyNumberFormat="1" applyFont="1" applyBorder="1"/>
    <xf numFmtId="44" fontId="11" fillId="0" borderId="21" xfId="0" applyNumberFormat="1" applyFont="1" applyBorder="1"/>
    <xf numFmtId="168" fontId="19" fillId="2" borderId="20" xfId="0" applyNumberFormat="1" applyFont="1" applyFill="1" applyBorder="1"/>
    <xf numFmtId="44" fontId="11" fillId="0" borderId="14" xfId="0" applyNumberFormat="1" applyFont="1" applyBorder="1"/>
    <xf numFmtId="44" fontId="11" fillId="4" borderId="21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0" fontId="0" fillId="4" borderId="21" xfId="0" applyFill="1" applyBorder="1"/>
    <xf numFmtId="44" fontId="0" fillId="0" borderId="17" xfId="0" applyNumberFormat="1" applyBorder="1"/>
    <xf numFmtId="44" fontId="0" fillId="0" borderId="21" xfId="0" applyNumberFormat="1" applyBorder="1"/>
    <xf numFmtId="169" fontId="27" fillId="4" borderId="37" xfId="0" applyNumberFormat="1" applyFont="1" applyFill="1" applyBorder="1" applyAlignment="1">
      <alignment horizontal="center" vertical="center"/>
    </xf>
    <xf numFmtId="14" fontId="10" fillId="0" borderId="37" xfId="0" applyNumberFormat="1" applyFont="1" applyBorder="1"/>
    <xf numFmtId="167" fontId="0" fillId="0" borderId="37" xfId="0" applyNumberFormat="1" applyBorder="1" applyAlignment="1">
      <alignment horizontal="right" vertical="center"/>
    </xf>
    <xf numFmtId="171" fontId="16" fillId="2" borderId="38" xfId="2" applyNumberFormat="1" applyFont="1" applyFill="1" applyBorder="1" applyAlignment="1">
      <alignment horizontal="right"/>
    </xf>
    <xf numFmtId="172" fontId="0" fillId="0" borderId="37" xfId="0" applyNumberFormat="1" applyBorder="1"/>
    <xf numFmtId="171" fontId="27" fillId="10" borderId="38" xfId="2" applyNumberFormat="1" applyFont="1" applyFill="1" applyBorder="1"/>
    <xf numFmtId="168" fontId="29" fillId="10" borderId="37" xfId="0" applyNumberFormat="1" applyFont="1" applyFill="1" applyBorder="1" applyAlignment="1">
      <alignment horizontal="right"/>
    </xf>
    <xf numFmtId="0" fontId="0" fillId="0" borderId="37" xfId="0" applyBorder="1"/>
    <xf numFmtId="171" fontId="11" fillId="2" borderId="38" xfId="2" applyNumberFormat="1" applyFont="1" applyFill="1" applyBorder="1" applyAlignment="1"/>
    <xf numFmtId="168" fontId="30" fillId="0" borderId="37" xfId="0" applyNumberFormat="1" applyFont="1" applyBorder="1"/>
    <xf numFmtId="43" fontId="0" fillId="0" borderId="37" xfId="1" applyFont="1" applyBorder="1" applyAlignment="1">
      <alignment horizontal="right" vertical="center"/>
    </xf>
    <xf numFmtId="44" fontId="8" fillId="4" borderId="40" xfId="2" applyFont="1" applyFill="1" applyBorder="1" applyAlignment="1">
      <alignment horizontal="right"/>
    </xf>
    <xf numFmtId="44" fontId="8" fillId="4" borderId="39" xfId="0" applyNumberFormat="1" applyFont="1" applyFill="1" applyBorder="1" applyAlignment="1">
      <alignment horizontal="right"/>
    </xf>
    <xf numFmtId="0" fontId="25" fillId="3" borderId="0" xfId="0" applyFont="1" applyFill="1"/>
    <xf numFmtId="2" fontId="0" fillId="0" borderId="0" xfId="3" applyNumberFormat="1" applyFont="1" applyBorder="1"/>
    <xf numFmtId="172" fontId="11" fillId="0" borderId="37" xfId="0" applyNumberFormat="1" applyFont="1" applyBorder="1"/>
    <xf numFmtId="167" fontId="11" fillId="7" borderId="37" xfId="0" applyNumberFormat="1" applyFont="1" applyFill="1" applyBorder="1" applyAlignment="1">
      <alignment horizontal="right" vertical="center"/>
    </xf>
    <xf numFmtId="171" fontId="16" fillId="7" borderId="38" xfId="2" applyNumberFormat="1" applyFont="1" applyFill="1" applyBorder="1" applyAlignment="1">
      <alignment horizontal="right"/>
    </xf>
    <xf numFmtId="172" fontId="11" fillId="7" borderId="37" xfId="0" applyNumberFormat="1" applyFont="1" applyFill="1" applyBorder="1"/>
    <xf numFmtId="171" fontId="34" fillId="7" borderId="38" xfId="2" applyNumberFormat="1" applyFont="1" applyFill="1" applyBorder="1"/>
    <xf numFmtId="168" fontId="35" fillId="7" borderId="37" xfId="0" applyNumberFormat="1" applyFont="1" applyFill="1" applyBorder="1" applyAlignment="1">
      <alignment horizontal="right"/>
    </xf>
    <xf numFmtId="0" fontId="16" fillId="7" borderId="37" xfId="0" applyFont="1" applyFill="1" applyBorder="1"/>
    <xf numFmtId="167" fontId="16" fillId="7" borderId="37" xfId="0" applyNumberFormat="1" applyFont="1" applyFill="1" applyBorder="1" applyAlignment="1">
      <alignment horizontal="right" vertical="center"/>
    </xf>
    <xf numFmtId="171" fontId="16" fillId="7" borderId="38" xfId="2" applyNumberFormat="1" applyFont="1" applyFill="1" applyBorder="1" applyAlignment="1"/>
    <xf numFmtId="168" fontId="35" fillId="7" borderId="37" xfId="0" applyNumberFormat="1" applyFont="1" applyFill="1" applyBorder="1"/>
    <xf numFmtId="43" fontId="16" fillId="7" borderId="37" xfId="1" applyFont="1" applyFill="1" applyBorder="1" applyAlignment="1">
      <alignment horizontal="right" vertical="center"/>
    </xf>
    <xf numFmtId="168" fontId="14" fillId="7" borderId="37" xfId="0" applyNumberFormat="1" applyFont="1" applyFill="1" applyBorder="1" applyAlignment="1">
      <alignment horizontal="right"/>
    </xf>
    <xf numFmtId="0" fontId="17" fillId="0" borderId="37" xfId="0" applyFont="1" applyBorder="1"/>
    <xf numFmtId="171" fontId="0" fillId="0" borderId="0" xfId="2" applyNumberFormat="1" applyFont="1"/>
    <xf numFmtId="44" fontId="25" fillId="3" borderId="0" xfId="0" applyNumberFormat="1" applyFont="1" applyFill="1"/>
    <xf numFmtId="167" fontId="16" fillId="2" borderId="0" xfId="1" applyNumberFormat="1" applyFont="1" applyFill="1" applyBorder="1" applyAlignment="1">
      <alignment horizontal="right"/>
    </xf>
    <xf numFmtId="171" fontId="0" fillId="0" borderId="0" xfId="0" applyNumberFormat="1"/>
    <xf numFmtId="0" fontId="26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1" fontId="16" fillId="2" borderId="43" xfId="2" applyNumberFormat="1" applyFont="1" applyFill="1" applyBorder="1" applyAlignment="1">
      <alignment horizontal="right"/>
    </xf>
    <xf numFmtId="171" fontId="16" fillId="2" borderId="7" xfId="2" applyNumberFormat="1" applyFont="1" applyFill="1" applyBorder="1" applyAlignment="1">
      <alignment horizontal="right"/>
    </xf>
    <xf numFmtId="171" fontId="27" fillId="10" borderId="43" xfId="2" applyNumberFormat="1" applyFont="1" applyFill="1" applyBorder="1" applyAlignment="1">
      <alignment horizontal="right"/>
    </xf>
    <xf numFmtId="0" fontId="29" fillId="10" borderId="7" xfId="0" applyFont="1" applyFill="1" applyBorder="1" applyAlignment="1">
      <alignment horizontal="right"/>
    </xf>
    <xf numFmtId="0" fontId="11" fillId="2" borderId="43" xfId="0" applyFont="1" applyFill="1" applyBorder="1" applyAlignment="1">
      <alignment horizontal="right"/>
    </xf>
    <xf numFmtId="0" fontId="30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10" fontId="0" fillId="2" borderId="30" xfId="3" applyNumberFormat="1" applyFont="1" applyFill="1" applyBorder="1" applyAlignment="1"/>
    <xf numFmtId="44" fontId="0" fillId="0" borderId="33" xfId="0" applyNumberFormat="1" applyBorder="1"/>
    <xf numFmtId="171" fontId="27" fillId="10" borderId="12" xfId="2" applyNumberFormat="1" applyFont="1" applyFill="1" applyBorder="1"/>
    <xf numFmtId="171" fontId="27" fillId="10" borderId="0" xfId="2" applyNumberFormat="1" applyFont="1" applyFill="1" applyBorder="1"/>
    <xf numFmtId="171" fontId="37" fillId="10" borderId="0" xfId="2" applyNumberFormat="1" applyFont="1" applyFill="1" applyBorder="1"/>
    <xf numFmtId="0" fontId="27" fillId="4" borderId="0" xfId="0" applyFont="1" applyFill="1" applyAlignment="1">
      <alignment horizontal="center" vertical="center"/>
    </xf>
    <xf numFmtId="0" fontId="30" fillId="0" borderId="48" xfId="0" applyFont="1" applyBorder="1" applyAlignment="1">
      <alignment horizontal="left"/>
    </xf>
    <xf numFmtId="0" fontId="27" fillId="0" borderId="0" xfId="0" applyFont="1" applyAlignment="1">
      <alignment horizontal="center"/>
    </xf>
    <xf numFmtId="0" fontId="27" fillId="0" borderId="21" xfId="0" applyFont="1" applyBorder="1" applyAlignment="1">
      <alignment horizontal="center"/>
    </xf>
    <xf numFmtId="0" fontId="0" fillId="0" borderId="48" xfId="0" applyBorder="1" applyAlignment="1">
      <alignment horizontal="right" vertical="center"/>
    </xf>
    <xf numFmtId="167" fontId="0" fillId="0" borderId="21" xfId="1" applyNumberFormat="1" applyFont="1" applyBorder="1"/>
    <xf numFmtId="171" fontId="16" fillId="2" borderId="49" xfId="2" applyNumberFormat="1" applyFont="1" applyFill="1" applyBorder="1" applyAlignment="1">
      <alignment horizontal="right"/>
    </xf>
    <xf numFmtId="0" fontId="31" fillId="0" borderId="48" xfId="0" applyFont="1" applyBorder="1" applyAlignment="1">
      <alignment horizontal="right" vertical="top"/>
    </xf>
    <xf numFmtId="9" fontId="32" fillId="0" borderId="21" xfId="3" applyFont="1" applyBorder="1"/>
    <xf numFmtId="0" fontId="0" fillId="0" borderId="48" xfId="0" applyBorder="1" applyAlignment="1">
      <alignment horizontal="right"/>
    </xf>
    <xf numFmtId="171" fontId="27" fillId="10" borderId="49" xfId="2" applyNumberFormat="1" applyFont="1" applyFill="1" applyBorder="1" applyAlignment="1">
      <alignment horizontal="right"/>
    </xf>
    <xf numFmtId="171" fontId="27" fillId="10" borderId="17" xfId="2" applyNumberFormat="1" applyFont="1" applyFill="1" applyBorder="1"/>
    <xf numFmtId="0" fontId="29" fillId="10" borderId="48" xfId="0" applyFont="1" applyFill="1" applyBorder="1" applyAlignment="1">
      <alignment horizontal="right"/>
    </xf>
    <xf numFmtId="168" fontId="29" fillId="10" borderId="21" xfId="0" applyNumberFormat="1" applyFont="1" applyFill="1" applyBorder="1" applyAlignment="1">
      <alignment horizontal="right"/>
    </xf>
    <xf numFmtId="172" fontId="0" fillId="0" borderId="21" xfId="0" applyNumberFormat="1" applyBorder="1"/>
    <xf numFmtId="0" fontId="30" fillId="0" borderId="48" xfId="0" applyFont="1" applyBorder="1" applyAlignment="1">
      <alignment horizontal="right"/>
    </xf>
    <xf numFmtId="168" fontId="30" fillId="0" borderId="21" xfId="0" applyNumberFormat="1" applyFont="1" applyBorder="1"/>
    <xf numFmtId="171" fontId="27" fillId="10" borderId="21" xfId="2" applyNumberFormat="1" applyFont="1" applyFill="1" applyBorder="1"/>
    <xf numFmtId="0" fontId="39" fillId="0" borderId="50" xfId="0" applyFont="1" applyBorder="1" applyAlignment="1">
      <alignment horizontal="right"/>
    </xf>
    <xf numFmtId="171" fontId="38" fillId="0" borderId="1" xfId="2" applyNumberFormat="1" applyFont="1" applyFill="1" applyBorder="1"/>
    <xf numFmtId="171" fontId="27" fillId="0" borderId="0" xfId="2" applyNumberFormat="1" applyFont="1" applyFill="1" applyBorder="1"/>
    <xf numFmtId="0" fontId="14" fillId="0" borderId="48" xfId="0" applyFont="1" applyBorder="1" applyAlignment="1">
      <alignment horizontal="right"/>
    </xf>
    <xf numFmtId="167" fontId="0" fillId="0" borderId="0" xfId="1" applyNumberFormat="1" applyFont="1" applyFill="1" applyBorder="1"/>
    <xf numFmtId="9" fontId="32" fillId="0" borderId="0" xfId="3" applyFont="1" applyFill="1" applyBorder="1"/>
    <xf numFmtId="0" fontId="27" fillId="0" borderId="0" xfId="0" applyFont="1" applyAlignment="1">
      <alignment horizontal="center" vertical="center"/>
    </xf>
    <xf numFmtId="171" fontId="16" fillId="0" borderId="0" xfId="2" applyNumberFormat="1" applyFont="1" applyFill="1" applyBorder="1"/>
    <xf numFmtId="168" fontId="29" fillId="0" borderId="0" xfId="0" applyNumberFormat="1" applyFont="1" applyAlignment="1">
      <alignment horizontal="right"/>
    </xf>
    <xf numFmtId="171" fontId="11" fillId="0" borderId="0" xfId="2" applyNumberFormat="1" applyFont="1" applyFill="1" applyBorder="1"/>
    <xf numFmtId="44" fontId="16" fillId="0" borderId="54" xfId="2" applyFont="1" applyFill="1" applyBorder="1" applyAlignment="1">
      <alignment horizontal="center"/>
    </xf>
    <xf numFmtId="44" fontId="16" fillId="0" borderId="53" xfId="2" applyFont="1" applyFill="1" applyBorder="1" applyAlignment="1">
      <alignment horizontal="center"/>
    </xf>
    <xf numFmtId="44" fontId="40" fillId="0" borderId="47" xfId="2" applyFont="1" applyFill="1" applyBorder="1" applyAlignment="1">
      <alignment horizontal="center"/>
    </xf>
    <xf numFmtId="171" fontId="41" fillId="0" borderId="0" xfId="2" applyNumberFormat="1" applyFont="1" applyFill="1" applyBorder="1"/>
    <xf numFmtId="171" fontId="41" fillId="0" borderId="21" xfId="2" applyNumberFormat="1" applyFont="1" applyFill="1" applyBorder="1"/>
    <xf numFmtId="44" fontId="0" fillId="0" borderId="0" xfId="2" applyFont="1"/>
    <xf numFmtId="44" fontId="25" fillId="3" borderId="0" xfId="2" applyFont="1" applyFill="1"/>
    <xf numFmtId="171" fontId="27" fillId="10" borderId="48" xfId="2" applyNumberFormat="1" applyFont="1" applyFill="1" applyBorder="1" applyAlignment="1">
      <alignment horizontal="right"/>
    </xf>
    <xf numFmtId="0" fontId="0" fillId="0" borderId="1" xfId="0" applyBorder="1"/>
    <xf numFmtId="0" fontId="5" fillId="0" borderId="1" xfId="0" applyFont="1" applyBorder="1" applyAlignment="1">
      <alignment horizontal="left" wrapText="1"/>
    </xf>
    <xf numFmtId="44" fontId="11" fillId="0" borderId="51" xfId="0" applyNumberFormat="1" applyFont="1" applyBorder="1"/>
    <xf numFmtId="44" fontId="42" fillId="6" borderId="0" xfId="0" applyNumberFormat="1" applyFont="1" applyFill="1"/>
    <xf numFmtId="44" fontId="42" fillId="6" borderId="21" xfId="0" applyNumberFormat="1" applyFont="1" applyFill="1" applyBorder="1"/>
    <xf numFmtId="43" fontId="0" fillId="0" borderId="1" xfId="1" applyFont="1" applyBorder="1"/>
    <xf numFmtId="43" fontId="0" fillId="6" borderId="0" xfId="1" applyFont="1" applyFill="1" applyBorder="1"/>
    <xf numFmtId="44" fontId="0" fillId="12" borderId="14" xfId="0" applyNumberFormat="1" applyFill="1" applyBorder="1"/>
    <xf numFmtId="0" fontId="0" fillId="7" borderId="2" xfId="0" applyFill="1" applyBorder="1"/>
    <xf numFmtId="0" fontId="5" fillId="7" borderId="2" xfId="0" applyFont="1" applyFill="1" applyBorder="1" applyAlignment="1">
      <alignment horizontal="left" wrapText="1"/>
    </xf>
    <xf numFmtId="44" fontId="11" fillId="7" borderId="2" xfId="0" applyNumberFormat="1" applyFont="1" applyFill="1" applyBorder="1"/>
    <xf numFmtId="44" fontId="11" fillId="7" borderId="17" xfId="0" applyNumberFormat="1" applyFont="1" applyFill="1" applyBorder="1"/>
    <xf numFmtId="10" fontId="11" fillId="0" borderId="0" xfId="3" applyNumberFormat="1" applyFont="1" applyBorder="1"/>
    <xf numFmtId="171" fontId="16" fillId="2" borderId="0" xfId="2" applyNumberFormat="1" applyFont="1" applyFill="1" applyBorder="1" applyAlignment="1">
      <alignment horizontal="right"/>
    </xf>
    <xf numFmtId="171" fontId="16" fillId="2" borderId="12" xfId="2" applyNumberFormat="1" applyFont="1" applyFill="1" applyBorder="1" applyAlignment="1">
      <alignment horizontal="right"/>
    </xf>
    <xf numFmtId="171" fontId="16" fillId="2" borderId="37" xfId="2" applyNumberFormat="1" applyFont="1" applyFill="1" applyBorder="1" applyAlignment="1">
      <alignment horizontal="right"/>
    </xf>
    <xf numFmtId="171" fontId="27" fillId="10" borderId="0" xfId="2" applyNumberFormat="1" applyFont="1" applyFill="1" applyBorder="1" applyAlignment="1">
      <alignment horizontal="right"/>
    </xf>
    <xf numFmtId="171" fontId="27" fillId="10" borderId="37" xfId="2" applyNumberFormat="1" applyFont="1" applyFill="1" applyBorder="1"/>
    <xf numFmtId="0" fontId="26" fillId="4" borderId="49" xfId="0" applyFont="1" applyFill="1" applyBorder="1" applyAlignment="1">
      <alignment horizontal="right" vertical="center"/>
    </xf>
    <xf numFmtId="169" fontId="27" fillId="4" borderId="13" xfId="0" applyNumberFormat="1" applyFont="1" applyFill="1" applyBorder="1" applyAlignment="1">
      <alignment horizontal="center" vertical="center"/>
    </xf>
    <xf numFmtId="169" fontId="27" fillId="4" borderId="2" xfId="0" applyNumberFormat="1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vertical="center"/>
    </xf>
    <xf numFmtId="170" fontId="27" fillId="4" borderId="17" xfId="0" applyNumberFormat="1" applyFont="1" applyFill="1" applyBorder="1" applyAlignment="1">
      <alignment horizontal="center" vertical="center"/>
    </xf>
    <xf numFmtId="167" fontId="0" fillId="0" borderId="21" xfId="0" applyNumberFormat="1" applyBorder="1" applyAlignment="1">
      <alignment horizontal="right" vertical="center"/>
    </xf>
    <xf numFmtId="171" fontId="16" fillId="2" borderId="17" xfId="2" applyNumberFormat="1" applyFont="1" applyFill="1" applyBorder="1" applyAlignment="1">
      <alignment horizontal="right"/>
    </xf>
    <xf numFmtId="171" fontId="16" fillId="2" borderId="48" xfId="2" applyNumberFormat="1" applyFont="1" applyFill="1" applyBorder="1" applyAlignment="1">
      <alignment horizontal="right"/>
    </xf>
    <xf numFmtId="171" fontId="16" fillId="2" borderId="21" xfId="2" applyNumberFormat="1" applyFont="1" applyFill="1" applyBorder="1" applyAlignment="1">
      <alignment horizontal="right"/>
    </xf>
    <xf numFmtId="171" fontId="28" fillId="0" borderId="0" xfId="2" applyNumberFormat="1" applyFont="1" applyBorder="1"/>
    <xf numFmtId="0" fontId="11" fillId="2" borderId="49" xfId="0" applyFont="1" applyFill="1" applyBorder="1" applyAlignment="1">
      <alignment horizontal="right"/>
    </xf>
    <xf numFmtId="171" fontId="0" fillId="0" borderId="0" xfId="2" applyNumberFormat="1" applyFont="1" applyBorder="1" applyAlignment="1"/>
    <xf numFmtId="171" fontId="11" fillId="2" borderId="17" xfId="2" applyNumberFormat="1" applyFont="1" applyFill="1" applyBorder="1" applyAlignment="1"/>
    <xf numFmtId="0" fontId="8" fillId="4" borderId="55" xfId="0" applyFont="1" applyFill="1" applyBorder="1" applyAlignment="1">
      <alignment horizontal="right"/>
    </xf>
    <xf numFmtId="171" fontId="37" fillId="10" borderId="21" xfId="2" applyNumberFormat="1" applyFont="1" applyFill="1" applyBorder="1"/>
    <xf numFmtId="0" fontId="8" fillId="4" borderId="50" xfId="0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56" xfId="0" applyNumberFormat="1" applyFont="1" applyFill="1" applyBorder="1" applyAlignment="1">
      <alignment horizontal="right"/>
    </xf>
    <xf numFmtId="171" fontId="37" fillId="10" borderId="51" xfId="2" applyNumberFormat="1" applyFont="1" applyFill="1" applyBorder="1"/>
    <xf numFmtId="44" fontId="0" fillId="0" borderId="51" xfId="0" applyNumberFormat="1" applyBorder="1"/>
    <xf numFmtId="44" fontId="8" fillId="4" borderId="57" xfId="2" applyFont="1" applyFill="1" applyBorder="1" applyAlignment="1">
      <alignment horizontal="right"/>
    </xf>
    <xf numFmtId="44" fontId="8" fillId="4" borderId="58" xfId="0" applyNumberFormat="1" applyFont="1" applyFill="1" applyBorder="1" applyAlignment="1">
      <alignment horizontal="right"/>
    </xf>
    <xf numFmtId="0" fontId="0" fillId="0" borderId="5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14" fontId="16" fillId="0" borderId="59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48" xfId="0" applyBorder="1"/>
    <xf numFmtId="171" fontId="0" fillId="0" borderId="48" xfId="2" applyNumberFormat="1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176" fontId="25" fillId="3" borderId="54" xfId="0" applyNumberFormat="1" applyFont="1" applyFill="1" applyBorder="1" applyAlignment="1">
      <alignment horizontal="center"/>
    </xf>
    <xf numFmtId="1" fontId="44" fillId="6" borderId="48" xfId="0" applyNumberFormat="1" applyFont="1" applyFill="1" applyBorder="1"/>
    <xf numFmtId="0" fontId="44" fillId="6" borderId="0" xfId="0" applyFont="1" applyFill="1"/>
    <xf numFmtId="0" fontId="44" fillId="6" borderId="21" xfId="0" applyFont="1" applyFill="1" applyBorder="1"/>
    <xf numFmtId="0" fontId="0" fillId="0" borderId="52" xfId="0" applyBorder="1" applyAlignment="1">
      <alignment horizontal="center"/>
    </xf>
    <xf numFmtId="171" fontId="0" fillId="0" borderId="50" xfId="2" applyNumberFormat="1" applyFont="1" applyBorder="1" applyAlignment="1">
      <alignment horizontal="center"/>
    </xf>
    <xf numFmtId="0" fontId="0" fillId="0" borderId="47" xfId="0" applyBorder="1" applyAlignment="1">
      <alignment horizontal="center"/>
    </xf>
    <xf numFmtId="176" fontId="25" fillId="3" borderId="47" xfId="0" applyNumberFormat="1" applyFont="1" applyFill="1" applyBorder="1" applyAlignment="1">
      <alignment horizontal="center"/>
    </xf>
    <xf numFmtId="1" fontId="44" fillId="6" borderId="50" xfId="0" applyNumberFormat="1" applyFont="1" applyFill="1" applyBorder="1"/>
    <xf numFmtId="0" fontId="44" fillId="6" borderId="1" xfId="0" applyFont="1" applyFill="1" applyBorder="1"/>
    <xf numFmtId="0" fontId="44" fillId="6" borderId="51" xfId="0" applyFont="1" applyFill="1" applyBorder="1"/>
    <xf numFmtId="14" fontId="25" fillId="3" borderId="0" xfId="0" applyNumberFormat="1" applyFont="1" applyFill="1"/>
    <xf numFmtId="14" fontId="17" fillId="0" borderId="0" xfId="0" applyNumberFormat="1" applyFont="1"/>
    <xf numFmtId="44" fontId="0" fillId="0" borderId="48" xfId="2" applyFont="1" applyBorder="1"/>
    <xf numFmtId="44" fontId="0" fillId="0" borderId="21" xfId="2" applyFont="1" applyBorder="1"/>
    <xf numFmtId="44" fontId="0" fillId="0" borderId="50" xfId="2" applyFont="1" applyBorder="1"/>
    <xf numFmtId="44" fontId="0" fillId="0" borderId="1" xfId="2" applyFont="1" applyBorder="1"/>
    <xf numFmtId="44" fontId="0" fillId="0" borderId="51" xfId="2" applyFont="1" applyBorder="1"/>
    <xf numFmtId="0" fontId="0" fillId="0" borderId="50" xfId="0" applyBorder="1"/>
    <xf numFmtId="0" fontId="0" fillId="0" borderId="1" xfId="0" applyBorder="1" applyAlignment="1">
      <alignment horizontal="right"/>
    </xf>
    <xf numFmtId="14" fontId="16" fillId="0" borderId="52" xfId="0" applyNumberFormat="1" applyFont="1" applyBorder="1" applyAlignment="1">
      <alignment horizontal="center"/>
    </xf>
    <xf numFmtId="14" fontId="16" fillId="0" borderId="60" xfId="0" applyNumberFormat="1" applyFont="1" applyBorder="1" applyAlignment="1">
      <alignment horizontal="center"/>
    </xf>
    <xf numFmtId="1" fontId="42" fillId="3" borderId="0" xfId="0" applyNumberFormat="1" applyFont="1" applyFill="1" applyAlignment="1">
      <alignment horizontal="center"/>
    </xf>
    <xf numFmtId="1" fontId="42" fillId="3" borderId="2" xfId="0" applyNumberFormat="1" applyFont="1" applyFill="1" applyBorder="1" applyAlignment="1">
      <alignment horizontal="center"/>
    </xf>
    <xf numFmtId="9" fontId="0" fillId="0" borderId="0" xfId="0" applyNumberFormat="1"/>
    <xf numFmtId="1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9" fontId="16" fillId="7" borderId="0" xfId="3" applyFont="1" applyFill="1" applyBorder="1" applyAlignment="1">
      <alignment horizontal="center"/>
    </xf>
    <xf numFmtId="9" fontId="16" fillId="0" borderId="0" xfId="3" applyFont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11" fillId="0" borderId="2" xfId="0" applyFont="1" applyBorder="1"/>
    <xf numFmtId="1" fontId="11" fillId="0" borderId="2" xfId="0" applyNumberFormat="1" applyFont="1" applyBorder="1" applyAlignment="1">
      <alignment horizontal="center"/>
    </xf>
    <xf numFmtId="43" fontId="44" fillId="0" borderId="0" xfId="1" applyFont="1" applyBorder="1"/>
    <xf numFmtId="43" fontId="44" fillId="0" borderId="0" xfId="1" applyFont="1"/>
    <xf numFmtId="44" fontId="24" fillId="6" borderId="0" xfId="0" applyNumberFormat="1" applyFont="1" applyFill="1"/>
    <xf numFmtId="0" fontId="0" fillId="7" borderId="0" xfId="0" applyFill="1"/>
    <xf numFmtId="0" fontId="5" fillId="7" borderId="0" xfId="0" applyFont="1" applyFill="1" applyAlignment="1">
      <alignment horizontal="left" wrapText="1"/>
    </xf>
    <xf numFmtId="44" fontId="11" fillId="7" borderId="0" xfId="0" applyNumberFormat="1" applyFont="1" applyFill="1"/>
    <xf numFmtId="44" fontId="11" fillId="7" borderId="21" xfId="0" applyNumberFormat="1" applyFont="1" applyFill="1" applyBorder="1"/>
    <xf numFmtId="0" fontId="5" fillId="7" borderId="0" xfId="0" applyFont="1" applyFill="1" applyAlignment="1">
      <alignment horizontal="right" wrapText="1"/>
    </xf>
    <xf numFmtId="9" fontId="11" fillId="7" borderId="0" xfId="3" applyFont="1" applyFill="1" applyBorder="1"/>
    <xf numFmtId="173" fontId="11" fillId="7" borderId="0" xfId="3" applyNumberFormat="1" applyFont="1" applyFill="1" applyBorder="1"/>
    <xf numFmtId="10" fontId="11" fillId="7" borderId="0" xfId="3" applyNumberFormat="1" applyFont="1" applyFill="1" applyBorder="1"/>
    <xf numFmtId="9" fontId="11" fillId="7" borderId="21" xfId="3" applyFont="1" applyFill="1" applyBorder="1"/>
    <xf numFmtId="173" fontId="11" fillId="7" borderId="21" xfId="3" applyNumberFormat="1" applyFont="1" applyFill="1" applyBorder="1"/>
    <xf numFmtId="9" fontId="42" fillId="3" borderId="0" xfId="3" applyFont="1" applyFill="1" applyBorder="1"/>
    <xf numFmtId="44" fontId="25" fillId="3" borderId="1" xfId="2" applyFont="1" applyFill="1" applyBorder="1"/>
    <xf numFmtId="167" fontId="0" fillId="0" borderId="51" xfId="1" applyNumberFormat="1" applyFont="1" applyBorder="1"/>
    <xf numFmtId="43" fontId="42" fillId="7" borderId="0" xfId="1" applyFont="1" applyFill="1" applyBorder="1"/>
    <xf numFmtId="43" fontId="44" fillId="0" borderId="21" xfId="1" applyFont="1" applyBorder="1"/>
    <xf numFmtId="44" fontId="24" fillId="0" borderId="17" xfId="0" applyNumberFormat="1" applyFont="1" applyBorder="1"/>
    <xf numFmtId="44" fontId="24" fillId="6" borderId="21" xfId="0" applyNumberFormat="1" applyFont="1" applyFill="1" applyBorder="1"/>
    <xf numFmtId="43" fontId="0" fillId="6" borderId="21" xfId="1" applyFont="1" applyFill="1" applyBorder="1"/>
    <xf numFmtId="167" fontId="0" fillId="0" borderId="1" xfId="1" applyNumberFormat="1" applyFont="1" applyBorder="1"/>
    <xf numFmtId="173" fontId="29" fillId="10" borderId="0" xfId="3" applyNumberFormat="1" applyFont="1" applyFill="1" applyBorder="1" applyAlignment="1">
      <alignment horizontal="right"/>
    </xf>
    <xf numFmtId="0" fontId="0" fillId="0" borderId="52" xfId="0" applyBorder="1"/>
    <xf numFmtId="0" fontId="45" fillId="0" borderId="0" xfId="0" applyFont="1" applyAlignment="1">
      <alignment horizontal="right"/>
    </xf>
    <xf numFmtId="0" fontId="1" fillId="0" borderId="0" xfId="8"/>
    <xf numFmtId="14" fontId="1" fillId="0" borderId="0" xfId="8" applyNumberFormat="1"/>
    <xf numFmtId="0" fontId="46" fillId="0" borderId="0" xfId="0" applyFont="1" applyAlignment="1">
      <alignment horizontal="left"/>
    </xf>
    <xf numFmtId="0" fontId="46" fillId="0" borderId="2" xfId="0" applyFont="1" applyBorder="1" applyAlignment="1">
      <alignment horizontal="left"/>
    </xf>
    <xf numFmtId="43" fontId="0" fillId="0" borderId="2" xfId="0" applyNumberFormat="1" applyBorder="1"/>
    <xf numFmtId="0" fontId="46" fillId="0" borderId="0" xfId="0" applyFont="1"/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10" fontId="0" fillId="0" borderId="0" xfId="0" applyNumberFormat="1"/>
    <xf numFmtId="0" fontId="50" fillId="0" borderId="59" xfId="0" applyFont="1" applyBorder="1" applyAlignment="1">
      <alignment horizontal="centerContinuous"/>
    </xf>
    <xf numFmtId="0" fontId="51" fillId="0" borderId="3" xfId="0" applyFont="1" applyBorder="1" applyAlignment="1">
      <alignment horizontal="centerContinuous"/>
    </xf>
    <xf numFmtId="0" fontId="51" fillId="0" borderId="14" xfId="0" applyFont="1" applyBorder="1" applyAlignment="1">
      <alignment horizontal="centerContinuous"/>
    </xf>
    <xf numFmtId="0" fontId="46" fillId="0" borderId="49" xfId="0" applyFont="1" applyBorder="1"/>
    <xf numFmtId="0" fontId="46" fillId="0" borderId="2" xfId="0" applyFont="1" applyBorder="1"/>
    <xf numFmtId="0" fontId="46" fillId="0" borderId="17" xfId="0" applyFont="1" applyBorder="1"/>
    <xf numFmtId="177" fontId="0" fillId="0" borderId="0" xfId="0" applyNumberFormat="1"/>
    <xf numFmtId="0" fontId="47" fillId="0" borderId="48" xfId="0" applyFont="1" applyBorder="1"/>
    <xf numFmtId="178" fontId="52" fillId="0" borderId="52" xfId="0" applyNumberFormat="1" applyFont="1" applyBorder="1"/>
    <xf numFmtId="178" fontId="47" fillId="0" borderId="52" xfId="0" applyNumberFormat="1" applyFont="1" applyBorder="1"/>
    <xf numFmtId="167" fontId="0" fillId="0" borderId="0" xfId="0" applyNumberFormat="1"/>
    <xf numFmtId="0" fontId="46" fillId="0" borderId="48" xfId="0" applyFont="1" applyBorder="1" applyAlignment="1">
      <alignment horizontal="left"/>
    </xf>
    <xf numFmtId="179" fontId="46" fillId="0" borderId="21" xfId="0" applyNumberFormat="1" applyFont="1" applyBorder="1" applyProtection="1">
      <protection hidden="1"/>
    </xf>
    <xf numFmtId="0" fontId="46" fillId="0" borderId="48" xfId="0" applyFont="1" applyBorder="1"/>
    <xf numFmtId="0" fontId="46" fillId="0" borderId="21" xfId="0" applyFont="1" applyBorder="1"/>
    <xf numFmtId="9" fontId="46" fillId="0" borderId="21" xfId="0" applyNumberFormat="1" applyFont="1" applyBorder="1"/>
    <xf numFmtId="0" fontId="47" fillId="0" borderId="48" xfId="0" applyFont="1" applyBorder="1" applyAlignment="1">
      <alignment horizontal="left"/>
    </xf>
    <xf numFmtId="178" fontId="46" fillId="0" borderId="52" xfId="0" applyNumberFormat="1" applyFont="1" applyBorder="1" applyProtection="1">
      <protection locked="0"/>
    </xf>
    <xf numFmtId="180" fontId="52" fillId="0" borderId="52" xfId="0" applyNumberFormat="1" applyFont="1" applyBorder="1" applyProtection="1">
      <protection locked="0"/>
    </xf>
    <xf numFmtId="179" fontId="46" fillId="0" borderId="21" xfId="0" applyNumberFormat="1" applyFont="1" applyBorder="1"/>
    <xf numFmtId="181" fontId="46" fillId="0" borderId="21" xfId="0" applyNumberFormat="1" applyFont="1" applyBorder="1" applyProtection="1">
      <protection hidden="1"/>
    </xf>
    <xf numFmtId="0" fontId="47" fillId="0" borderId="0" xfId="0" applyFont="1"/>
    <xf numFmtId="179" fontId="47" fillId="0" borderId="21" xfId="0" applyNumberFormat="1" applyFont="1" applyBorder="1" applyProtection="1">
      <protection hidden="1"/>
    </xf>
    <xf numFmtId="177" fontId="25" fillId="6" borderId="0" xfId="0" applyNumberFormat="1" applyFont="1" applyFill="1"/>
    <xf numFmtId="181" fontId="53" fillId="0" borderId="21" xfId="0" applyNumberFormat="1" applyFont="1" applyBorder="1" applyProtection="1">
      <protection hidden="1"/>
    </xf>
    <xf numFmtId="0" fontId="47" fillId="0" borderId="50" xfId="0" applyFont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47" fillId="0" borderId="1" xfId="0" applyFont="1" applyBorder="1"/>
    <xf numFmtId="179" fontId="47" fillId="0" borderId="51" xfId="0" applyNumberFormat="1" applyFont="1" applyBorder="1" applyProtection="1">
      <protection hidden="1"/>
    </xf>
    <xf numFmtId="10" fontId="10" fillId="0" borderId="7" xfId="0" applyNumberFormat="1" applyFont="1" applyBorder="1"/>
    <xf numFmtId="10" fontId="25" fillId="6" borderId="0" xfId="0" applyNumberFormat="1" applyFont="1" applyFill="1"/>
    <xf numFmtId="0" fontId="46" fillId="0" borderId="0" xfId="0" applyFont="1" applyAlignment="1">
      <alignment horizontal="right"/>
    </xf>
    <xf numFmtId="182" fontId="54" fillId="13" borderId="0" xfId="0" applyNumberFormat="1" applyFont="1" applyFill="1"/>
    <xf numFmtId="182" fontId="46" fillId="0" borderId="0" xfId="0" applyNumberFormat="1" applyFont="1"/>
    <xf numFmtId="0" fontId="51" fillId="0" borderId="59" xfId="0" applyFont="1" applyBorder="1"/>
    <xf numFmtId="0" fontId="51" fillId="0" borderId="3" xfId="0" applyFont="1" applyBorder="1"/>
    <xf numFmtId="0" fontId="50" fillId="0" borderId="3" xfId="0" applyFont="1" applyBorder="1" applyAlignment="1">
      <alignment horizontal="right"/>
    </xf>
    <xf numFmtId="7" fontId="50" fillId="0" borderId="14" xfId="0" applyNumberFormat="1" applyFont="1" applyBorder="1" applyProtection="1">
      <protection hidden="1"/>
    </xf>
    <xf numFmtId="0" fontId="49" fillId="4" borderId="0" xfId="0" applyFont="1" applyFill="1"/>
    <xf numFmtId="44" fontId="19" fillId="2" borderId="15" xfId="2" applyFont="1" applyFill="1" applyBorder="1"/>
    <xf numFmtId="44" fontId="19" fillId="2" borderId="20" xfId="2" applyFont="1" applyFill="1" applyBorder="1"/>
    <xf numFmtId="44" fontId="19" fillId="2" borderId="16" xfId="2" applyFont="1" applyFill="1" applyBorder="1"/>
    <xf numFmtId="0" fontId="19" fillId="2" borderId="15" xfId="0" applyFont="1" applyFill="1" applyBorder="1"/>
    <xf numFmtId="0" fontId="26" fillId="4" borderId="43" xfId="0" applyFont="1" applyFill="1" applyBorder="1" applyAlignment="1">
      <alignment horizontal="right" vertical="center"/>
    </xf>
    <xf numFmtId="170" fontId="27" fillId="4" borderId="61" xfId="0" applyNumberFormat="1" applyFont="1" applyFill="1" applyBorder="1" applyAlignment="1">
      <alignment horizontal="center" vertical="center"/>
    </xf>
    <xf numFmtId="167" fontId="0" fillId="0" borderId="8" xfId="0" applyNumberFormat="1" applyBorder="1" applyAlignment="1">
      <alignment horizontal="right" vertical="center"/>
    </xf>
    <xf numFmtId="171" fontId="16" fillId="2" borderId="61" xfId="2" applyNumberFormat="1" applyFont="1" applyFill="1" applyBorder="1" applyAlignment="1">
      <alignment horizontal="right"/>
    </xf>
    <xf numFmtId="171" fontId="16" fillId="2" borderId="8" xfId="2" applyNumberFormat="1" applyFont="1" applyFill="1" applyBorder="1" applyAlignment="1">
      <alignment horizontal="right"/>
    </xf>
    <xf numFmtId="172" fontId="0" fillId="0" borderId="8" xfId="0" applyNumberFormat="1" applyBorder="1"/>
    <xf numFmtId="171" fontId="27" fillId="10" borderId="61" xfId="2" applyNumberFormat="1" applyFont="1" applyFill="1" applyBorder="1"/>
    <xf numFmtId="168" fontId="29" fillId="10" borderId="8" xfId="0" applyNumberFormat="1" applyFont="1" applyFill="1" applyBorder="1" applyAlignment="1">
      <alignment horizontal="right"/>
    </xf>
    <xf numFmtId="171" fontId="11" fillId="2" borderId="61" xfId="2" applyNumberFormat="1" applyFont="1" applyFill="1" applyBorder="1" applyAlignment="1"/>
    <xf numFmtId="168" fontId="30" fillId="0" borderId="8" xfId="0" applyNumberFormat="1" applyFont="1" applyBorder="1"/>
    <xf numFmtId="43" fontId="0" fillId="0" borderId="8" xfId="1" applyFont="1" applyBorder="1"/>
    <xf numFmtId="171" fontId="27" fillId="10" borderId="8" xfId="2" applyNumberFormat="1" applyFont="1" applyFill="1" applyBorder="1"/>
    <xf numFmtId="0" fontId="8" fillId="4" borderId="56" xfId="0" applyFont="1" applyFill="1" applyBorder="1" applyAlignment="1">
      <alignment horizontal="right"/>
    </xf>
    <xf numFmtId="0" fontId="0" fillId="0" borderId="62" xfId="0" applyBorder="1"/>
    <xf numFmtId="10" fontId="0" fillId="0" borderId="1" xfId="3" applyNumberFormat="1" applyFont="1" applyBorder="1"/>
    <xf numFmtId="44" fontId="0" fillId="0" borderId="0" xfId="2" applyFont="1" applyFill="1"/>
    <xf numFmtId="44" fontId="25" fillId="0" borderId="0" xfId="2" applyFont="1" applyFill="1"/>
    <xf numFmtId="0" fontId="5" fillId="2" borderId="0" xfId="0" applyFont="1" applyFill="1" applyAlignment="1">
      <alignment horizontal="left" wrapText="1"/>
    </xf>
    <xf numFmtId="44" fontId="11" fillId="2" borderId="0" xfId="0" applyNumberFormat="1" applyFont="1" applyFill="1"/>
    <xf numFmtId="44" fontId="11" fillId="2" borderId="21" xfId="0" applyNumberFormat="1" applyFont="1" applyFill="1" applyBorder="1"/>
    <xf numFmtId="0" fontId="5" fillId="2" borderId="0" xfId="0" applyFont="1" applyFill="1" applyAlignment="1">
      <alignment horizontal="right" wrapText="1"/>
    </xf>
    <xf numFmtId="44" fontId="42" fillId="3" borderId="0" xfId="0" applyNumberFormat="1" applyFont="1" applyFill="1"/>
    <xf numFmtId="171" fontId="37" fillId="10" borderId="8" xfId="2" applyNumberFormat="1" applyFont="1" applyFill="1" applyBorder="1"/>
    <xf numFmtId="0" fontId="8" fillId="4" borderId="7" xfId="0" applyFont="1" applyFill="1" applyBorder="1" applyAlignment="1">
      <alignment horizontal="right"/>
    </xf>
    <xf numFmtId="44" fontId="8" fillId="4" borderId="0" xfId="0" applyNumberFormat="1" applyFont="1" applyFill="1" applyAlignment="1">
      <alignment horizontal="right"/>
    </xf>
    <xf numFmtId="169" fontId="27" fillId="4" borderId="17" xfId="0" applyNumberFormat="1" applyFont="1" applyFill="1" applyBorder="1" applyAlignment="1">
      <alignment horizontal="center" vertical="center"/>
    </xf>
    <xf numFmtId="14" fontId="10" fillId="0" borderId="21" xfId="0" applyNumberFormat="1" applyFont="1" applyBorder="1"/>
    <xf numFmtId="43" fontId="0" fillId="0" borderId="21" xfId="1" applyFont="1" applyBorder="1" applyAlignment="1">
      <alignment horizontal="right" vertical="center"/>
    </xf>
    <xf numFmtId="44" fontId="8" fillId="4" borderId="63" xfId="2" applyFont="1" applyFill="1" applyBorder="1" applyAlignment="1">
      <alignment horizontal="right"/>
    </xf>
    <xf numFmtId="44" fontId="8" fillId="4" borderId="64" xfId="0" applyNumberFormat="1" applyFont="1" applyFill="1" applyBorder="1" applyAlignment="1">
      <alignment horizontal="right"/>
    </xf>
    <xf numFmtId="44" fontId="8" fillId="4" borderId="21" xfId="0" applyNumberFormat="1" applyFont="1" applyFill="1" applyBorder="1" applyAlignment="1">
      <alignment horizontal="right"/>
    </xf>
    <xf numFmtId="0" fontId="28" fillId="4" borderId="53" xfId="0" applyFont="1" applyFill="1" applyBorder="1" applyAlignment="1">
      <alignment vertical="center"/>
    </xf>
    <xf numFmtId="14" fontId="10" fillId="0" borderId="54" xfId="0" applyNumberFormat="1" applyFont="1" applyBorder="1"/>
    <xf numFmtId="167" fontId="0" fillId="0" borderId="54" xfId="0" applyNumberFormat="1" applyBorder="1" applyAlignment="1">
      <alignment horizontal="right" vertical="center"/>
    </xf>
    <xf numFmtId="171" fontId="0" fillId="0" borderId="54" xfId="2" applyNumberFormat="1" applyFont="1" applyBorder="1" applyAlignment="1">
      <alignment horizontal="right"/>
    </xf>
    <xf numFmtId="0" fontId="0" fillId="0" borderId="54" xfId="0" applyBorder="1"/>
    <xf numFmtId="171" fontId="28" fillId="0" borderId="54" xfId="2" applyNumberFormat="1" applyFont="1" applyBorder="1"/>
    <xf numFmtId="0" fontId="0" fillId="0" borderId="54" xfId="0" applyBorder="1" applyAlignment="1">
      <alignment horizontal="right"/>
    </xf>
    <xf numFmtId="171" fontId="0" fillId="0" borderId="54" xfId="2" applyNumberFormat="1" applyFont="1" applyBorder="1" applyAlignment="1"/>
    <xf numFmtId="43" fontId="0" fillId="0" borderId="54" xfId="1" applyFont="1" applyBorder="1" applyAlignment="1">
      <alignment horizontal="right" vertical="center"/>
    </xf>
    <xf numFmtId="0" fontId="0" fillId="0" borderId="66" xfId="0" applyBorder="1"/>
    <xf numFmtId="0" fontId="29" fillId="10" borderId="9" xfId="0" applyFont="1" applyFill="1" applyBorder="1" applyAlignment="1">
      <alignment horizontal="right"/>
    </xf>
    <xf numFmtId="171" fontId="27" fillId="10" borderId="10" xfId="2" applyNumberFormat="1" applyFont="1" applyFill="1" applyBorder="1"/>
    <xf numFmtId="171" fontId="27" fillId="10" borderId="65" xfId="2" applyNumberFormat="1" applyFont="1" applyFill="1" applyBorder="1"/>
    <xf numFmtId="0" fontId="0" fillId="0" borderId="66" xfId="0" applyBorder="1" applyAlignment="1">
      <alignment horizontal="right"/>
    </xf>
    <xf numFmtId="171" fontId="27" fillId="10" borderId="11" xfId="2" applyNumberFormat="1" applyFont="1" applyFill="1" applyBorder="1"/>
    <xf numFmtId="0" fontId="55" fillId="0" borderId="8" xfId="0" applyFont="1" applyBorder="1" applyAlignment="1">
      <alignment vertical="center" wrapText="1"/>
    </xf>
    <xf numFmtId="44" fontId="56" fillId="2" borderId="15" xfId="2" applyFont="1" applyFill="1" applyBorder="1"/>
    <xf numFmtId="44" fontId="56" fillId="2" borderId="20" xfId="2" applyFont="1" applyFill="1" applyBorder="1"/>
    <xf numFmtId="44" fontId="56" fillId="2" borderId="16" xfId="2" applyFont="1" applyFill="1" applyBorder="1"/>
    <xf numFmtId="0" fontId="26" fillId="4" borderId="4" xfId="0" applyFont="1" applyFill="1" applyBorder="1" applyAlignment="1">
      <alignment horizontal="right" vertical="center"/>
    </xf>
    <xf numFmtId="169" fontId="27" fillId="4" borderId="5" xfId="0" applyNumberFormat="1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vertical="center"/>
    </xf>
    <xf numFmtId="170" fontId="27" fillId="4" borderId="6" xfId="0" applyNumberFormat="1" applyFont="1" applyFill="1" applyBorder="1" applyAlignment="1">
      <alignment horizontal="center" vertical="center"/>
    </xf>
    <xf numFmtId="0" fontId="11" fillId="7" borderId="0" xfId="3" applyNumberFormat="1" applyFont="1" applyFill="1" applyBorder="1"/>
    <xf numFmtId="1" fontId="5" fillId="6" borderId="2" xfId="0" applyNumberFormat="1" applyFont="1" applyFill="1" applyBorder="1" applyAlignment="1">
      <alignment horizontal="right" wrapText="1"/>
    </xf>
    <xf numFmtId="1" fontId="5" fillId="6" borderId="17" xfId="0" applyNumberFormat="1" applyFont="1" applyFill="1" applyBorder="1" applyAlignment="1">
      <alignment horizontal="right" wrapText="1"/>
    </xf>
    <xf numFmtId="183" fontId="8" fillId="4" borderId="10" xfId="0" applyNumberFormat="1" applyFont="1" applyFill="1" applyBorder="1" applyAlignment="1">
      <alignment horizontal="right"/>
    </xf>
    <xf numFmtId="169" fontId="27" fillId="4" borderId="6" xfId="0" applyNumberFormat="1" applyFont="1" applyFill="1" applyBorder="1" applyAlignment="1">
      <alignment horizontal="center" vertical="center"/>
    </xf>
    <xf numFmtId="44" fontId="8" fillId="4" borderId="6" xfId="2" applyFont="1" applyFill="1" applyBorder="1" applyAlignment="1">
      <alignment horizontal="right"/>
    </xf>
    <xf numFmtId="44" fontId="8" fillId="4" borderId="62" xfId="0" applyNumberFormat="1" applyFont="1" applyFill="1" applyBorder="1" applyAlignment="1">
      <alignment horizontal="right"/>
    </xf>
    <xf numFmtId="44" fontId="8" fillId="4" borderId="8" xfId="0" applyNumberFormat="1" applyFont="1" applyFill="1" applyBorder="1" applyAlignment="1">
      <alignment horizontal="right"/>
    </xf>
    <xf numFmtId="183" fontId="8" fillId="4" borderId="11" xfId="0" applyNumberFormat="1" applyFont="1" applyFill="1" applyBorder="1" applyAlignment="1">
      <alignment horizontal="right"/>
    </xf>
    <xf numFmtId="0" fontId="0" fillId="0" borderId="0" xfId="2" applyNumberFormat="1" applyFont="1" applyFill="1"/>
    <xf numFmtId="14" fontId="25" fillId="3" borderId="0" xfId="2" applyNumberFormat="1" applyFont="1" applyFill="1"/>
    <xf numFmtId="167" fontId="0" fillId="0" borderId="0" xfId="1" applyNumberFormat="1" applyFont="1"/>
    <xf numFmtId="14" fontId="17" fillId="0" borderId="0" xfId="2" applyNumberFormat="1" applyFont="1" applyFill="1"/>
    <xf numFmtId="0" fontId="0" fillId="6" borderId="49" xfId="0" applyFill="1" applyBorder="1"/>
    <xf numFmtId="44" fontId="0" fillId="6" borderId="2" xfId="0" applyNumberFormat="1" applyFill="1" applyBorder="1"/>
    <xf numFmtId="44" fontId="0" fillId="6" borderId="17" xfId="0" applyNumberFormat="1" applyFill="1" applyBorder="1"/>
    <xf numFmtId="0" fontId="0" fillId="6" borderId="48" xfId="0" applyFill="1" applyBorder="1"/>
    <xf numFmtId="0" fontId="0" fillId="6" borderId="0" xfId="0" applyFill="1"/>
    <xf numFmtId="44" fontId="0" fillId="6" borderId="0" xfId="0" applyNumberFormat="1" applyFill="1"/>
    <xf numFmtId="44" fontId="0" fillId="6" borderId="21" xfId="0" applyNumberFormat="1" applyFill="1" applyBorder="1"/>
    <xf numFmtId="0" fontId="0" fillId="6" borderId="50" xfId="0" applyFill="1" applyBorder="1"/>
    <xf numFmtId="0" fontId="0" fillId="6" borderId="1" xfId="0" applyFill="1" applyBorder="1"/>
    <xf numFmtId="44" fontId="0" fillId="6" borderId="1" xfId="0" applyNumberFormat="1" applyFill="1" applyBorder="1"/>
    <xf numFmtId="44" fontId="0" fillId="6" borderId="51" xfId="0" applyNumberFormat="1" applyFill="1" applyBorder="1"/>
    <xf numFmtId="168" fontId="16" fillId="0" borderId="17" xfId="0" applyNumberFormat="1" applyFont="1" applyBorder="1" applyAlignment="1">
      <alignment horizontal="center"/>
    </xf>
    <xf numFmtId="0" fontId="27" fillId="4" borderId="2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173" fontId="29" fillId="10" borderId="21" xfId="3" applyNumberFormat="1" applyFont="1" applyFill="1" applyBorder="1" applyAlignment="1">
      <alignment horizontal="right"/>
    </xf>
    <xf numFmtId="0" fontId="14" fillId="0" borderId="50" xfId="0" applyFont="1" applyBorder="1" applyAlignment="1">
      <alignment horizontal="right"/>
    </xf>
    <xf numFmtId="171" fontId="41" fillId="0" borderId="1" xfId="2" applyNumberFormat="1" applyFont="1" applyFill="1" applyBorder="1"/>
    <xf numFmtId="171" fontId="41" fillId="0" borderId="51" xfId="2" applyNumberFormat="1" applyFont="1" applyFill="1" applyBorder="1"/>
    <xf numFmtId="44" fontId="25" fillId="3" borderId="51" xfId="2" applyFont="1" applyFill="1" applyBorder="1"/>
    <xf numFmtId="44" fontId="25" fillId="3" borderId="0" xfId="2" applyFont="1" applyFill="1" applyBorder="1"/>
    <xf numFmtId="44" fontId="0" fillId="0" borderId="0" xfId="2" applyFont="1" applyFill="1" applyBorder="1"/>
    <xf numFmtId="44" fontId="25" fillId="6" borderId="48" xfId="2" applyFont="1" applyFill="1" applyBorder="1"/>
    <xf numFmtId="44" fontId="25" fillId="6" borderId="0" xfId="2" applyFont="1" applyFill="1" applyBorder="1"/>
    <xf numFmtId="168" fontId="19" fillId="2" borderId="69" xfId="0" applyNumberFormat="1" applyFont="1" applyFill="1" applyBorder="1"/>
    <xf numFmtId="171" fontId="16" fillId="2" borderId="56" xfId="2" applyNumberFormat="1" applyFont="1" applyFill="1" applyBorder="1" applyAlignment="1">
      <alignment horizontal="right"/>
    </xf>
    <xf numFmtId="171" fontId="16" fillId="0" borderId="7" xfId="2" applyNumberFormat="1" applyFont="1" applyFill="1" applyBorder="1" applyAlignment="1">
      <alignment horizontal="right"/>
    </xf>
    <xf numFmtId="171" fontId="16" fillId="0" borderId="0" xfId="2" applyNumberFormat="1" applyFont="1" applyFill="1" applyBorder="1" applyAlignment="1">
      <alignment horizontal="right"/>
    </xf>
    <xf numFmtId="171" fontId="16" fillId="0" borderId="8" xfId="2" applyNumberFormat="1" applyFont="1" applyFill="1" applyBorder="1" applyAlignment="1">
      <alignment horizontal="right"/>
    </xf>
    <xf numFmtId="171" fontId="0" fillId="0" borderId="0" xfId="2" applyNumberFormat="1" applyFont="1" applyFill="1" applyBorder="1" applyAlignment="1">
      <alignment horizontal="right"/>
    </xf>
    <xf numFmtId="0" fontId="29" fillId="10" borderId="56" xfId="0" applyFont="1" applyFill="1" applyBorder="1" applyAlignment="1">
      <alignment horizontal="right"/>
    </xf>
    <xf numFmtId="168" fontId="29" fillId="10" borderId="1" xfId="0" applyNumberFormat="1" applyFont="1" applyFill="1" applyBorder="1" applyAlignment="1">
      <alignment horizontal="right"/>
    </xf>
    <xf numFmtId="168" fontId="29" fillId="10" borderId="51" xfId="0" applyNumberFormat="1" applyFont="1" applyFill="1" applyBorder="1" applyAlignment="1">
      <alignment horizontal="right"/>
    </xf>
    <xf numFmtId="171" fontId="16" fillId="2" borderId="71" xfId="2" applyNumberFormat="1" applyFont="1" applyFill="1" applyBorder="1" applyAlignment="1">
      <alignment horizontal="right"/>
    </xf>
    <xf numFmtId="171" fontId="27" fillId="10" borderId="71" xfId="2" applyNumberFormat="1" applyFont="1" applyFill="1" applyBorder="1"/>
    <xf numFmtId="168" fontId="29" fillId="10" borderId="67" xfId="0" applyNumberFormat="1" applyFont="1" applyFill="1" applyBorder="1" applyAlignment="1">
      <alignment horizontal="right"/>
    </xf>
    <xf numFmtId="168" fontId="29" fillId="10" borderId="72" xfId="0" applyNumberFormat="1" applyFont="1" applyFill="1" applyBorder="1" applyAlignment="1">
      <alignment horizontal="right"/>
    </xf>
    <xf numFmtId="171" fontId="11" fillId="2" borderId="70" xfId="2" applyNumberFormat="1" applyFont="1" applyFill="1" applyBorder="1" applyAlignment="1"/>
    <xf numFmtId="171" fontId="27" fillId="10" borderId="72" xfId="2" applyNumberFormat="1" applyFont="1" applyFill="1" applyBorder="1"/>
    <xf numFmtId="0" fontId="11" fillId="2" borderId="73" xfId="0" applyFont="1" applyFill="1" applyBorder="1" applyAlignment="1">
      <alignment horizontal="right"/>
    </xf>
    <xf numFmtId="171" fontId="11" fillId="2" borderId="3" xfId="2" applyNumberFormat="1" applyFont="1" applyFill="1" applyBorder="1" applyAlignment="1"/>
    <xf numFmtId="171" fontId="11" fillId="2" borderId="14" xfId="2" applyNumberFormat="1" applyFont="1" applyFill="1" applyBorder="1" applyAlignment="1"/>
    <xf numFmtId="171" fontId="27" fillId="10" borderId="1" xfId="2" applyNumberFormat="1" applyFont="1" applyFill="1" applyBorder="1"/>
    <xf numFmtId="171" fontId="16" fillId="2" borderId="0" xfId="2" applyNumberFormat="1" applyFont="1" applyFill="1" applyBorder="1"/>
    <xf numFmtId="171" fontId="16" fillId="2" borderId="21" xfId="2" applyNumberFormat="1" applyFont="1" applyFill="1" applyBorder="1"/>
    <xf numFmtId="171" fontId="11" fillId="2" borderId="59" xfId="2" applyNumberFormat="1" applyFont="1" applyFill="1" applyBorder="1" applyAlignment="1">
      <alignment horizontal="right"/>
    </xf>
    <xf numFmtId="171" fontId="11" fillId="2" borderId="3" xfId="2" applyNumberFormat="1" applyFont="1" applyFill="1" applyBorder="1"/>
    <xf numFmtId="171" fontId="11" fillId="2" borderId="14" xfId="2" applyNumberFormat="1" applyFont="1" applyFill="1" applyBorder="1"/>
    <xf numFmtId="0" fontId="29" fillId="10" borderId="50" xfId="0" applyFont="1" applyFill="1" applyBorder="1" applyAlignment="1">
      <alignment horizontal="right"/>
    </xf>
    <xf numFmtId="0" fontId="29" fillId="10" borderId="1" xfId="0" applyFont="1" applyFill="1" applyBorder="1" applyAlignment="1">
      <alignment horizontal="right"/>
    </xf>
    <xf numFmtId="171" fontId="16" fillId="2" borderId="59" xfId="2" applyNumberFormat="1" applyFont="1" applyFill="1" applyBorder="1" applyAlignment="1">
      <alignment horizontal="right"/>
    </xf>
    <xf numFmtId="171" fontId="16" fillId="2" borderId="3" xfId="2" applyNumberFormat="1" applyFont="1" applyFill="1" applyBorder="1"/>
    <xf numFmtId="171" fontId="16" fillId="2" borderId="14" xfId="2" applyNumberFormat="1" applyFont="1" applyFill="1" applyBorder="1"/>
    <xf numFmtId="43" fontId="11" fillId="7" borderId="0" xfId="1" applyFont="1" applyFill="1"/>
    <xf numFmtId="43" fontId="11" fillId="7" borderId="0" xfId="1" applyFont="1" applyFill="1" applyBorder="1"/>
    <xf numFmtId="43" fontId="11" fillId="7" borderId="21" xfId="1" applyFont="1" applyFill="1" applyBorder="1"/>
    <xf numFmtId="171" fontId="0" fillId="0" borderId="47" xfId="2" applyNumberFormat="1" applyFont="1" applyBorder="1" applyAlignment="1">
      <alignment horizontal="right"/>
    </xf>
    <xf numFmtId="167" fontId="16" fillId="2" borderId="1" xfId="1" applyNumberFormat="1" applyFont="1" applyFill="1" applyBorder="1" applyAlignment="1">
      <alignment horizontal="right"/>
    </xf>
    <xf numFmtId="167" fontId="16" fillId="2" borderId="51" xfId="1" applyNumberFormat="1" applyFont="1" applyFill="1" applyBorder="1" applyAlignment="1">
      <alignment horizontal="right"/>
    </xf>
    <xf numFmtId="167" fontId="16" fillId="2" borderId="72" xfId="1" applyNumberFormat="1" applyFont="1" applyFill="1" applyBorder="1" applyAlignment="1">
      <alignment horizontal="right"/>
    </xf>
    <xf numFmtId="167" fontId="16" fillId="2" borderId="3" xfId="1" applyNumberFormat="1" applyFont="1" applyFill="1" applyBorder="1"/>
    <xf numFmtId="167" fontId="16" fillId="2" borderId="14" xfId="1" applyNumberFormat="1" applyFont="1" applyFill="1" applyBorder="1"/>
    <xf numFmtId="171" fontId="0" fillId="6" borderId="48" xfId="2" applyNumberFormat="1" applyFont="1" applyFill="1" applyBorder="1" applyAlignment="1">
      <alignment horizontal="center"/>
    </xf>
    <xf numFmtId="14" fontId="25" fillId="6" borderId="0" xfId="0" applyNumberFormat="1" applyFont="1" applyFill="1"/>
    <xf numFmtId="14" fontId="17" fillId="6" borderId="0" xfId="0" applyNumberFormat="1" applyFont="1" applyFill="1"/>
    <xf numFmtId="14" fontId="0" fillId="6" borderId="0" xfId="0" applyNumberFormat="1" applyFill="1"/>
    <xf numFmtId="44" fontId="0" fillId="6" borderId="0" xfId="2" applyFont="1" applyFill="1" applyBorder="1"/>
    <xf numFmtId="44" fontId="0" fillId="6" borderId="21" xfId="2" applyFont="1" applyFill="1" applyBorder="1"/>
    <xf numFmtId="169" fontId="27" fillId="4" borderId="74" xfId="0" applyNumberFormat="1" applyFont="1" applyFill="1" applyBorder="1" applyAlignment="1">
      <alignment horizontal="center" vertical="center"/>
    </xf>
    <xf numFmtId="169" fontId="27" fillId="4" borderId="38" xfId="0" applyNumberFormat="1" applyFont="1" applyFill="1" applyBorder="1" applyAlignment="1">
      <alignment horizontal="center" vertical="center"/>
    </xf>
    <xf numFmtId="170" fontId="27" fillId="4" borderId="53" xfId="0" applyNumberFormat="1" applyFont="1" applyFill="1" applyBorder="1" applyAlignment="1">
      <alignment horizontal="center" vertical="center"/>
    </xf>
    <xf numFmtId="14" fontId="10" fillId="0" borderId="75" xfId="0" applyNumberFormat="1" applyFont="1" applyBorder="1"/>
    <xf numFmtId="167" fontId="11" fillId="7" borderId="75" xfId="0" applyNumberFormat="1" applyFont="1" applyFill="1" applyBorder="1" applyAlignment="1">
      <alignment horizontal="right" vertical="center"/>
    </xf>
    <xf numFmtId="167" fontId="11" fillId="0" borderId="21" xfId="0" applyNumberFormat="1" applyFont="1" applyBorder="1" applyAlignment="1">
      <alignment horizontal="right" vertical="center"/>
    </xf>
    <xf numFmtId="171" fontId="16" fillId="7" borderId="74" xfId="2" applyNumberFormat="1" applyFont="1" applyFill="1" applyBorder="1" applyAlignment="1">
      <alignment horizontal="right"/>
    </xf>
    <xf numFmtId="171" fontId="16" fillId="2" borderId="53" xfId="2" applyNumberFormat="1" applyFont="1" applyFill="1" applyBorder="1" applyAlignment="1">
      <alignment horizontal="right"/>
    </xf>
    <xf numFmtId="167" fontId="16" fillId="7" borderId="75" xfId="1" applyNumberFormat="1" applyFont="1" applyFill="1" applyBorder="1" applyAlignment="1">
      <alignment horizontal="right"/>
    </xf>
    <xf numFmtId="167" fontId="16" fillId="7" borderId="76" xfId="1" applyNumberFormat="1" applyFont="1" applyFill="1" applyBorder="1" applyAlignment="1">
      <alignment horizontal="right"/>
    </xf>
    <xf numFmtId="167" fontId="16" fillId="2" borderId="47" xfId="1" applyNumberFormat="1" applyFont="1" applyFill="1" applyBorder="1" applyAlignment="1">
      <alignment horizontal="right"/>
    </xf>
    <xf numFmtId="172" fontId="11" fillId="7" borderId="75" xfId="0" applyNumberFormat="1" applyFont="1" applyFill="1" applyBorder="1"/>
    <xf numFmtId="172" fontId="11" fillId="0" borderId="21" xfId="0" applyNumberFormat="1" applyFont="1" applyBorder="1"/>
    <xf numFmtId="172" fontId="0" fillId="0" borderId="54" xfId="0" applyNumberFormat="1" applyBorder="1"/>
    <xf numFmtId="171" fontId="27" fillId="10" borderId="3" xfId="2" applyNumberFormat="1" applyFont="1" applyFill="1" applyBorder="1"/>
    <xf numFmtId="171" fontId="16" fillId="7" borderId="77" xfId="2" applyNumberFormat="1" applyFont="1" applyFill="1" applyBorder="1" applyAlignment="1"/>
    <xf numFmtId="171" fontId="27" fillId="10" borderId="14" xfId="2" applyNumberFormat="1" applyFont="1" applyFill="1" applyBorder="1"/>
    <xf numFmtId="171" fontId="27" fillId="10" borderId="59" xfId="2" applyNumberFormat="1" applyFont="1" applyFill="1" applyBorder="1"/>
    <xf numFmtId="172" fontId="11" fillId="0" borderId="75" xfId="0" applyNumberFormat="1" applyFont="1" applyBorder="1"/>
    <xf numFmtId="171" fontId="34" fillId="7" borderId="74" xfId="2" applyNumberFormat="1" applyFont="1" applyFill="1" applyBorder="1"/>
    <xf numFmtId="171" fontId="27" fillId="10" borderId="53" xfId="2" applyNumberFormat="1" applyFont="1" applyFill="1" applyBorder="1"/>
    <xf numFmtId="168" fontId="33" fillId="10" borderId="1" xfId="0" applyNumberFormat="1" applyFont="1" applyFill="1" applyBorder="1" applyAlignment="1">
      <alignment horizontal="right"/>
    </xf>
    <xf numFmtId="168" fontId="35" fillId="7" borderId="76" xfId="0" applyNumberFormat="1" applyFont="1" applyFill="1" applyBorder="1" applyAlignment="1">
      <alignment horizontal="right"/>
    </xf>
    <xf numFmtId="168" fontId="33" fillId="10" borderId="51" xfId="0" applyNumberFormat="1" applyFont="1" applyFill="1" applyBorder="1" applyAlignment="1">
      <alignment horizontal="right"/>
    </xf>
    <xf numFmtId="168" fontId="29" fillId="10" borderId="47" xfId="0" applyNumberFormat="1" applyFont="1" applyFill="1" applyBorder="1" applyAlignment="1">
      <alignment horizontal="right"/>
    </xf>
    <xf numFmtId="0" fontId="16" fillId="7" borderId="75" xfId="0" applyFont="1" applyFill="1" applyBorder="1"/>
    <xf numFmtId="0" fontId="11" fillId="0" borderId="21" xfId="0" applyFont="1" applyBorder="1"/>
    <xf numFmtId="167" fontId="16" fillId="7" borderId="75" xfId="0" applyNumberFormat="1" applyFont="1" applyFill="1" applyBorder="1" applyAlignment="1">
      <alignment horizontal="right" vertical="center"/>
    </xf>
    <xf numFmtId="171" fontId="11" fillId="2" borderId="52" xfId="2" applyNumberFormat="1" applyFont="1" applyFill="1" applyBorder="1" applyAlignment="1"/>
    <xf numFmtId="168" fontId="35" fillId="7" borderId="75" xfId="0" applyNumberFormat="1" applyFont="1" applyFill="1" applyBorder="1"/>
    <xf numFmtId="168" fontId="12" fillId="0" borderId="21" xfId="0" applyNumberFormat="1" applyFont="1" applyBorder="1"/>
    <xf numFmtId="168" fontId="30" fillId="0" borderId="54" xfId="0" applyNumberFormat="1" applyFont="1" applyBorder="1"/>
    <xf numFmtId="43" fontId="16" fillId="7" borderId="75" xfId="1" applyFont="1" applyFill="1" applyBorder="1" applyAlignment="1">
      <alignment horizontal="right" vertical="center"/>
    </xf>
    <xf numFmtId="43" fontId="11" fillId="0" borderId="21" xfId="1" applyFont="1" applyBorder="1" applyAlignment="1">
      <alignment horizontal="right" vertical="center"/>
    </xf>
    <xf numFmtId="43" fontId="0" fillId="0" borderId="54" xfId="1" applyFont="1" applyBorder="1"/>
    <xf numFmtId="168" fontId="14" fillId="7" borderId="76" xfId="0" applyNumberFormat="1" applyFont="1" applyFill="1" applyBorder="1" applyAlignment="1">
      <alignment horizontal="right"/>
    </xf>
    <xf numFmtId="0" fontId="0" fillId="0" borderId="75" xfId="0" applyBorder="1"/>
    <xf numFmtId="44" fontId="8" fillId="4" borderId="79" xfId="0" applyNumberFormat="1" applyFont="1" applyFill="1" applyBorder="1" applyAlignment="1">
      <alignment horizontal="right"/>
    </xf>
    <xf numFmtId="171" fontId="8" fillId="4" borderId="4" xfId="2" applyNumberFormat="1" applyFont="1" applyFill="1" applyBorder="1" applyAlignment="1">
      <alignment horizontal="right"/>
    </xf>
    <xf numFmtId="171" fontId="24" fillId="4" borderId="78" xfId="2" applyNumberFormat="1" applyFont="1" applyFill="1" applyBorder="1" applyAlignment="1">
      <alignment horizontal="right"/>
    </xf>
    <xf numFmtId="171" fontId="8" fillId="4" borderId="5" xfId="2" applyNumberFormat="1" applyFont="1" applyFill="1" applyBorder="1" applyAlignment="1">
      <alignment horizontal="right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10" fillId="0" borderId="0" xfId="0" applyFont="1"/>
    <xf numFmtId="0" fontId="26" fillId="4" borderId="27" xfId="0" applyFont="1" applyFill="1" applyBorder="1" applyAlignment="1">
      <alignment horizontal="right" vertical="center"/>
    </xf>
    <xf numFmtId="0" fontId="0" fillId="0" borderId="25" xfId="0" applyBorder="1" applyAlignment="1">
      <alignment horizontal="right"/>
    </xf>
    <xf numFmtId="0" fontId="0" fillId="0" borderId="25" xfId="0" applyBorder="1" applyAlignment="1">
      <alignment horizontal="right" vertical="center"/>
    </xf>
    <xf numFmtId="167" fontId="11" fillId="0" borderId="0" xfId="0" applyNumberFormat="1" applyFont="1" applyAlignment="1">
      <alignment horizontal="right" vertical="center"/>
    </xf>
    <xf numFmtId="171" fontId="16" fillId="2" borderId="27" xfId="2" applyNumberFormat="1" applyFont="1" applyFill="1" applyBorder="1" applyAlignment="1">
      <alignment horizontal="right"/>
    </xf>
    <xf numFmtId="171" fontId="16" fillId="2" borderId="36" xfId="2" applyNumberFormat="1" applyFont="1" applyFill="1" applyBorder="1" applyAlignment="1">
      <alignment horizontal="right"/>
    </xf>
    <xf numFmtId="172" fontId="11" fillId="0" borderId="0" xfId="0" applyNumberFormat="1" applyFont="1"/>
    <xf numFmtId="171" fontId="27" fillId="10" borderId="32" xfId="2" applyNumberFormat="1" applyFont="1" applyFill="1" applyBorder="1" applyAlignment="1">
      <alignment horizontal="right"/>
    </xf>
    <xf numFmtId="171" fontId="27" fillId="0" borderId="36" xfId="2" applyNumberFormat="1" applyFont="1" applyFill="1" applyBorder="1" applyAlignment="1">
      <alignment horizontal="right"/>
    </xf>
    <xf numFmtId="171" fontId="27" fillId="10" borderId="27" xfId="2" applyNumberFormat="1" applyFont="1" applyFill="1" applyBorder="1" applyAlignment="1">
      <alignment horizontal="right"/>
    </xf>
    <xf numFmtId="0" fontId="29" fillId="10" borderId="36" xfId="0" applyFont="1" applyFill="1" applyBorder="1" applyAlignment="1">
      <alignment horizontal="right"/>
    </xf>
    <xf numFmtId="0" fontId="11" fillId="0" borderId="0" xfId="0" applyFont="1"/>
    <xf numFmtId="0" fontId="11" fillId="2" borderId="32" xfId="0" applyFont="1" applyFill="1" applyBorder="1" applyAlignment="1">
      <alignment horizontal="right"/>
    </xf>
    <xf numFmtId="0" fontId="30" fillId="0" borderId="25" xfId="0" applyFont="1" applyBorder="1" applyAlignment="1">
      <alignment horizontal="right"/>
    </xf>
    <xf numFmtId="168" fontId="12" fillId="0" borderId="0" xfId="0" applyNumberFormat="1" applyFont="1"/>
    <xf numFmtId="0" fontId="8" fillId="4" borderId="31" xfId="0" applyFont="1" applyFill="1" applyBorder="1" applyAlignment="1">
      <alignment horizontal="right"/>
    </xf>
    <xf numFmtId="0" fontId="8" fillId="4" borderId="36" xfId="0" applyFont="1" applyFill="1" applyBorder="1" applyAlignment="1">
      <alignment horizontal="right"/>
    </xf>
    <xf numFmtId="0" fontId="0" fillId="0" borderId="80" xfId="0" applyBorder="1"/>
    <xf numFmtId="0" fontId="0" fillId="0" borderId="35" xfId="0" applyBorder="1"/>
    <xf numFmtId="0" fontId="10" fillId="0" borderId="25" xfId="0" applyFont="1" applyBorder="1"/>
    <xf numFmtId="44" fontId="10" fillId="0" borderId="0" xfId="2" applyFont="1" applyBorder="1"/>
    <xf numFmtId="167" fontId="10" fillId="0" borderId="0" xfId="1" applyNumberFormat="1" applyFont="1" applyBorder="1"/>
    <xf numFmtId="167" fontId="0" fillId="0" borderId="47" xfId="0" applyNumberFormat="1" applyBorder="1"/>
    <xf numFmtId="0" fontId="29" fillId="10" borderId="25" xfId="0" applyFont="1" applyFill="1" applyBorder="1" applyAlignment="1">
      <alignment horizontal="right"/>
    </xf>
    <xf numFmtId="168" fontId="33" fillId="10" borderId="0" xfId="0" applyNumberFormat="1" applyFont="1" applyFill="1" applyAlignment="1">
      <alignment horizontal="right"/>
    </xf>
    <xf numFmtId="168" fontId="35" fillId="7" borderId="75" xfId="0" applyNumberFormat="1" applyFont="1" applyFill="1" applyBorder="1" applyAlignment="1">
      <alignment horizontal="right"/>
    </xf>
    <xf numFmtId="168" fontId="33" fillId="10" borderId="21" xfId="0" applyNumberFormat="1" applyFont="1" applyFill="1" applyBorder="1" applyAlignment="1">
      <alignment horizontal="right"/>
    </xf>
    <xf numFmtId="44" fontId="8" fillId="4" borderId="76" xfId="0" applyNumberFormat="1" applyFont="1" applyFill="1" applyBorder="1" applyAlignment="1">
      <alignment horizontal="right"/>
    </xf>
    <xf numFmtId="44" fontId="57" fillId="6" borderId="48" xfId="2" applyFont="1" applyFill="1" applyBorder="1"/>
    <xf numFmtId="44" fontId="57" fillId="6" borderId="0" xfId="2" applyFont="1" applyFill="1" applyBorder="1"/>
    <xf numFmtId="44" fontId="57" fillId="6" borderId="21" xfId="2" applyFont="1" applyFill="1" applyBorder="1"/>
    <xf numFmtId="171" fontId="57" fillId="6" borderId="48" xfId="2" applyNumberFormat="1" applyFont="1" applyFill="1" applyBorder="1" applyAlignment="1">
      <alignment horizontal="center"/>
    </xf>
    <xf numFmtId="14" fontId="57" fillId="6" borderId="0" xfId="0" applyNumberFormat="1" applyFont="1" applyFill="1"/>
    <xf numFmtId="0" fontId="57" fillId="6" borderId="0" xfId="0" applyFont="1" applyFill="1"/>
    <xf numFmtId="44" fontId="0" fillId="0" borderId="3" xfId="2" applyFont="1" applyBorder="1"/>
    <xf numFmtId="44" fontId="0" fillId="0" borderId="14" xfId="2" applyFont="1" applyBorder="1"/>
    <xf numFmtId="171" fontId="38" fillId="0" borderId="51" xfId="2" applyNumberFormat="1" applyFont="1" applyFill="1" applyBorder="1"/>
    <xf numFmtId="1" fontId="42" fillId="3" borderId="21" xfId="0" applyNumberFormat="1" applyFont="1" applyFill="1" applyBorder="1" applyAlignment="1">
      <alignment horizontal="center"/>
    </xf>
    <xf numFmtId="14" fontId="16" fillId="0" borderId="21" xfId="0" applyNumberFormat="1" applyFont="1" applyBorder="1" applyAlignment="1">
      <alignment horizontal="center"/>
    </xf>
    <xf numFmtId="9" fontId="16" fillId="7" borderId="21" xfId="3" applyFont="1" applyFill="1" applyBorder="1" applyAlignment="1">
      <alignment horizontal="center"/>
    </xf>
    <xf numFmtId="9" fontId="16" fillId="0" borderId="21" xfId="3" applyFont="1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4" fontId="17" fillId="13" borderId="0" xfId="2" applyNumberFormat="1" applyFont="1" applyFill="1"/>
    <xf numFmtId="171" fontId="0" fillId="0" borderId="3" xfId="0" applyNumberFormat="1" applyBorder="1"/>
    <xf numFmtId="0" fontId="34" fillId="7" borderId="46" xfId="0" applyFont="1" applyFill="1" applyBorder="1" applyAlignment="1">
      <alignment horizontal="center" vertical="center"/>
    </xf>
    <xf numFmtId="0" fontId="34" fillId="7" borderId="44" xfId="0" applyFont="1" applyFill="1" applyBorder="1" applyAlignment="1">
      <alignment horizontal="center"/>
    </xf>
    <xf numFmtId="167" fontId="17" fillId="7" borderId="44" xfId="1" applyNumberFormat="1" applyFont="1" applyFill="1" applyBorder="1"/>
    <xf numFmtId="171" fontId="16" fillId="7" borderId="46" xfId="2" applyNumberFormat="1" applyFont="1" applyFill="1" applyBorder="1"/>
    <xf numFmtId="167" fontId="16" fillId="7" borderId="46" xfId="1" applyNumberFormat="1" applyFont="1" applyFill="1" applyBorder="1"/>
    <xf numFmtId="171" fontId="16" fillId="7" borderId="44" xfId="2" applyNumberFormat="1" applyFont="1" applyFill="1" applyBorder="1"/>
    <xf numFmtId="9" fontId="36" fillId="7" borderId="44" xfId="3" applyFont="1" applyFill="1" applyBorder="1"/>
    <xf numFmtId="0" fontId="17" fillId="7" borderId="44" xfId="0" applyFont="1" applyFill="1" applyBorder="1"/>
    <xf numFmtId="171" fontId="34" fillId="7" borderId="45" xfId="2" applyNumberFormat="1" applyFont="1" applyFill="1" applyBorder="1"/>
    <xf numFmtId="171" fontId="34" fillId="7" borderId="44" xfId="2" applyNumberFormat="1" applyFont="1" applyFill="1" applyBorder="1"/>
    <xf numFmtId="168" fontId="14" fillId="7" borderId="44" xfId="0" applyNumberFormat="1" applyFont="1" applyFill="1" applyBorder="1" applyAlignment="1">
      <alignment horizontal="right"/>
    </xf>
    <xf numFmtId="168" fontId="14" fillId="7" borderId="81" xfId="0" applyNumberFormat="1" applyFont="1" applyFill="1" applyBorder="1" applyAlignment="1">
      <alignment horizontal="right"/>
    </xf>
    <xf numFmtId="172" fontId="17" fillId="7" borderId="44" xfId="0" applyNumberFormat="1" applyFont="1" applyFill="1" applyBorder="1"/>
    <xf numFmtId="168" fontId="14" fillId="7" borderId="44" xfId="0" applyNumberFormat="1" applyFont="1" applyFill="1" applyBorder="1"/>
    <xf numFmtId="171" fontId="41" fillId="7" borderId="81" xfId="2" applyNumberFormat="1" applyFont="1" applyFill="1" applyBorder="1"/>
    <xf numFmtId="171" fontId="41" fillId="7" borderId="44" xfId="2" applyNumberFormat="1" applyFont="1" applyFill="1" applyBorder="1"/>
    <xf numFmtId="171" fontId="37" fillId="4" borderId="8" xfId="2" applyNumberFormat="1" applyFont="1" applyFill="1" applyBorder="1" applyAlignment="1">
      <alignment vertical="center" wrapText="1"/>
    </xf>
    <xf numFmtId="171" fontId="27" fillId="10" borderId="51" xfId="2" applyNumberFormat="1" applyFont="1" applyFill="1" applyBorder="1"/>
    <xf numFmtId="0" fontId="58" fillId="0" borderId="0" xfId="0" applyFont="1"/>
    <xf numFmtId="0" fontId="59" fillId="4" borderId="25" xfId="0" applyFont="1" applyFill="1" applyBorder="1" applyAlignment="1">
      <alignment vertical="center" wrapText="1"/>
    </xf>
    <xf numFmtId="0" fontId="59" fillId="4" borderId="0" xfId="0" applyFont="1" applyFill="1" applyAlignment="1">
      <alignment vertical="center" wrapText="1"/>
    </xf>
    <xf numFmtId="0" fontId="10" fillId="4" borderId="0" xfId="0" applyFont="1" applyFill="1"/>
    <xf numFmtId="0" fontId="60" fillId="4" borderId="23" xfId="0" applyFont="1" applyFill="1" applyBorder="1" applyAlignment="1">
      <alignment horizontal="center"/>
    </xf>
    <xf numFmtId="14" fontId="60" fillId="4" borderId="23" xfId="0" applyNumberFormat="1" applyFont="1" applyFill="1" applyBorder="1" applyAlignment="1">
      <alignment horizontal="center"/>
    </xf>
    <xf numFmtId="0" fontId="60" fillId="4" borderId="85" xfId="0" applyFont="1" applyFill="1" applyBorder="1" applyAlignment="1">
      <alignment horizontal="center"/>
    </xf>
    <xf numFmtId="44" fontId="0" fillId="0" borderId="12" xfId="2" applyFont="1" applyBorder="1"/>
    <xf numFmtId="44" fontId="0" fillId="0" borderId="26" xfId="2" applyFont="1" applyBorder="1"/>
    <xf numFmtId="44" fontId="17" fillId="0" borderId="86" xfId="0" applyNumberFormat="1" applyFont="1" applyBorder="1" applyAlignment="1">
      <alignment horizontal="center"/>
    </xf>
    <xf numFmtId="0" fontId="64" fillId="2" borderId="12" xfId="0" applyFont="1" applyFill="1" applyBorder="1" applyAlignment="1">
      <alignment horizontal="right"/>
    </xf>
    <xf numFmtId="167" fontId="17" fillId="2" borderId="12" xfId="1" applyNumberFormat="1" applyFont="1" applyFill="1" applyBorder="1" applyAlignment="1">
      <alignment horizontal="center"/>
    </xf>
    <xf numFmtId="1" fontId="0" fillId="2" borderId="26" xfId="0" applyNumberFormat="1" applyFill="1" applyBorder="1"/>
    <xf numFmtId="167" fontId="17" fillId="2" borderId="86" xfId="1" applyNumberFormat="1" applyFont="1" applyFill="1" applyBorder="1" applyAlignment="1">
      <alignment horizontal="center" vertical="center"/>
    </xf>
    <xf numFmtId="43" fontId="63" fillId="2" borderId="12" xfId="0" applyNumberFormat="1" applyFont="1" applyFill="1" applyBorder="1" applyAlignment="1">
      <alignment horizontal="right"/>
    </xf>
    <xf numFmtId="1" fontId="0" fillId="2" borderId="12" xfId="0" applyNumberFormat="1" applyFill="1" applyBorder="1"/>
    <xf numFmtId="0" fontId="63" fillId="2" borderId="12" xfId="0" applyFont="1" applyFill="1" applyBorder="1" applyAlignment="1">
      <alignment horizontal="right"/>
    </xf>
    <xf numFmtId="0" fontId="0" fillId="2" borderId="26" xfId="0" applyFill="1" applyBorder="1"/>
    <xf numFmtId="173" fontId="0" fillId="2" borderId="12" xfId="3" applyNumberFormat="1" applyFont="1" applyFill="1" applyBorder="1"/>
    <xf numFmtId="173" fontId="0" fillId="2" borderId="26" xfId="3" applyNumberFormat="1" applyFont="1" applyFill="1" applyBorder="1"/>
    <xf numFmtId="173" fontId="17" fillId="2" borderId="86" xfId="1" applyNumberFormat="1" applyFont="1" applyFill="1" applyBorder="1" applyAlignment="1">
      <alignment horizontal="right" vertical="center"/>
    </xf>
    <xf numFmtId="186" fontId="0" fillId="2" borderId="12" xfId="0" applyNumberFormat="1" applyFill="1" applyBorder="1"/>
    <xf numFmtId="186" fontId="0" fillId="2" borderId="26" xfId="0" applyNumberFormat="1" applyFill="1" applyBorder="1"/>
    <xf numFmtId="187" fontId="17" fillId="2" borderId="86" xfId="1" applyNumberFormat="1" applyFont="1" applyFill="1" applyBorder="1" applyAlignment="1">
      <alignment horizontal="center" vertical="center"/>
    </xf>
    <xf numFmtId="2" fontId="0" fillId="2" borderId="12" xfId="0" applyNumberFormat="1" applyFill="1" applyBorder="1"/>
    <xf numFmtId="43" fontId="0" fillId="2" borderId="26" xfId="1" applyFont="1" applyFill="1" applyBorder="1"/>
    <xf numFmtId="43" fontId="17" fillId="2" borderId="86" xfId="1" applyFont="1" applyFill="1" applyBorder="1" applyAlignment="1">
      <alignment horizontal="center" vertical="center"/>
    </xf>
    <xf numFmtId="43" fontId="62" fillId="2" borderId="25" xfId="0" applyNumberFormat="1" applyFont="1" applyFill="1" applyBorder="1" applyAlignment="1">
      <alignment horizontal="center" vertical="center" wrapText="1"/>
    </xf>
    <xf numFmtId="0" fontId="0" fillId="2" borderId="12" xfId="0" applyFill="1" applyBorder="1"/>
    <xf numFmtId="2" fontId="0" fillId="2" borderId="26" xfId="0" applyNumberFormat="1" applyFill="1" applyBorder="1"/>
    <xf numFmtId="44" fontId="17" fillId="2" borderId="86" xfId="0" applyNumberFormat="1" applyFont="1" applyFill="1" applyBorder="1" applyAlignment="1">
      <alignment horizontal="center"/>
    </xf>
    <xf numFmtId="0" fontId="62" fillId="2" borderId="25" xfId="0" applyFont="1" applyFill="1" applyBorder="1" applyAlignment="1">
      <alignment vertical="center"/>
    </xf>
    <xf numFmtId="0" fontId="65" fillId="2" borderId="29" xfId="0" applyFont="1" applyFill="1" applyBorder="1"/>
    <xf numFmtId="0" fontId="66" fillId="2" borderId="88" xfId="0" applyFont="1" applyFill="1" applyBorder="1" applyAlignment="1">
      <alignment horizontal="right"/>
    </xf>
    <xf numFmtId="10" fontId="0" fillId="2" borderId="15" xfId="3" applyNumberFormat="1" applyFont="1" applyFill="1" applyBorder="1" applyAlignment="1"/>
    <xf numFmtId="10" fontId="0" fillId="2" borderId="88" xfId="3" applyNumberFormat="1" applyFont="1" applyFill="1" applyBorder="1" applyAlignment="1"/>
    <xf numFmtId="10" fontId="17" fillId="2" borderId="89" xfId="3" applyNumberFormat="1" applyFont="1" applyFill="1" applyBorder="1" applyAlignment="1">
      <alignment horizontal="center"/>
    </xf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6" xfId="2" applyFont="1" applyBorder="1" applyAlignment="1"/>
    <xf numFmtId="44" fontId="0" fillId="0" borderId="3" xfId="0" applyNumberFormat="1" applyBorder="1"/>
    <xf numFmtId="44" fontId="0" fillId="0" borderId="90" xfId="0" applyNumberFormat="1" applyBorder="1"/>
    <xf numFmtId="44" fontId="17" fillId="0" borderId="91" xfId="0" applyNumberFormat="1" applyFont="1" applyBorder="1" applyAlignment="1">
      <alignment horizontal="center"/>
    </xf>
    <xf numFmtId="44" fontId="0" fillId="0" borderId="12" xfId="0" applyNumberFormat="1" applyBorder="1"/>
    <xf numFmtId="0" fontId="0" fillId="2" borderId="3" xfId="0" applyFill="1" applyBorder="1"/>
    <xf numFmtId="173" fontId="0" fillId="2" borderId="3" xfId="3" applyNumberFormat="1" applyFont="1" applyFill="1" applyBorder="1"/>
    <xf numFmtId="173" fontId="0" fillId="2" borderId="90" xfId="3" applyNumberFormat="1" applyFont="1" applyFill="1" applyBorder="1"/>
    <xf numFmtId="173" fontId="0" fillId="2" borderId="33" xfId="3" applyNumberFormat="1" applyFont="1" applyFill="1" applyBorder="1"/>
    <xf numFmtId="173" fontId="17" fillId="2" borderId="91" xfId="0" applyNumberFormat="1" applyFont="1" applyFill="1" applyBorder="1" applyAlignment="1">
      <alignment horizontal="center"/>
    </xf>
    <xf numFmtId="173" fontId="0" fillId="2" borderId="2" xfId="3" applyNumberFormat="1" applyFont="1" applyFill="1" applyBorder="1"/>
    <xf numFmtId="173" fontId="0" fillId="2" borderId="13" xfId="3" applyNumberFormat="1" applyFont="1" applyFill="1" applyBorder="1"/>
    <xf numFmtId="173" fontId="0" fillId="2" borderId="28" xfId="3" applyNumberFormat="1" applyFont="1" applyFill="1" applyBorder="1"/>
    <xf numFmtId="173" fontId="17" fillId="2" borderId="87" xfId="0" applyNumberFormat="1" applyFont="1" applyFill="1" applyBorder="1" applyAlignment="1">
      <alignment horizontal="center"/>
    </xf>
    <xf numFmtId="44" fontId="0" fillId="0" borderId="13" xfId="0" applyNumberFormat="1" applyBorder="1"/>
    <xf numFmtId="44" fontId="0" fillId="0" borderId="28" xfId="0" applyNumberFormat="1" applyBorder="1"/>
    <xf numFmtId="44" fontId="17" fillId="0" borderId="87" xfId="0" applyNumberFormat="1" applyFont="1" applyBorder="1" applyAlignment="1">
      <alignment horizontal="center"/>
    </xf>
    <xf numFmtId="44" fontId="0" fillId="2" borderId="3" xfId="0" applyNumberFormat="1" applyFill="1" applyBorder="1"/>
    <xf numFmtId="44" fontId="0" fillId="2" borderId="90" xfId="0" applyNumberFormat="1" applyFill="1" applyBorder="1"/>
    <xf numFmtId="44" fontId="0" fillId="2" borderId="33" xfId="0" applyNumberFormat="1" applyFill="1" applyBorder="1"/>
    <xf numFmtId="44" fontId="17" fillId="2" borderId="91" xfId="0" applyNumberFormat="1" applyFont="1" applyFill="1" applyBorder="1" applyAlignment="1">
      <alignment horizontal="center"/>
    </xf>
    <xf numFmtId="44" fontId="0" fillId="0" borderId="34" xfId="0" applyNumberFormat="1" applyBorder="1"/>
    <xf numFmtId="44" fontId="0" fillId="0" borderId="93" xfId="0" applyNumberFormat="1" applyBorder="1"/>
    <xf numFmtId="44" fontId="0" fillId="0" borderId="35" xfId="2" applyFont="1" applyBorder="1" applyAlignment="1"/>
    <xf numFmtId="44" fontId="17" fillId="0" borderId="94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43" fontId="63" fillId="2" borderId="92" xfId="0" applyNumberFormat="1" applyFont="1" applyFill="1" applyBorder="1" applyAlignment="1">
      <alignment horizontal="right"/>
    </xf>
    <xf numFmtId="0" fontId="0" fillId="2" borderId="42" xfId="0" applyFill="1" applyBorder="1"/>
    <xf numFmtId="1" fontId="0" fillId="2" borderId="42" xfId="0" applyNumberFormat="1" applyFill="1" applyBorder="1"/>
    <xf numFmtId="1" fontId="0" fillId="2" borderId="92" xfId="0" applyNumberFormat="1" applyFill="1" applyBorder="1"/>
    <xf numFmtId="167" fontId="17" fillId="2" borderId="96" xfId="1" applyNumberFormat="1" applyFont="1" applyFill="1" applyBorder="1" applyAlignment="1">
      <alignment horizontal="center" vertical="center"/>
    </xf>
    <xf numFmtId="1" fontId="0" fillId="2" borderId="0" xfId="0" applyNumberFormat="1" applyFill="1"/>
    <xf numFmtId="2" fontId="0" fillId="2" borderId="0" xfId="0" applyNumberFormat="1" applyFill="1"/>
    <xf numFmtId="185" fontId="0" fillId="2" borderId="0" xfId="0" applyNumberFormat="1" applyFill="1"/>
    <xf numFmtId="0" fontId="63" fillId="2" borderId="93" xfId="0" applyFont="1" applyFill="1" applyBorder="1" applyAlignment="1">
      <alignment horizontal="right"/>
    </xf>
    <xf numFmtId="0" fontId="0" fillId="2" borderId="34" xfId="0" applyFill="1" applyBorder="1"/>
    <xf numFmtId="2" fontId="0" fillId="2" borderId="34" xfId="0" applyNumberFormat="1" applyFill="1" applyBorder="1"/>
    <xf numFmtId="44" fontId="0" fillId="2" borderId="93" xfId="2" applyFont="1" applyFill="1" applyBorder="1"/>
    <xf numFmtId="44" fontId="0" fillId="2" borderId="35" xfId="2" applyFont="1" applyFill="1" applyBorder="1"/>
    <xf numFmtId="44" fontId="17" fillId="2" borderId="94" xfId="2" applyFont="1" applyFill="1" applyBorder="1" applyAlignment="1">
      <alignment horizontal="center" vertical="center"/>
    </xf>
    <xf numFmtId="43" fontId="62" fillId="2" borderId="25" xfId="0" applyNumberFormat="1" applyFont="1" applyFill="1" applyBorder="1" applyAlignment="1">
      <alignment vertical="center" textRotation="90"/>
    </xf>
    <xf numFmtId="43" fontId="62" fillId="2" borderId="80" xfId="0" applyNumberFormat="1" applyFont="1" applyFill="1" applyBorder="1" applyAlignment="1">
      <alignment vertical="center" textRotation="90"/>
    </xf>
    <xf numFmtId="43" fontId="62" fillId="2" borderId="41" xfId="0" applyNumberFormat="1" applyFont="1" applyFill="1" applyBorder="1" applyAlignment="1">
      <alignment vertical="center" textRotation="90"/>
    </xf>
    <xf numFmtId="43" fontId="0" fillId="2" borderId="95" xfId="1" applyFont="1" applyFill="1" applyBorder="1"/>
    <xf numFmtId="167" fontId="16" fillId="2" borderId="58" xfId="1" applyNumberFormat="1" applyFont="1" applyFill="1" applyBorder="1" applyAlignment="1">
      <alignment horizontal="right"/>
    </xf>
    <xf numFmtId="171" fontId="27" fillId="10" borderId="97" xfId="2" applyNumberFormat="1" applyFont="1" applyFill="1" applyBorder="1"/>
    <xf numFmtId="44" fontId="25" fillId="0" borderId="0" xfId="2" applyFont="1" applyFill="1" applyBorder="1"/>
    <xf numFmtId="14" fontId="0" fillId="0" borderId="3" xfId="0" applyNumberFormat="1" applyBorder="1" applyAlignment="1">
      <alignment horizontal="center"/>
    </xf>
    <xf numFmtId="14" fontId="0" fillId="0" borderId="48" xfId="2" applyNumberFormat="1" applyFont="1" applyBorder="1" applyAlignment="1">
      <alignment horizontal="center"/>
    </xf>
    <xf numFmtId="14" fontId="0" fillId="0" borderId="50" xfId="2" applyNumberFormat="1" applyFont="1" applyBorder="1" applyAlignment="1">
      <alignment horizontal="center"/>
    </xf>
    <xf numFmtId="14" fontId="0" fillId="6" borderId="0" xfId="2" applyNumberFormat="1" applyFont="1" applyFill="1" applyBorder="1" applyAlignment="1">
      <alignment horizontal="center"/>
    </xf>
    <xf numFmtId="14" fontId="57" fillId="6" borderId="0" xfId="2" applyNumberFormat="1" applyFont="1" applyFill="1" applyBorder="1" applyAlignment="1">
      <alignment horizontal="center"/>
    </xf>
    <xf numFmtId="14" fontId="0" fillId="0" borderId="1" xfId="0" applyNumberFormat="1" applyBorder="1"/>
    <xf numFmtId="171" fontId="27" fillId="10" borderId="98" xfId="2" applyNumberFormat="1" applyFont="1" applyFill="1" applyBorder="1"/>
    <xf numFmtId="173" fontId="27" fillId="10" borderId="54" xfId="3" applyNumberFormat="1" applyFont="1" applyFill="1" applyBorder="1"/>
    <xf numFmtId="164" fontId="23" fillId="3" borderId="0" xfId="0" applyNumberFormat="1" applyFont="1" applyFill="1" applyAlignment="1">
      <alignment horizontal="right" wrapText="1"/>
    </xf>
    <xf numFmtId="1" fontId="16" fillId="0" borderId="21" xfId="0" applyNumberFormat="1" applyFont="1" applyBorder="1" applyAlignment="1">
      <alignment horizontal="center"/>
    </xf>
    <xf numFmtId="1" fontId="42" fillId="7" borderId="21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right" wrapText="1"/>
    </xf>
    <xf numFmtId="44" fontId="5" fillId="6" borderId="2" xfId="2" applyFont="1" applyFill="1" applyBorder="1" applyAlignment="1">
      <alignment horizontal="right" wrapText="1"/>
    </xf>
    <xf numFmtId="44" fontId="5" fillId="6" borderId="17" xfId="2" applyFont="1" applyFill="1" applyBorder="1" applyAlignment="1">
      <alignment horizontal="right" wrapText="1"/>
    </xf>
    <xf numFmtId="0" fontId="5" fillId="6" borderId="0" xfId="0" applyFont="1" applyFill="1" applyAlignment="1">
      <alignment horizontal="right" wrapText="1"/>
    </xf>
    <xf numFmtId="0" fontId="22" fillId="6" borderId="0" xfId="0" applyFont="1" applyFill="1" applyAlignment="1">
      <alignment horizontal="right" wrapText="1"/>
    </xf>
    <xf numFmtId="2" fontId="5" fillId="6" borderId="0" xfId="0" applyNumberFormat="1" applyFont="1" applyFill="1" applyAlignment="1">
      <alignment horizontal="right" wrapText="1"/>
    </xf>
    <xf numFmtId="44" fontId="5" fillId="6" borderId="0" xfId="2" applyFont="1" applyFill="1" applyBorder="1" applyAlignment="1">
      <alignment horizontal="right" wrapText="1"/>
    </xf>
    <xf numFmtId="44" fontId="5" fillId="6" borderId="21" xfId="2" applyFont="1" applyFill="1" applyBorder="1" applyAlignment="1">
      <alignment horizontal="right" wrapText="1"/>
    </xf>
    <xf numFmtId="164" fontId="23" fillId="3" borderId="2" xfId="0" applyNumberFormat="1" applyFont="1" applyFill="1" applyBorder="1" applyAlignment="1">
      <alignment horizontal="right" wrapText="1"/>
    </xf>
    <xf numFmtId="0" fontId="11" fillId="7" borderId="21" xfId="3" applyNumberFormat="1" applyFont="1" applyFill="1" applyBorder="1"/>
    <xf numFmtId="10" fontId="11" fillId="0" borderId="21" xfId="3" applyNumberFormat="1" applyFont="1" applyBorder="1"/>
    <xf numFmtId="168" fontId="19" fillId="2" borderId="99" xfId="0" applyNumberFormat="1" applyFont="1" applyFill="1" applyBorder="1"/>
    <xf numFmtId="43" fontId="0" fillId="0" borderId="51" xfId="1" applyFont="1" applyBorder="1"/>
    <xf numFmtId="165" fontId="5" fillId="0" borderId="21" xfId="0" applyNumberFormat="1" applyFont="1" applyBorder="1" applyAlignment="1">
      <alignment horizontal="right" wrapText="1"/>
    </xf>
    <xf numFmtId="164" fontId="6" fillId="0" borderId="21" xfId="0" applyNumberFormat="1" applyFont="1" applyBorder="1" applyAlignment="1">
      <alignment wrapText="1"/>
    </xf>
    <xf numFmtId="44" fontId="67" fillId="6" borderId="0" xfId="2" applyFont="1" applyFill="1" applyBorder="1" applyAlignment="1">
      <alignment horizontal="right" wrapText="1"/>
    </xf>
    <xf numFmtId="44" fontId="25" fillId="6" borderId="21" xfId="2" applyFont="1" applyFill="1" applyBorder="1"/>
    <xf numFmtId="10" fontId="42" fillId="3" borderId="0" xfId="0" applyNumberFormat="1" applyFont="1" applyFill="1"/>
    <xf numFmtId="175" fontId="11" fillId="0" borderId="0" xfId="0" applyNumberFormat="1" applyFont="1"/>
    <xf numFmtId="164" fontId="23" fillId="3" borderId="21" xfId="0" applyNumberFormat="1" applyFont="1" applyFill="1" applyBorder="1" applyAlignment="1">
      <alignment horizontal="right" wrapText="1"/>
    </xf>
    <xf numFmtId="44" fontId="25" fillId="3" borderId="21" xfId="0" applyNumberFormat="1" applyFont="1" applyFill="1" applyBorder="1"/>
    <xf numFmtId="0" fontId="11" fillId="0" borderId="0" xfId="0" applyFont="1" applyAlignment="1">
      <alignment horizontal="center"/>
    </xf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3" fillId="0" borderId="8" xfId="0" applyFont="1" applyBorder="1" applyAlignment="1">
      <alignment horizontal="center"/>
    </xf>
    <xf numFmtId="0" fontId="55" fillId="4" borderId="67" xfId="0" applyFont="1" applyFill="1" applyBorder="1" applyAlignment="1">
      <alignment horizontal="center" vertical="center" wrapText="1"/>
    </xf>
    <xf numFmtId="0" fontId="55" fillId="4" borderId="68" xfId="0" applyFont="1" applyFill="1" applyBorder="1" applyAlignment="1">
      <alignment horizontal="center" vertical="center" wrapText="1"/>
    </xf>
    <xf numFmtId="0" fontId="55" fillId="4" borderId="8" xfId="0" applyFont="1" applyFill="1" applyBorder="1" applyAlignment="1">
      <alignment horizontal="center" vertical="center" wrapText="1"/>
    </xf>
    <xf numFmtId="171" fontId="37" fillId="4" borderId="8" xfId="2" applyNumberFormat="1" applyFont="1" applyFill="1" applyBorder="1" applyAlignment="1">
      <alignment horizontal="center" vertical="center" wrapText="1"/>
    </xf>
    <xf numFmtId="171" fontId="37" fillId="4" borderId="8" xfId="2" applyNumberFormat="1" applyFont="1" applyFill="1" applyBorder="1" applyAlignment="1">
      <alignment horizontal="center" vertical="center"/>
    </xf>
    <xf numFmtId="171" fontId="37" fillId="4" borderId="11" xfId="2" applyNumberFormat="1" applyFont="1" applyFill="1" applyBorder="1" applyAlignment="1">
      <alignment horizontal="center" vertical="center"/>
    </xf>
    <xf numFmtId="184" fontId="27" fillId="4" borderId="82" xfId="0" applyNumberFormat="1" applyFont="1" applyFill="1" applyBorder="1" applyAlignment="1">
      <alignment horizontal="center"/>
    </xf>
    <xf numFmtId="184" fontId="27" fillId="4" borderId="83" xfId="0" applyNumberFormat="1" applyFont="1" applyFill="1" applyBorder="1" applyAlignment="1">
      <alignment horizontal="center"/>
    </xf>
    <xf numFmtId="184" fontId="27" fillId="4" borderId="84" xfId="0" applyNumberFormat="1" applyFont="1" applyFill="1" applyBorder="1" applyAlignment="1">
      <alignment horizontal="center"/>
    </xf>
    <xf numFmtId="0" fontId="61" fillId="0" borderId="25" xfId="0" applyFont="1" applyBorder="1" applyAlignment="1">
      <alignment horizontal="center" wrapText="1"/>
    </xf>
    <xf numFmtId="0" fontId="61" fillId="0" borderId="12" xfId="0" applyFont="1" applyBorder="1" applyAlignment="1">
      <alignment horizontal="center" wrapText="1"/>
    </xf>
    <xf numFmtId="0" fontId="61" fillId="0" borderId="36" xfId="0" applyFont="1" applyBorder="1" applyAlignment="1">
      <alignment horizontal="center" vertical="center" wrapText="1"/>
    </xf>
    <xf numFmtId="0" fontId="61" fillId="0" borderId="58" xfId="0" applyFont="1" applyBorder="1" applyAlignment="1">
      <alignment horizontal="center" vertical="center" wrapText="1"/>
    </xf>
    <xf numFmtId="0" fontId="61" fillId="0" borderId="36" xfId="0" applyFont="1" applyBorder="1" applyAlignment="1">
      <alignment horizontal="center" wrapText="1"/>
    </xf>
    <xf numFmtId="0" fontId="61" fillId="0" borderId="58" xfId="0" applyFont="1" applyBorder="1" applyAlignment="1">
      <alignment horizontal="center" wrapText="1"/>
    </xf>
    <xf numFmtId="0" fontId="61" fillId="0" borderId="32" xfId="0" applyFont="1" applyBorder="1" applyAlignment="1">
      <alignment horizontal="center" wrapText="1"/>
    </xf>
    <xf numFmtId="0" fontId="61" fillId="0" borderId="90" xfId="0" applyFont="1" applyBorder="1" applyAlignment="1">
      <alignment horizontal="center" wrapText="1"/>
    </xf>
    <xf numFmtId="0" fontId="61" fillId="2" borderId="32" xfId="0" applyFont="1" applyFill="1" applyBorder="1" applyAlignment="1">
      <alignment horizontal="right" wrapText="1"/>
    </xf>
    <xf numFmtId="0" fontId="61" fillId="2" borderId="90" xfId="0" applyFont="1" applyFill="1" applyBorder="1" applyAlignment="1">
      <alignment horizontal="right" wrapText="1"/>
    </xf>
    <xf numFmtId="0" fontId="61" fillId="0" borderId="41" xfId="0" applyFont="1" applyBorder="1" applyAlignment="1">
      <alignment horizontal="center" wrapText="1"/>
    </xf>
    <xf numFmtId="0" fontId="61" fillId="0" borderId="92" xfId="0" applyFont="1" applyBorder="1" applyAlignment="1">
      <alignment horizontal="center" wrapText="1"/>
    </xf>
    <xf numFmtId="0" fontId="61" fillId="2" borderId="27" xfId="0" applyFont="1" applyFill="1" applyBorder="1" applyAlignment="1">
      <alignment horizontal="right" wrapText="1"/>
    </xf>
    <xf numFmtId="0" fontId="61" fillId="2" borderId="13" xfId="0" applyFont="1" applyFill="1" applyBorder="1" applyAlignment="1">
      <alignment horizontal="right" wrapText="1"/>
    </xf>
  </cellXfs>
  <cellStyles count="9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4 2" xfId="8" xr:uid="{643EE1CB-0B48-48B6-8D63-FF9F6C0ED382}"/>
    <cellStyle name="Normal 5" xfId="7" xr:uid="{B2BE4F6B-0336-47F0-90E9-D8419412B55F}"/>
    <cellStyle name="Percent" xfId="3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Overview'!$B$38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B2-4A63-A64D-58B388678D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'2023 Overview'!$C$38:$N$38</c:f>
              <c:numCache>
                <c:formatCode>_("$"* #,##0.00_);_("$"* \(#,##0.00\);_("$"* "-"??_);_(@_)</c:formatCode>
                <c:ptCount val="12"/>
                <c:pt idx="0">
                  <c:v>1685.4099999999987</c:v>
                </c:pt>
                <c:pt idx="1">
                  <c:v>1215.7899999999986</c:v>
                </c:pt>
                <c:pt idx="2">
                  <c:v>888.59999999999854</c:v>
                </c:pt>
                <c:pt idx="3">
                  <c:v>721.96999999999866</c:v>
                </c:pt>
                <c:pt idx="4">
                  <c:v>75385.05</c:v>
                </c:pt>
                <c:pt idx="5">
                  <c:v>71768.56</c:v>
                </c:pt>
                <c:pt idx="6">
                  <c:v>71854.92</c:v>
                </c:pt>
                <c:pt idx="7">
                  <c:v>51317.030000000006</c:v>
                </c:pt>
                <c:pt idx="8">
                  <c:v>48758.8</c:v>
                </c:pt>
                <c:pt idx="9">
                  <c:v>118050.04999999999</c:v>
                </c:pt>
                <c:pt idx="10">
                  <c:v>143860.09999999998</c:v>
                </c:pt>
                <c:pt idx="11">
                  <c:v>194649.22999999998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Overview'!$B$39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Overview'!$C$39:$N$39</c:f>
              <c:numCache>
                <c:formatCode>_("$"* #,##0.00_);_("$"* \(#,##0.00\);_("$"* "-"??_);_(@_)</c:formatCode>
                <c:ptCount val="12"/>
                <c:pt idx="0">
                  <c:v>1377.5999999999985</c:v>
                </c:pt>
                <c:pt idx="1">
                  <c:v>-469.62</c:v>
                </c:pt>
                <c:pt idx="2">
                  <c:v>-327.19000000000005</c:v>
                </c:pt>
                <c:pt idx="3">
                  <c:v>-166.62999999999988</c:v>
                </c:pt>
                <c:pt idx="4">
                  <c:v>74663.08</c:v>
                </c:pt>
                <c:pt idx="5">
                  <c:v>-3616.4899999999984</c:v>
                </c:pt>
                <c:pt idx="6">
                  <c:v>86.35999999999558</c:v>
                </c:pt>
                <c:pt idx="7">
                  <c:v>-20537.889999999992</c:v>
                </c:pt>
                <c:pt idx="8">
                  <c:v>-2558.23</c:v>
                </c:pt>
                <c:pt idx="9">
                  <c:v>69291.249999999985</c:v>
                </c:pt>
                <c:pt idx="10">
                  <c:v>25810.049999999974</c:v>
                </c:pt>
                <c:pt idx="11">
                  <c:v>50789.130000000019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7924107028169"/>
          <c:y val="0.10736659038484334"/>
          <c:w val="0.84636868942359689"/>
          <c:h val="0.79457312570089622"/>
        </c:manualLayout>
      </c:layout>
      <c:barChart>
        <c:barDir val="col"/>
        <c:grouping val="stacked"/>
        <c:varyColors val="0"/>
        <c:ser>
          <c:idx val="0"/>
          <c:order val="0"/>
          <c:tx>
            <c:v>Rolling Forecast Net Operating Income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('Quarterly Overview'!$C$31,'Quarterly Overview'!$D$31,'Quarterly Overview'!$F$31,'Quarterly Overview'!$H$31)</c:f>
              <c:numCache>
                <c:formatCode>_("$"* #,##0_);_("$"* \(#,##0\);_("$"* "-"??_);_(@_)</c:formatCode>
                <c:ptCount val="4"/>
                <c:pt idx="0">
                  <c:v>5966.8400000000038</c:v>
                </c:pt>
                <c:pt idx="1">
                  <c:v>4476.6200000000026</c:v>
                </c:pt>
                <c:pt idx="2">
                  <c:v>-24805.700000000004</c:v>
                </c:pt>
                <c:pt idx="3">
                  <c:v>-23098.603414821988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77B-4561-A637-A591BE703A2E}"/>
            </c:ext>
          </c:extLst>
        </c:ser>
        <c:ser>
          <c:idx val="2"/>
          <c:order val="1"/>
          <c:tx>
            <c:v>Rolling Forecast Gross Earnings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77B-4561-A637-A591BE703A2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77B-4561-A637-A591BE703A2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77B-4561-A637-A591BE703A2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77B-4561-A637-A591BE703A2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77B-4561-A637-A591BE703A2E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77B-4561-A637-A591BE703A2E}"/>
              </c:ext>
            </c:extLst>
          </c:dPt>
          <c:cat>
            <c:strRef>
              <c:f>('Quarterly Overview'!$C$43,'Quarterly Overview'!$D$43,'Quarterly Overview'!$F$43,'Quarterly Overview'!$H$43)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Overview'!$C$23,'Quarterly Overview'!$D$23,'Quarterly Overview'!$F$23,'Quarterly Overview'!$H$23)</c:f>
              <c:numCache>
                <c:formatCode>_("$"* #,##0_);_("$"* \(#,##0\);_("$"* "-"??_);_(@_)</c:formatCode>
                <c:ptCount val="4"/>
                <c:pt idx="0">
                  <c:v>56306.350000000006</c:v>
                </c:pt>
                <c:pt idx="1">
                  <c:v>29505.119999999995</c:v>
                </c:pt>
                <c:pt idx="2">
                  <c:v>2871</c:v>
                </c:pt>
                <c:pt idx="3">
                  <c:v>5884.486585178016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7B-4561-A637-A591BE70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793967"/>
        <c:axId val="493786287"/>
      </c:barChart>
      <c:lineChart>
        <c:grouping val="standard"/>
        <c:varyColors val="0"/>
        <c:ser>
          <c:idx val="7"/>
          <c:order val="2"/>
          <c:tx>
            <c:v>Rolling Forecast # of Bookings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E77B-4561-A637-A591BE703A2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E77B-4561-A637-A591BE703A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7B-4561-A637-A591BE70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2025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# of Bookings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v>Rolling Forecast - Net Operating Income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C-43B0-BEA5-A2C03BA689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C-43B0-BEA5-A2C03BA689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8C-43B0-BEA5-A2C03BA689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8C-43B0-BEA5-A2C03BA6891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8C-43B0-BEA5-A2C03BA6891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8C-43B0-BEA5-A2C03BA6891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8C-43B0-BEA5-A2C03BA6891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8C-43B0-BEA5-A2C03BA6891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8C-43B0-BEA5-A2C03BA68917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'2025 Overview (Accrual Basis)'!$C$29:$N$29</c:f>
              <c:numCache>
                <c:formatCode>_("$"* #,##0_);_("$"* \(#,##0\);_("$"* "-"??_);_(@_)</c:formatCode>
                <c:ptCount val="12"/>
                <c:pt idx="0">
                  <c:v>8443.7600000000093</c:v>
                </c:pt>
                <c:pt idx="1">
                  <c:v>-11660.45</c:v>
                </c:pt>
                <c:pt idx="2">
                  <c:v>-9667.4699999999993</c:v>
                </c:pt>
                <c:pt idx="3">
                  <c:v>-7904.5399999999991</c:v>
                </c:pt>
                <c:pt idx="4">
                  <c:v>-6085.0099999999984</c:v>
                </c:pt>
                <c:pt idx="5">
                  <c:v>18466.170000000006</c:v>
                </c:pt>
                <c:pt idx="6">
                  <c:v>-9071.9</c:v>
                </c:pt>
                <c:pt idx="7">
                  <c:v>-8011.9000000000015</c:v>
                </c:pt>
                <c:pt idx="8">
                  <c:v>-7721.9000000000015</c:v>
                </c:pt>
                <c:pt idx="9">
                  <c:v>-7947.9000000000015</c:v>
                </c:pt>
                <c:pt idx="10">
                  <c:v>-8470.69</c:v>
                </c:pt>
                <c:pt idx="11">
                  <c:v>-6680.013414821984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8C-43B0-BEA5-A2C03BA68917}"/>
            </c:ext>
          </c:extLst>
        </c:ser>
        <c:ser>
          <c:idx val="1"/>
          <c:order val="2"/>
          <c:tx>
            <c:v>Total Income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'2025 Overview (Accrual Basis)'!$C$15:$N$15</c:f>
              <c:numCache>
                <c:formatCode>_("$"* #,##0_);_("$"* \(#,##0\);_("$"* "-"??_);_(@_)</c:formatCode>
                <c:ptCount val="12"/>
                <c:pt idx="0">
                  <c:v>70951.44</c:v>
                </c:pt>
                <c:pt idx="1">
                  <c:v>20473.86</c:v>
                </c:pt>
                <c:pt idx="2">
                  <c:v>0</c:v>
                </c:pt>
                <c:pt idx="3">
                  <c:v>11761.5</c:v>
                </c:pt>
                <c:pt idx="4">
                  <c:v>4100.5</c:v>
                </c:pt>
                <c:pt idx="5">
                  <c:v>90000</c:v>
                </c:pt>
                <c:pt idx="6">
                  <c:v>6600</c:v>
                </c:pt>
                <c:pt idx="7">
                  <c:v>6600</c:v>
                </c:pt>
                <c:pt idx="8">
                  <c:v>6600</c:v>
                </c:pt>
                <c:pt idx="9">
                  <c:v>6600</c:v>
                </c:pt>
                <c:pt idx="10">
                  <c:v>6600</c:v>
                </c:pt>
                <c:pt idx="11">
                  <c:v>14133.716462945042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D8C-43B0-BEA5-A2C03BA6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793967"/>
        <c:axId val="493786287"/>
      </c:barChart>
      <c:lineChart>
        <c:grouping val="standard"/>
        <c:varyColors val="0"/>
        <c:ser>
          <c:idx val="3"/>
          <c:order val="0"/>
          <c:tx>
            <c:v>Rolling Forecast # of Bookings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D8C-43B0-BEA5-A2C03BA68917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D8C-43B0-BEA5-A2C03BA6891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D8C-43B0-BEA5-A2C03BA68917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D8C-43B0-BEA5-A2C03BA68917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D8C-43B0-BEA5-A2C03BA68917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D8C-43B0-BEA5-A2C03BA6891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D8C-43B0-BEA5-A2C03BA6891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D8C-43B0-BEA5-A2C03BA68917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6604-4032-83B3-1C406E47009C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'2025 Overview (Accrual Basis)'!$C$16:$N$16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D8C-43B0-BEA5-A2C03BA6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Rolling Forecast Total Income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724-4A72-ADB9-62F8D0A5B2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724-4A72-ADB9-62F8D0A5B2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724-4A72-ADB9-62F8D0A5B2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724-4A72-ADB9-62F8D0A5B22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724-4A72-ADB9-62F8D0A5B22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724-4A72-ADB9-62F8D0A5B22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724-4A72-ADB9-62F8D0A5B22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724-4A72-ADB9-62F8D0A5B22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724-4A72-ADB9-62F8D0A5B22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724-4A72-ADB9-62F8D0A5B22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724-4A72-ADB9-62F8D0A5B224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'2025 Overview (Accrual Basis)'!$C$15:$N$15</c:f>
              <c:numCache>
                <c:formatCode>_("$"* #,##0_);_("$"* \(#,##0\);_("$"* "-"??_);_(@_)</c:formatCode>
                <c:ptCount val="12"/>
                <c:pt idx="0">
                  <c:v>70951.44</c:v>
                </c:pt>
                <c:pt idx="1">
                  <c:v>20473.86</c:v>
                </c:pt>
                <c:pt idx="2">
                  <c:v>0</c:v>
                </c:pt>
                <c:pt idx="3">
                  <c:v>11761.5</c:v>
                </c:pt>
                <c:pt idx="4">
                  <c:v>4100.5</c:v>
                </c:pt>
                <c:pt idx="5">
                  <c:v>90000</c:v>
                </c:pt>
                <c:pt idx="6">
                  <c:v>6600</c:v>
                </c:pt>
                <c:pt idx="7">
                  <c:v>6600</c:v>
                </c:pt>
                <c:pt idx="8">
                  <c:v>6600</c:v>
                </c:pt>
                <c:pt idx="9">
                  <c:v>6600</c:v>
                </c:pt>
                <c:pt idx="10">
                  <c:v>6600</c:v>
                </c:pt>
                <c:pt idx="11">
                  <c:v>14133.716462945042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724-4A72-ADB9-62F8D0A5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1"/>
          <c:tx>
            <c:v>Rolling Forecast # of Contract Bookings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C724-4A72-ADB9-62F8D0A5B22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C724-4A72-ADB9-62F8D0A5B22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C724-4A72-ADB9-62F8D0A5B22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C724-4A72-ADB9-62F8D0A5B22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C724-4A72-ADB9-62F8D0A5B224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C724-4A72-ADB9-62F8D0A5B224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C724-4A72-ADB9-62F8D0A5B22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724-4A72-ADB9-62F8D0A5B224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C724-4A72-ADB9-62F8D0A5B224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C724-4A72-ADB9-62F8D0A5B2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'2025 Overview (Accrual Basis)'!$C$16:$N$16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724-4A72-ADB9-62F8D0A5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48960"/>
        <c:axId val="691445600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69144560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8960"/>
        <c:crosses val="max"/>
        <c:crossBetween val="between"/>
      </c:valAx>
      <c:catAx>
        <c:axId val="6914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44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Overview (Budget)'!$B$29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4.2760672807200294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3C-4CAC-B25D-9347D75493AC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C-4CAC-B25D-9347D75493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(Budget)'!$C$29:$N$29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3316.6412282455376</c:v>
                </c:pt>
                <c:pt idx="2">
                  <c:v>5497.8005183445657</c:v>
                </c:pt>
                <c:pt idx="3">
                  <c:v>3302.7836486269971</c:v>
                </c:pt>
                <c:pt idx="4">
                  <c:v>8871.8882385311808</c:v>
                </c:pt>
                <c:pt idx="5">
                  <c:v>13456.513174061729</c:v>
                </c:pt>
                <c:pt idx="6">
                  <c:v>18493.088487745135</c:v>
                </c:pt>
                <c:pt idx="7">
                  <c:v>19751.221462811165</c:v>
                </c:pt>
                <c:pt idx="8">
                  <c:v>23942.748287661394</c:v>
                </c:pt>
                <c:pt idx="9">
                  <c:v>24840.367955744099</c:v>
                </c:pt>
                <c:pt idx="10">
                  <c:v>26127.425582637512</c:v>
                </c:pt>
                <c:pt idx="11">
                  <c:v>27707.064622903279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C-4CAC-B25D-9347D7549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Overview (Budget)'!$B$30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Overview (Budget)'!$C$30:$N$30</c:f>
              <c:numCache>
                <c:formatCode>_("$"* #,##0.00_);_("$"* \(#,##0.00\);_("$"* "-"??_);_(@_)</c:formatCode>
                <c:ptCount val="12"/>
                <c:pt idx="0">
                  <c:v>-99451.290000000008</c:v>
                </c:pt>
                <c:pt idx="1">
                  <c:v>2732.7059908997135</c:v>
                </c:pt>
                <c:pt idx="2">
                  <c:v>2181.1592900990277</c:v>
                </c:pt>
                <c:pt idx="3">
                  <c:v>-2195.0168697175686</c:v>
                </c:pt>
                <c:pt idx="4">
                  <c:v>5569.1045899041828</c:v>
                </c:pt>
                <c:pt idx="5">
                  <c:v>4584.6249355305481</c:v>
                </c:pt>
                <c:pt idx="6">
                  <c:v>5036.5753136834055</c:v>
                </c:pt>
                <c:pt idx="7">
                  <c:v>1258.1329750660307</c:v>
                </c:pt>
                <c:pt idx="8">
                  <c:v>4191.5268248502307</c:v>
                </c:pt>
                <c:pt idx="9">
                  <c:v>897.61966808270699</c:v>
                </c:pt>
                <c:pt idx="10">
                  <c:v>1287.0576268934128</c:v>
                </c:pt>
                <c:pt idx="11">
                  <c:v>1579.6390402657671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C-4CAC-B25D-9347D7549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1"/>
          <c:order val="2"/>
          <c:tx>
            <c:v>Cash Balance</c:v>
          </c:tx>
          <c:spPr>
            <a:solidFill>
              <a:schemeClr val="bg2"/>
            </a:solidFill>
            <a:ln>
              <a:solidFill>
                <a:schemeClr val="accent6"/>
              </a:solidFill>
            </a:ln>
            <a:effectLst/>
          </c:spPr>
          <c:cat>
            <c:numLit>
              <c:formatCode>General</c:formatCode>
              <c:ptCount val="24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  <c:pt idx="18">
                <c:v>45869</c:v>
              </c:pt>
              <c:pt idx="19">
                <c:v>45900</c:v>
              </c:pt>
              <c:pt idx="20">
                <c:v>45930</c:v>
              </c:pt>
              <c:pt idx="21">
                <c:v>45961</c:v>
              </c:pt>
              <c:pt idx="22">
                <c:v>45991</c:v>
              </c:pt>
              <c:pt idx="23">
                <c:v>46022</c:v>
              </c:pt>
            </c:numLit>
          </c:cat>
          <c:val>
            <c:numRef>
              <c:f>'Monthly Detail'!$AB$195:$AS$195</c:f>
              <c:numCache>
                <c:formatCode>_("$"* #,##0.00_);_("$"* \(#,##0.00\);_("$"* "-"??_);_(@_)</c:formatCode>
                <c:ptCount val="6"/>
                <c:pt idx="0">
                  <c:v>52403.930000000037</c:v>
                </c:pt>
                <c:pt idx="1">
                  <c:v>32391.59000000004</c:v>
                </c:pt>
                <c:pt idx="2">
                  <c:v>34495.210000000036</c:v>
                </c:pt>
                <c:pt idx="3">
                  <c:v>26183.010000000038</c:v>
                </c:pt>
                <c:pt idx="4">
                  <c:v>102852.75000000004</c:v>
                </c:pt>
                <c:pt idx="5">
                  <c:v>92697.910000000062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F-4C44-AC7D-22092168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stacked"/>
        <c:varyColors val="0"/>
        <c:ser>
          <c:idx val="4"/>
          <c:order val="0"/>
          <c:tx>
            <c:v>Total Income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3CF-4C44-AC7D-220921683AF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3CF-4C44-AC7D-220921683AF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3CF-4C44-AC7D-220921683AF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CF-4C44-AC7D-220921683AF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3CF-4C44-AC7D-220921683AF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3CF-4C44-AC7D-220921683AF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3CF-4C44-AC7D-220921683AF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3CF-4C44-AC7D-220921683AF3}"/>
              </c:ext>
            </c:extLst>
          </c:dPt>
          <c:cat>
            <c:numLit>
              <c:formatCode>General</c:formatCode>
              <c:ptCount val="84"/>
              <c:pt idx="0">
                <c:v>44957</c:v>
              </c:pt>
              <c:pt idx="1">
                <c:v>44985</c:v>
              </c:pt>
              <c:pt idx="2">
                <c:v>45016</c:v>
              </c:pt>
              <c:pt idx="3">
                <c:v>45046</c:v>
              </c:pt>
              <c:pt idx="4">
                <c:v>45077</c:v>
              </c:pt>
              <c:pt idx="5">
                <c:v>45107</c:v>
              </c:pt>
              <c:pt idx="6">
                <c:v>45138</c:v>
              </c:pt>
              <c:pt idx="7">
                <c:v>45169</c:v>
              </c:pt>
              <c:pt idx="8">
                <c:v>45199</c:v>
              </c:pt>
              <c:pt idx="9">
                <c:v>45230</c:v>
              </c:pt>
              <c:pt idx="10">
                <c:v>45260</c:v>
              </c:pt>
              <c:pt idx="11">
                <c:v>45291</c:v>
              </c:pt>
              <c:pt idx="12">
                <c:v>45322</c:v>
              </c:pt>
              <c:pt idx="13">
                <c:v>45351</c:v>
              </c:pt>
              <c:pt idx="14">
                <c:v>45382</c:v>
              </c:pt>
              <c:pt idx="15">
                <c:v>45412</c:v>
              </c:pt>
              <c:pt idx="16">
                <c:v>45443</c:v>
              </c:pt>
              <c:pt idx="17">
                <c:v>45473</c:v>
              </c:pt>
              <c:pt idx="18">
                <c:v>45504</c:v>
              </c:pt>
              <c:pt idx="19">
                <c:v>45535</c:v>
              </c:pt>
              <c:pt idx="20">
                <c:v>45565</c:v>
              </c:pt>
              <c:pt idx="21">
                <c:v>45596</c:v>
              </c:pt>
              <c:pt idx="22">
                <c:v>45626</c:v>
              </c:pt>
              <c:pt idx="23">
                <c:v>45657</c:v>
              </c:pt>
              <c:pt idx="24">
                <c:v>46053</c:v>
              </c:pt>
              <c:pt idx="25">
                <c:v>46081</c:v>
              </c:pt>
              <c:pt idx="26">
                <c:v>46112</c:v>
              </c:pt>
              <c:pt idx="27">
                <c:v>46142</c:v>
              </c:pt>
              <c:pt idx="28">
                <c:v>46173</c:v>
              </c:pt>
              <c:pt idx="29">
                <c:v>46203</c:v>
              </c:pt>
              <c:pt idx="30">
                <c:v>46234</c:v>
              </c:pt>
              <c:pt idx="31">
                <c:v>46265</c:v>
              </c:pt>
              <c:pt idx="32">
                <c:v>46295</c:v>
              </c:pt>
              <c:pt idx="33">
                <c:v>46326</c:v>
              </c:pt>
              <c:pt idx="34">
                <c:v>46356</c:v>
              </c:pt>
              <c:pt idx="35">
                <c:v>46387</c:v>
              </c:pt>
              <c:pt idx="36">
                <c:v>46418</c:v>
              </c:pt>
              <c:pt idx="37">
                <c:v>46446</c:v>
              </c:pt>
              <c:pt idx="38">
                <c:v>46477</c:v>
              </c:pt>
              <c:pt idx="39">
                <c:v>46507</c:v>
              </c:pt>
              <c:pt idx="40">
                <c:v>46538</c:v>
              </c:pt>
              <c:pt idx="41">
                <c:v>46568</c:v>
              </c:pt>
              <c:pt idx="42">
                <c:v>46599</c:v>
              </c:pt>
              <c:pt idx="43">
                <c:v>46630</c:v>
              </c:pt>
              <c:pt idx="44">
                <c:v>46660</c:v>
              </c:pt>
              <c:pt idx="45">
                <c:v>46691</c:v>
              </c:pt>
              <c:pt idx="46">
                <c:v>46721</c:v>
              </c:pt>
              <c:pt idx="47">
                <c:v>46752</c:v>
              </c:pt>
              <c:pt idx="48">
                <c:v>46783</c:v>
              </c:pt>
              <c:pt idx="49">
                <c:v>46812</c:v>
              </c:pt>
              <c:pt idx="50">
                <c:v>46843</c:v>
              </c:pt>
              <c:pt idx="51">
                <c:v>46873</c:v>
              </c:pt>
              <c:pt idx="52">
                <c:v>46904</c:v>
              </c:pt>
              <c:pt idx="53">
                <c:v>46934</c:v>
              </c:pt>
              <c:pt idx="54">
                <c:v>46965</c:v>
              </c:pt>
              <c:pt idx="55">
                <c:v>46996</c:v>
              </c:pt>
              <c:pt idx="56">
                <c:v>47026</c:v>
              </c:pt>
              <c:pt idx="57">
                <c:v>47057</c:v>
              </c:pt>
              <c:pt idx="58">
                <c:v>47087</c:v>
              </c:pt>
              <c:pt idx="59">
                <c:v>47118</c:v>
              </c:pt>
              <c:pt idx="60">
                <c:v>47149</c:v>
              </c:pt>
              <c:pt idx="61">
                <c:v>47177</c:v>
              </c:pt>
              <c:pt idx="62">
                <c:v>47208</c:v>
              </c:pt>
              <c:pt idx="63">
                <c:v>47238</c:v>
              </c:pt>
              <c:pt idx="64">
                <c:v>47269</c:v>
              </c:pt>
              <c:pt idx="65">
                <c:v>47299</c:v>
              </c:pt>
              <c:pt idx="66">
                <c:v>47330</c:v>
              </c:pt>
              <c:pt idx="67">
                <c:v>47361</c:v>
              </c:pt>
              <c:pt idx="68">
                <c:v>47391</c:v>
              </c:pt>
              <c:pt idx="69">
                <c:v>47422</c:v>
              </c:pt>
              <c:pt idx="70">
                <c:v>47452</c:v>
              </c:pt>
              <c:pt idx="71">
                <c:v>47483</c:v>
              </c:pt>
              <c:pt idx="72">
                <c:v>47514</c:v>
              </c:pt>
              <c:pt idx="73">
                <c:v>47542</c:v>
              </c:pt>
              <c:pt idx="74">
                <c:v>47573</c:v>
              </c:pt>
              <c:pt idx="75">
                <c:v>47603</c:v>
              </c:pt>
              <c:pt idx="76">
                <c:v>47634</c:v>
              </c:pt>
              <c:pt idx="77">
                <c:v>47664</c:v>
              </c:pt>
              <c:pt idx="78">
                <c:v>47695</c:v>
              </c:pt>
              <c:pt idx="79">
                <c:v>47726</c:v>
              </c:pt>
              <c:pt idx="80">
                <c:v>47756</c:v>
              </c:pt>
              <c:pt idx="81">
                <c:v>47787</c:v>
              </c:pt>
              <c:pt idx="82">
                <c:v>47817</c:v>
              </c:pt>
              <c:pt idx="83">
                <c:v>47848</c:v>
              </c:pt>
            </c:numLit>
          </c:cat>
          <c:val>
            <c:numRef>
              <c:f>'Monthly Detail'!$AB$10:$AS$10</c:f>
              <c:numCache>
                <c:formatCode>_("$"* #,##0.00_);_("$"* \(#,##0.00\);_("$"* "-"??_);_(@_)</c:formatCode>
                <c:ptCount val="6"/>
                <c:pt idx="0">
                  <c:v>89802.44</c:v>
                </c:pt>
                <c:pt idx="1">
                  <c:v>20473.86</c:v>
                </c:pt>
                <c:pt idx="2">
                  <c:v>0</c:v>
                </c:pt>
                <c:pt idx="3">
                  <c:v>11761.5</c:v>
                </c:pt>
                <c:pt idx="4">
                  <c:v>4100.5</c:v>
                </c:pt>
                <c:pt idx="5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CF-4C44-AC7D-22092168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7"/>
          <c:order val="1"/>
          <c:tx>
            <c:v>EBITDA</c:v>
          </c:tx>
          <c:spPr>
            <a:solidFill>
              <a:schemeClr val="bg2">
                <a:lumMod val="9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3CF-4C44-AC7D-220921683AF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3CF-4C44-AC7D-220921683AF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3CF-4C44-AC7D-220921683AF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3CF-4C44-AC7D-220921683AF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3CF-4C44-AC7D-220921683AF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3CF-4C44-AC7D-220921683AF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3CF-4C44-AC7D-220921683AF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3CF-4C44-AC7D-220921683AF3}"/>
              </c:ext>
            </c:extLst>
          </c:dPt>
          <c:cat>
            <c:numLit>
              <c:formatCode>General</c:formatCode>
              <c:ptCount val="18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</c:numLit>
          </c:cat>
          <c:val>
            <c:numRef>
              <c:f>'Monthly Detail'!$AB$82:$AS$82</c:f>
              <c:numCache>
                <c:formatCode>_("$"* #,##0.00_);_("$"* \(#,##0.00\);_("$"* "-"??_);_(@_)</c:formatCode>
                <c:ptCount val="6"/>
                <c:pt idx="0">
                  <c:v>27294.760000000009</c:v>
                </c:pt>
                <c:pt idx="1">
                  <c:v>-11660.45</c:v>
                </c:pt>
                <c:pt idx="2">
                  <c:v>-9667.4699999999993</c:v>
                </c:pt>
                <c:pt idx="3">
                  <c:v>-7904.5399999999991</c:v>
                </c:pt>
                <c:pt idx="4">
                  <c:v>-6085.0099999999984</c:v>
                </c:pt>
                <c:pt idx="5">
                  <c:v>18466.170000000006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3CF-4C44-AC7D-22092168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cat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Algn val="ctr"/>
        <c:lblOffset val="100"/>
        <c:tickLblSkip val="3"/>
        <c:noMultiLvlLbl val="0"/>
      </c:cat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'2025 AOP'!$B$38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AOP'!$C$38:$N$38</c:f>
              <c:numCache>
                <c:formatCode>_("$"* #,##0.00_);_("$"* \(#,##0.00\);_("$"* "-"??_);_(@_)</c:formatCode>
                <c:ptCount val="12"/>
                <c:pt idx="0">
                  <c:v>138590.71977260895</c:v>
                </c:pt>
                <c:pt idx="1">
                  <c:v>235205.00801663983</c:v>
                </c:pt>
                <c:pt idx="2">
                  <c:v>213953.98971160929</c:v>
                </c:pt>
                <c:pt idx="3">
                  <c:v>202135.19936884177</c:v>
                </c:pt>
                <c:pt idx="4">
                  <c:v>170153.23468100798</c:v>
                </c:pt>
                <c:pt idx="5">
                  <c:v>788250.19289638195</c:v>
                </c:pt>
                <c:pt idx="6">
                  <c:v>1138699.0437665745</c:v>
                </c:pt>
                <c:pt idx="7">
                  <c:v>1102059.5147118792</c:v>
                </c:pt>
                <c:pt idx="8">
                  <c:v>715583.55566518789</c:v>
                </c:pt>
                <c:pt idx="9">
                  <c:v>1308806.7879150836</c:v>
                </c:pt>
                <c:pt idx="10">
                  <c:v>1758273.9392502178</c:v>
                </c:pt>
                <c:pt idx="11">
                  <c:v>1774945.4334433675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A-4D90-B269-0D7A1C52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'2025 AOP'!$B$39</c15:sqref>
                        </c15:formulaRef>
                      </c:ext>
                    </c:extLst>
                    <c:strCache>
                      <c:ptCount val="1"/>
                      <c:pt idx="0">
                        <c:v>Cash Inflow (Outflow)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'2025 AOP'!$C$39:$N$39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99004.129772608925</c:v>
                      </c:pt>
                      <c:pt idx="1">
                        <c:v>96614.288244030875</c:v>
                      </c:pt>
                      <c:pt idx="2">
                        <c:v>-21251.018305030542</c:v>
                      </c:pt>
                      <c:pt idx="3">
                        <c:v>-11818.790342767508</c:v>
                      </c:pt>
                      <c:pt idx="4">
                        <c:v>-31981.96468783381</c:v>
                      </c:pt>
                      <c:pt idx="5">
                        <c:v>618096.95821537392</c:v>
                      </c:pt>
                      <c:pt idx="6">
                        <c:v>350448.85087019246</c:v>
                      </c:pt>
                      <c:pt idx="7">
                        <c:v>-36639.529054695209</c:v>
                      </c:pt>
                      <c:pt idx="8">
                        <c:v>-386475.95904669131</c:v>
                      </c:pt>
                      <c:pt idx="9">
                        <c:v>593223.23224989581</c:v>
                      </c:pt>
                      <c:pt idx="10">
                        <c:v>449467.15133513411</c:v>
                      </c:pt>
                      <c:pt idx="11">
                        <c:v>16671.494193149701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4EA-4D90-B269-0D7A1C52D742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2"/>
          <c:order val="2"/>
          <c:tx>
            <c:strRef>
              <c:f>'2025 AOP'!$B$32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AOP'!$C$10:$N$10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AOP'!$C$32:$N$32</c:f>
              <c:numCache>
                <c:formatCode>_("$"* #,##0_);_("$"* \(#,##0\);_("$"* "-"??_);_(@_)</c:formatCode>
                <c:ptCount val="12"/>
                <c:pt idx="0">
                  <c:v>3851.0334999999977</c:v>
                </c:pt>
                <c:pt idx="1">
                  <c:v>-5706.7949999999992</c:v>
                </c:pt>
                <c:pt idx="2">
                  <c:v>-4852.1425123003119</c:v>
                </c:pt>
                <c:pt idx="3">
                  <c:v>-9205.3388839840936</c:v>
                </c:pt>
                <c:pt idx="4">
                  <c:v>3016.0497363101385</c:v>
                </c:pt>
                <c:pt idx="5">
                  <c:v>-5643.7666591711131</c:v>
                </c:pt>
                <c:pt idx="6">
                  <c:v>38302.220769684274</c:v>
                </c:pt>
                <c:pt idx="7">
                  <c:v>67306.616264842902</c:v>
                </c:pt>
                <c:pt idx="8">
                  <c:v>70589.043886358078</c:v>
                </c:pt>
                <c:pt idx="9">
                  <c:v>29192.893008993757</c:v>
                </c:pt>
                <c:pt idx="10">
                  <c:v>110661.85423863534</c:v>
                </c:pt>
                <c:pt idx="11">
                  <c:v>242819.04890466121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A-4D90-B269-0D7A1C52D742}"/>
            </c:ext>
          </c:extLst>
        </c:ser>
        <c:ser>
          <c:idx val="3"/>
          <c:order val="3"/>
          <c:tx>
            <c:strRef>
              <c:f>'2025 AOP'!$B$14</c:f>
              <c:strCache>
                <c:ptCount val="1"/>
                <c:pt idx="0">
                  <c:v> Total Revenue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AOP'!$C$10:$N$10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AOP'!$C$14:$N$14</c:f>
              <c:numCache>
                <c:formatCode>_("$"* #,##0_);_("$"* \(#,##0\);_("$"* "-"??_);_(@_)</c:formatCode>
                <c:ptCount val="12"/>
                <c:pt idx="0">
                  <c:v>77453.3</c:v>
                </c:pt>
                <c:pt idx="1">
                  <c:v>15114</c:v>
                </c:pt>
                <c:pt idx="2">
                  <c:v>12024.275853320429</c:v>
                </c:pt>
                <c:pt idx="3">
                  <c:v>7375.808730051127</c:v>
                </c:pt>
                <c:pt idx="4">
                  <c:v>38751.700723854017</c:v>
                </c:pt>
                <c:pt idx="5">
                  <c:v>9502.2908812357091</c:v>
                </c:pt>
                <c:pt idx="6">
                  <c:v>146936.8606202681</c:v>
                </c:pt>
                <c:pt idx="7">
                  <c:v>243351.93787230042</c:v>
                </c:pt>
                <c:pt idx="8">
                  <c:v>225442.4692810605</c:v>
                </c:pt>
                <c:pt idx="9">
                  <c:v>122730.43245430337</c:v>
                </c:pt>
                <c:pt idx="10">
                  <c:v>253945.91082818271</c:v>
                </c:pt>
                <c:pt idx="11">
                  <c:v>573484.12691081478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A-4D90-B269-0D7A1C52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'2025 Overview (Accrual Basis)'!$B$39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 (Accrual Basis)'!$C$39:$N$39</c:f>
              <c:numCache>
                <c:formatCode>_("$"* #,##0.00_);_("$"* \(#,##0.00\);_("$"* "-"??_);_(@_)</c:formatCode>
                <c:ptCount val="12"/>
                <c:pt idx="0">
                  <c:v>52403.930000000037</c:v>
                </c:pt>
                <c:pt idx="1">
                  <c:v>32391.59000000004</c:v>
                </c:pt>
                <c:pt idx="2">
                  <c:v>34495.210000000036</c:v>
                </c:pt>
                <c:pt idx="3">
                  <c:v>26183.010000000038</c:v>
                </c:pt>
                <c:pt idx="4">
                  <c:v>102852.75000000004</c:v>
                </c:pt>
                <c:pt idx="5">
                  <c:v>92697.910000000062</c:v>
                </c:pt>
                <c:pt idx="6">
                  <c:v>25292.840502980311</c:v>
                </c:pt>
                <c:pt idx="7">
                  <c:v>19558.486480577219</c:v>
                </c:pt>
                <c:pt idx="8">
                  <c:v>9293.6509461461828</c:v>
                </c:pt>
                <c:pt idx="9">
                  <c:v>1457.1420867717461</c:v>
                </c:pt>
                <c:pt idx="10">
                  <c:v>246044.12542485868</c:v>
                </c:pt>
                <c:pt idx="11">
                  <c:v>237868.01771474344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C-4415-AF3C-093A57085C96}"/>
            </c:ext>
          </c:extLst>
        </c:ser>
        <c:ser>
          <c:idx val="4"/>
          <c:order val="4"/>
          <c:tx>
            <c:strRef>
              <c:f>'2025 Overview (Accrual Basis)'!$B$43</c:f>
              <c:strCache>
                <c:ptCount val="1"/>
                <c:pt idx="0">
                  <c:v>Liquid Cash (Net of Escrow)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val>
            <c:numRef>
              <c:f>'2025 Overview (Accrual Basis)'!$C$43:$N$43</c:f>
              <c:numCache>
                <c:formatCode>_("$"* #,##0.00_);_("$"* \(#,##0.00\);_("$"* "-"??_);_(@_)</c:formatCode>
                <c:ptCount val="12"/>
                <c:pt idx="0">
                  <c:v>51984.670000000006</c:v>
                </c:pt>
                <c:pt idx="1">
                  <c:v>31984.329999999998</c:v>
                </c:pt>
                <c:pt idx="2">
                  <c:v>34099.949999999997</c:v>
                </c:pt>
                <c:pt idx="3">
                  <c:v>26110.75</c:v>
                </c:pt>
                <c:pt idx="4">
                  <c:v>20292.490000000005</c:v>
                </c:pt>
                <c:pt idx="5">
                  <c:v>35137.65</c:v>
                </c:pt>
                <c:pt idx="6">
                  <c:v>-32267.41949701975</c:v>
                </c:pt>
                <c:pt idx="7">
                  <c:v>-26489.721519422837</c:v>
                </c:pt>
                <c:pt idx="8">
                  <c:v>-27544.915453853871</c:v>
                </c:pt>
                <c:pt idx="9">
                  <c:v>-23493.481155461282</c:v>
                </c:pt>
                <c:pt idx="10">
                  <c:v>106250.36398388186</c:v>
                </c:pt>
                <c:pt idx="11">
                  <c:v>98074.25627376663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0-49D0-AF89-490698FE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'2025 Overview (Accrual Basis)'!$B$42</c15:sqref>
                        </c15:formulaRef>
                      </c:ext>
                    </c:extLst>
                    <c:strCache>
                      <c:ptCount val="1"/>
                      <c:pt idx="0">
                        <c:v>Cash Inflow (Outflow)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'2025 Overview (Accrual Basis)'!$C$42:$N$42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12817.340000000015</c:v>
                      </c:pt>
                      <c:pt idx="1">
                        <c:v>-20012.339999999997</c:v>
                      </c:pt>
                      <c:pt idx="2">
                        <c:v>2103.6199999999953</c:v>
                      </c:pt>
                      <c:pt idx="3">
                        <c:v>-8312.1999999999989</c:v>
                      </c:pt>
                      <c:pt idx="4">
                        <c:v>76669.740000000005</c:v>
                      </c:pt>
                      <c:pt idx="5">
                        <c:v>-10154.839999999989</c:v>
                      </c:pt>
                      <c:pt idx="6">
                        <c:v>-67405.069497019751</c:v>
                      </c:pt>
                      <c:pt idx="7">
                        <c:v>-5734.3540224030912</c:v>
                      </c:pt>
                      <c:pt idx="8">
                        <c:v>-10264.835534431037</c:v>
                      </c:pt>
                      <c:pt idx="9">
                        <c:v>-7836.5088593744367</c:v>
                      </c:pt>
                      <c:pt idx="10">
                        <c:v>244586.98333808692</c:v>
                      </c:pt>
                      <c:pt idx="11">
                        <c:v>-8176.1077101152368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5BC-4415-AF3C-093A57085C96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2"/>
          <c:order val="2"/>
          <c:tx>
            <c:strRef>
              <c:f>'2025 Overview (Accrual Basis)'!$B$33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Overview (Accrual Basis)'!$C$10:$N$10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 (Accrual Basis)'!$C$33:$N$33</c:f>
              <c:numCache>
                <c:formatCode>_("$"* #,##0_);_("$"* \(#,##0\);_("$"* "-"??_);_(@_)</c:formatCode>
                <c:ptCount val="12"/>
                <c:pt idx="0">
                  <c:v>8443.7600000000093</c:v>
                </c:pt>
                <c:pt idx="1">
                  <c:v>-11660.26</c:v>
                </c:pt>
                <c:pt idx="2">
                  <c:v>-9667.4699999999993</c:v>
                </c:pt>
                <c:pt idx="3">
                  <c:v>-7904.5399999999991</c:v>
                </c:pt>
                <c:pt idx="4">
                  <c:v>-6085.0099999999984</c:v>
                </c:pt>
                <c:pt idx="5">
                  <c:v>18466.170000000006</c:v>
                </c:pt>
                <c:pt idx="6">
                  <c:v>-9071.9</c:v>
                </c:pt>
                <c:pt idx="7">
                  <c:v>-8011.9000000000015</c:v>
                </c:pt>
                <c:pt idx="8">
                  <c:v>-7721.9000000000015</c:v>
                </c:pt>
                <c:pt idx="9">
                  <c:v>-7947.9000000000015</c:v>
                </c:pt>
                <c:pt idx="10">
                  <c:v>-8470.69</c:v>
                </c:pt>
                <c:pt idx="11">
                  <c:v>-6680.013414821984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D-4A91-8548-84508DF84E58}"/>
            </c:ext>
          </c:extLst>
        </c:ser>
        <c:ser>
          <c:idx val="3"/>
          <c:order val="3"/>
          <c:tx>
            <c:strRef>
              <c:f>'2025 Overview (Accrual Basis)'!$B$15</c:f>
              <c:strCache>
                <c:ptCount val="1"/>
                <c:pt idx="0">
                  <c:v> Total Revenue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Overview (Accrual Basis)'!$C$10:$N$10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 (Accrual Basis)'!$C$15:$N$15</c:f>
              <c:numCache>
                <c:formatCode>_("$"* #,##0_);_("$"* \(#,##0\);_("$"* "-"??_);_(@_)</c:formatCode>
                <c:ptCount val="12"/>
                <c:pt idx="0">
                  <c:v>70951.44</c:v>
                </c:pt>
                <c:pt idx="1">
                  <c:v>20473.86</c:v>
                </c:pt>
                <c:pt idx="2">
                  <c:v>0</c:v>
                </c:pt>
                <c:pt idx="3">
                  <c:v>11761.5</c:v>
                </c:pt>
                <c:pt idx="4">
                  <c:v>4100.5</c:v>
                </c:pt>
                <c:pt idx="5">
                  <c:v>90000</c:v>
                </c:pt>
                <c:pt idx="6">
                  <c:v>6600</c:v>
                </c:pt>
                <c:pt idx="7">
                  <c:v>6600</c:v>
                </c:pt>
                <c:pt idx="8">
                  <c:v>6600</c:v>
                </c:pt>
                <c:pt idx="9">
                  <c:v>6600</c:v>
                </c:pt>
                <c:pt idx="10">
                  <c:v>6600</c:v>
                </c:pt>
                <c:pt idx="11">
                  <c:v>14133.716462945042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F-4724-A3B8-A6941946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579087"/>
        <c:axId val="1610566127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610566127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79087"/>
        <c:crosses val="max"/>
        <c:crossBetween val="between"/>
      </c:valAx>
      <c:catAx>
        <c:axId val="1610579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0566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'2024 Overview (Accrual Basis)'!$B$38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(Accrual Basis)'!$C$38:$N$38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146721.93</c:v>
                </c:pt>
                <c:pt idx="2">
                  <c:v>152555.54</c:v>
                </c:pt>
                <c:pt idx="3">
                  <c:v>82418.3</c:v>
                </c:pt>
                <c:pt idx="4">
                  <c:v>53728.640000000014</c:v>
                </c:pt>
                <c:pt idx="5">
                  <c:v>44539.60000000002</c:v>
                </c:pt>
                <c:pt idx="6">
                  <c:v>27299.970000000019</c:v>
                </c:pt>
                <c:pt idx="7">
                  <c:v>20509.540000000023</c:v>
                </c:pt>
                <c:pt idx="8">
                  <c:v>33266.220000000023</c:v>
                </c:pt>
                <c:pt idx="9">
                  <c:v>36575.590000000018</c:v>
                </c:pt>
                <c:pt idx="10">
                  <c:v>30135.74000000002</c:v>
                </c:pt>
                <c:pt idx="11">
                  <c:v>39586.590000000018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C6-40DE-BE19-308509CD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  <c:extLst>
          <c:ext xmlns:c15="http://schemas.microsoft.com/office/drawing/2012/chart" uri="{02D57815-91ED-43cb-92C2-25804820EDAC}">
            <c15:filteredArea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'2024 Overview (Accrual Basis)'!$B$39</c15:sqref>
                        </c15:formulaRef>
                      </c:ext>
                    </c:extLst>
                    <c:strCache>
                      <c:ptCount val="1"/>
                      <c:pt idx="0">
                        <c:v>Cash Inflow (Outflow)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'2024 Overview (Accrual Basis)'!$C$39:$N$39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-99451.290000000008</c:v>
                      </c:pt>
                      <c:pt idx="1">
                        <c:v>51523.990000000005</c:v>
                      </c:pt>
                      <c:pt idx="2">
                        <c:v>5833.6100000000024</c:v>
                      </c:pt>
                      <c:pt idx="3">
                        <c:v>-70137.240000000005</c:v>
                      </c:pt>
                      <c:pt idx="4">
                        <c:v>-28689.659999999989</c:v>
                      </c:pt>
                      <c:pt idx="5">
                        <c:v>-9189.0399999999936</c:v>
                      </c:pt>
                      <c:pt idx="6">
                        <c:v>-17239.63</c:v>
                      </c:pt>
                      <c:pt idx="7">
                        <c:v>-6790.4299999999985</c:v>
                      </c:pt>
                      <c:pt idx="8">
                        <c:v>12756.68</c:v>
                      </c:pt>
                      <c:pt idx="9">
                        <c:v>3309.3699999999972</c:v>
                      </c:pt>
                      <c:pt idx="10">
                        <c:v>-6439.8499999999967</c:v>
                      </c:pt>
                      <c:pt idx="11">
                        <c:v>9450.8499999999985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5C6-40DE-BE19-308509CD8643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8"/>
          <c:order val="2"/>
          <c:tx>
            <c:strRef>
              <c:f>'2024 Overview (Accrual Basis)'!$B$34</c:f>
              <c:strCache>
                <c:ptCount val="1"/>
                <c:pt idx="0">
                  <c:v> Net Income 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'2024 Overview (Accrual Basis)'!$C$34:$N$34</c:f>
              <c:numCache>
                <c:formatCode>_("$"* #,##0_);_("$"* \(#,##0\);_("$"* "-"??_);_(@_)</c:formatCode>
                <c:ptCount val="12"/>
                <c:pt idx="0">
                  <c:v>-67320.260000000009</c:v>
                </c:pt>
                <c:pt idx="1">
                  <c:v>92246.720000000001</c:v>
                </c:pt>
                <c:pt idx="2">
                  <c:v>5735.720000000003</c:v>
                </c:pt>
                <c:pt idx="3">
                  <c:v>-28857.11</c:v>
                </c:pt>
                <c:pt idx="4">
                  <c:v>53032.210000000006</c:v>
                </c:pt>
                <c:pt idx="5">
                  <c:v>-30499.549999999996</c:v>
                </c:pt>
                <c:pt idx="6">
                  <c:v>-4999.88</c:v>
                </c:pt>
                <c:pt idx="7">
                  <c:v>1880.1499999999996</c:v>
                </c:pt>
                <c:pt idx="8">
                  <c:v>10865.740000000002</c:v>
                </c:pt>
                <c:pt idx="9">
                  <c:v>1556.6999999999989</c:v>
                </c:pt>
                <c:pt idx="10">
                  <c:v>-2582.5399999999986</c:v>
                </c:pt>
                <c:pt idx="11">
                  <c:v>-267.96000000000095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C6-40DE-BE19-308509CD8643}"/>
            </c:ext>
          </c:extLst>
        </c:ser>
        <c:ser>
          <c:idx val="3"/>
          <c:order val="3"/>
          <c:tx>
            <c:strRef>
              <c:f>'2024 Overview (Accrual Basis)'!$B$15</c:f>
              <c:strCache>
                <c:ptCount val="1"/>
                <c:pt idx="0">
                  <c:v> Total Revenue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Overview (Accrual Basis)'!$C$10:$N$10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(Accrual Basis)'!$C$15:$N$15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112500</c:v>
                </c:pt>
                <c:pt idx="2">
                  <c:v>112500</c:v>
                </c:pt>
                <c:pt idx="3">
                  <c:v>0</c:v>
                </c:pt>
                <c:pt idx="4">
                  <c:v>82459.320000000007</c:v>
                </c:pt>
                <c:pt idx="5">
                  <c:v>10928.64</c:v>
                </c:pt>
                <c:pt idx="6">
                  <c:v>700</c:v>
                </c:pt>
                <c:pt idx="7">
                  <c:v>45897</c:v>
                </c:pt>
                <c:pt idx="8">
                  <c:v>49010.3</c:v>
                </c:pt>
                <c:pt idx="9">
                  <c:v>24753.5</c:v>
                </c:pt>
                <c:pt idx="10">
                  <c:v>23117.99</c:v>
                </c:pt>
                <c:pt idx="11">
                  <c:v>80987.3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C6-40DE-BE19-308509CD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Overview (Cash Basis)'!$B$35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4"/>
              <c:layout>
                <c:manualLayout>
                  <c:x val="9.2332780427195425E-3"/>
                  <c:y val="-7.9784472810787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A8-4DEB-BD61-DC3343BA0C81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DF-4068-A055-309D82F8B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(Cash Basis)'!$C$35:$N$35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146721.93</c:v>
                </c:pt>
                <c:pt idx="2">
                  <c:v>152555.54</c:v>
                </c:pt>
                <c:pt idx="3">
                  <c:v>82418.3</c:v>
                </c:pt>
                <c:pt idx="4">
                  <c:v>53728.640000000014</c:v>
                </c:pt>
                <c:pt idx="5">
                  <c:v>44539.60000000002</c:v>
                </c:pt>
                <c:pt idx="6">
                  <c:v>27299.970000000019</c:v>
                </c:pt>
                <c:pt idx="7">
                  <c:v>20509.540000000023</c:v>
                </c:pt>
                <c:pt idx="8">
                  <c:v>33266.220000000023</c:v>
                </c:pt>
                <c:pt idx="9">
                  <c:v>36575.590000000018</c:v>
                </c:pt>
                <c:pt idx="10">
                  <c:v>30135.74000000002</c:v>
                </c:pt>
                <c:pt idx="11">
                  <c:v>39586.590000000018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F-4068-A055-309D82F8BF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Overview (Cash Basis)'!$B$36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Overview (Cash Basis)'!$C$36:$N$36</c:f>
              <c:numCache>
                <c:formatCode>_("$"* #,##0.00_);_("$"* \(#,##0.00\);_("$"* "-"??_);_(@_)</c:formatCode>
                <c:ptCount val="12"/>
                <c:pt idx="0">
                  <c:v>-99451.290000000008</c:v>
                </c:pt>
                <c:pt idx="1">
                  <c:v>51523.990000000005</c:v>
                </c:pt>
                <c:pt idx="2">
                  <c:v>5833.6100000000024</c:v>
                </c:pt>
                <c:pt idx="3">
                  <c:v>-70137.240000000005</c:v>
                </c:pt>
                <c:pt idx="4">
                  <c:v>-28689.659999999989</c:v>
                </c:pt>
                <c:pt idx="5">
                  <c:v>-9189.0399999999936</c:v>
                </c:pt>
                <c:pt idx="6">
                  <c:v>-17239.63</c:v>
                </c:pt>
                <c:pt idx="7">
                  <c:v>-6790.4299999999985</c:v>
                </c:pt>
                <c:pt idx="8">
                  <c:v>12756.68</c:v>
                </c:pt>
                <c:pt idx="9">
                  <c:v>3309.3699999999972</c:v>
                </c:pt>
                <c:pt idx="10">
                  <c:v>-6439.8499999999967</c:v>
                </c:pt>
                <c:pt idx="11">
                  <c:v>9450.8499999999985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F-4068-A055-309D82F8BF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Overview (Rolling)'!$B$38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1.0690168201799681E-3"/>
                  <c:y val="-6.2987080404100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32-4F7E-8F52-2623870B8E65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32-4F7E-8F52-2623870B8E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(Rolling)'!$C$38:$N$38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146721.93</c:v>
                </c:pt>
                <c:pt idx="2">
                  <c:v>152555.54</c:v>
                </c:pt>
                <c:pt idx="3">
                  <c:v>82418.3</c:v>
                </c:pt>
                <c:pt idx="4">
                  <c:v>53728.640000000014</c:v>
                </c:pt>
                <c:pt idx="5">
                  <c:v>44539.60000000002</c:v>
                </c:pt>
                <c:pt idx="6">
                  <c:v>27299.970000000019</c:v>
                </c:pt>
                <c:pt idx="7">
                  <c:v>20509.540000000023</c:v>
                </c:pt>
                <c:pt idx="8">
                  <c:v>33266.220000000023</c:v>
                </c:pt>
                <c:pt idx="9">
                  <c:v>36575.590000000018</c:v>
                </c:pt>
                <c:pt idx="10">
                  <c:v>30135.74000000002</c:v>
                </c:pt>
                <c:pt idx="11">
                  <c:v>39586.590000000018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2-4F7E-8F52-2623870B8E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Overview (Rolling)'!$B$39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Overview (Rolling)'!$C$39:$N$39</c:f>
              <c:numCache>
                <c:formatCode>_("$"* #,##0.00_);_("$"* \(#,##0.00\);_("$"* "-"??_);_(@_)</c:formatCode>
                <c:ptCount val="12"/>
                <c:pt idx="0">
                  <c:v>-99451.290000000008</c:v>
                </c:pt>
                <c:pt idx="1">
                  <c:v>51523.990000000005</c:v>
                </c:pt>
                <c:pt idx="2">
                  <c:v>5833.6100000000024</c:v>
                </c:pt>
                <c:pt idx="3">
                  <c:v>-70137.240000000005</c:v>
                </c:pt>
                <c:pt idx="4">
                  <c:v>-28689.659999999989</c:v>
                </c:pt>
                <c:pt idx="5">
                  <c:v>-9189.0399999999936</c:v>
                </c:pt>
                <c:pt idx="6">
                  <c:v>-17239.63</c:v>
                </c:pt>
                <c:pt idx="7">
                  <c:v>-6790.4299999999985</c:v>
                </c:pt>
                <c:pt idx="8">
                  <c:v>12756.68</c:v>
                </c:pt>
                <c:pt idx="9">
                  <c:v>3309.3699999999972</c:v>
                </c:pt>
                <c:pt idx="10">
                  <c:v>-6439.8499999999967</c:v>
                </c:pt>
                <c:pt idx="11">
                  <c:v>9450.8499999999985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2-4F7E-8F52-2623870B8E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AOP'!$B$30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4.2760672807200294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2F-44A8-899B-C46B10C35ACC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2F-44A8-899B-C46B10C35A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AOP'!$C$30:$N$30</c:f>
              <c:numCache>
                <c:formatCode>_("$"* #,##0.00_);_("$"* \(#,##0.00\);_("$"* "-"??_);_(@_)</c:formatCode>
                <c:ptCount val="12"/>
                <c:pt idx="0">
                  <c:v>583.93523734582402</c:v>
                </c:pt>
                <c:pt idx="1">
                  <c:v>3316.6412282455376</c:v>
                </c:pt>
                <c:pt idx="2">
                  <c:v>5497.8005183445657</c:v>
                </c:pt>
                <c:pt idx="3">
                  <c:v>3302.7836486269971</c:v>
                </c:pt>
                <c:pt idx="4">
                  <c:v>8871.8882385311808</c:v>
                </c:pt>
                <c:pt idx="5">
                  <c:v>13456.513174061729</c:v>
                </c:pt>
                <c:pt idx="6">
                  <c:v>18493.088487745135</c:v>
                </c:pt>
                <c:pt idx="7">
                  <c:v>19751.221462811165</c:v>
                </c:pt>
                <c:pt idx="8">
                  <c:v>23942.748287661394</c:v>
                </c:pt>
                <c:pt idx="9">
                  <c:v>24840.367955744099</c:v>
                </c:pt>
                <c:pt idx="10">
                  <c:v>26127.425582637512</c:v>
                </c:pt>
                <c:pt idx="11">
                  <c:v>27707.064622903279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F-44A8-899B-C46B10C35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AOP'!$B$31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AOP'!$C$31:$N$31</c:f>
              <c:numCache>
                <c:formatCode>_("$"* #,##0.00_);_("$"* \(#,##0.00\);_("$"* "-"??_);_(@_)</c:formatCode>
                <c:ptCount val="12"/>
                <c:pt idx="0">
                  <c:v>-413.08476265417585</c:v>
                </c:pt>
                <c:pt idx="1">
                  <c:v>2732.7059908997135</c:v>
                </c:pt>
                <c:pt idx="2">
                  <c:v>2181.1592900990277</c:v>
                </c:pt>
                <c:pt idx="3">
                  <c:v>-2195.0168697175686</c:v>
                </c:pt>
                <c:pt idx="4">
                  <c:v>5569.1045899041828</c:v>
                </c:pt>
                <c:pt idx="5">
                  <c:v>4584.6249355305481</c:v>
                </c:pt>
                <c:pt idx="6">
                  <c:v>5036.5753136834055</c:v>
                </c:pt>
                <c:pt idx="7">
                  <c:v>1258.1329750660307</c:v>
                </c:pt>
                <c:pt idx="8">
                  <c:v>4191.5268248502307</c:v>
                </c:pt>
                <c:pt idx="9">
                  <c:v>897.61966808270699</c:v>
                </c:pt>
                <c:pt idx="10">
                  <c:v>1287.0576268934128</c:v>
                </c:pt>
                <c:pt idx="11">
                  <c:v>1579.6390402657671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F-44A8-899B-C46B10C35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39</xdr:row>
      <xdr:rowOff>64770</xdr:rowOff>
    </xdr:from>
    <xdr:to>
      <xdr:col>14</xdr:col>
      <xdr:colOff>15240</xdr:colOff>
      <xdr:row>56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195943</xdr:colOff>
      <xdr:row>8</xdr:row>
      <xdr:rowOff>173874</xdr:rowOff>
    </xdr:from>
    <xdr:to>
      <xdr:col>21</xdr:col>
      <xdr:colOff>522514</xdr:colOff>
      <xdr:row>39</xdr:row>
      <xdr:rowOff>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E39477BC-5472-4623-98A7-FBCD133B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31297</xdr:colOff>
      <xdr:row>39</xdr:row>
      <xdr:rowOff>39904</xdr:rowOff>
    </xdr:from>
    <xdr:to>
      <xdr:col>21</xdr:col>
      <xdr:colOff>576944</xdr:colOff>
      <xdr:row>61</xdr:row>
      <xdr:rowOff>163285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C03399C4-7FFC-4FD7-BF8D-90E21854F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65316</xdr:colOff>
      <xdr:row>3</xdr:row>
      <xdr:rowOff>10886</xdr:rowOff>
    </xdr:from>
    <xdr:to>
      <xdr:col>8</xdr:col>
      <xdr:colOff>277042</xdr:colOff>
      <xdr:row>8</xdr:row>
      <xdr:rowOff>56956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8F8B99-7642-4CC6-A74F-123956A39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7745" y="587829"/>
          <a:ext cx="2569028" cy="21021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33202</xdr:colOff>
      <xdr:row>12</xdr:row>
      <xdr:rowOff>181427</xdr:rowOff>
    </xdr:from>
    <xdr:to>
      <xdr:col>53</xdr:col>
      <xdr:colOff>583666</xdr:colOff>
      <xdr:row>63</xdr:row>
      <xdr:rowOff>8965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398305DB-C634-4D0E-A4FD-5D9919796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295836</xdr:colOff>
      <xdr:row>1</xdr:row>
      <xdr:rowOff>70036</xdr:rowOff>
    </xdr:from>
    <xdr:to>
      <xdr:col>40</xdr:col>
      <xdr:colOff>1123628</xdr:colOff>
      <xdr:row>11</xdr:row>
      <xdr:rowOff>95592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2F5A6E-54CF-4C2C-96E7-0A11657F6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3107" y="249330"/>
          <a:ext cx="2306968" cy="1818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150496</xdr:colOff>
      <xdr:row>0</xdr:row>
      <xdr:rowOff>0</xdr:rowOff>
    </xdr:from>
    <xdr:to>
      <xdr:col>7</xdr:col>
      <xdr:colOff>670560</xdr:colOff>
      <xdr:row>6</xdr:row>
      <xdr:rowOff>130584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1386A-6343-41EF-B545-42E1F7B03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736" y="0"/>
          <a:ext cx="1312544" cy="1227864"/>
        </a:xfrm>
        <a:prstGeom prst="rect">
          <a:avLst/>
        </a:prstGeom>
      </xdr:spPr>
    </xdr:pic>
    <xdr:clientData/>
  </xdr:twoCellAnchor>
  <xdr:twoCellAnchor>
    <xdr:from>
      <xdr:col>0</xdr:col>
      <xdr:colOff>594360</xdr:colOff>
      <xdr:row>30</xdr:row>
      <xdr:rowOff>167640</xdr:rowOff>
    </xdr:from>
    <xdr:to>
      <xdr:col>14</xdr:col>
      <xdr:colOff>15735</xdr:colOff>
      <xdr:row>47</xdr:row>
      <xdr:rowOff>83078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A7A23-4236-4D55-94DE-E86D62B1E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148590</xdr:rowOff>
    </xdr:to>
    <xdr:sp macro="" textlink="">
      <xdr:nvSpPr>
        <xdr:cNvPr id="11271" name="AutoShape 7">
          <a:extLst>
            <a:ext uri="{FF2B5EF4-FFF2-40B4-BE49-F238E27FC236}">
              <a16:creationId xmlns:a16="http://schemas.microsoft.com/office/drawing/2014/main" id="{0821EC92-FB64-D219-129D-24A83165B29B}"/>
            </a:ext>
          </a:extLst>
        </xdr:cNvPr>
        <xdr:cNvSpPr>
          <a:spLocks noChangeAspect="1" noChangeArrowheads="1"/>
        </xdr:cNvSpPr>
      </xdr:nvSpPr>
      <xdr:spPr bwMode="auto">
        <a:xfrm>
          <a:off x="528066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148590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9FED39CD-029F-4DD4-C08D-2EA8F85B2E07}"/>
            </a:ext>
          </a:extLst>
        </xdr:cNvPr>
        <xdr:cNvSpPr>
          <a:spLocks noChangeAspect="1" noChangeArrowheads="1"/>
        </xdr:cNvSpPr>
      </xdr:nvSpPr>
      <xdr:spPr bwMode="auto">
        <a:xfrm>
          <a:off x="528066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148590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CC1C8F43-8FC0-5038-4614-3B2D3B804FB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7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148590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5E74586C-8C2F-B6A0-AA45-E16884514E9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7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304800</xdr:colOff>
      <xdr:row>8</xdr:row>
      <xdr:rowOff>148590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BF53F71B-3658-DEE8-3355-4AF99872A7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8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148590</xdr:rowOff>
    </xdr:to>
    <xdr:sp macro="" textlink="">
      <xdr:nvSpPr>
        <xdr:cNvPr id="11284" name="AutoShape 20">
          <a:extLst>
            <a:ext uri="{FF2B5EF4-FFF2-40B4-BE49-F238E27FC236}">
              <a16:creationId xmlns:a16="http://schemas.microsoft.com/office/drawing/2014/main" id="{4A9C1C57-E6C6-BA9F-EBBB-B41154C992C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184296</xdr:colOff>
      <xdr:row>2</xdr:row>
      <xdr:rowOff>132626</xdr:rowOff>
    </xdr:from>
    <xdr:to>
      <xdr:col>2</xdr:col>
      <xdr:colOff>1138575</xdr:colOff>
      <xdr:row>9</xdr:row>
      <xdr:rowOff>73267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9CA60D-F747-069D-6428-C14F57535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14" y="524832"/>
          <a:ext cx="1555586" cy="1266297"/>
        </a:xfrm>
        <a:prstGeom prst="rect">
          <a:avLst/>
        </a:prstGeom>
      </xdr:spPr>
    </xdr:pic>
    <xdr:clientData/>
  </xdr:twoCellAnchor>
  <xdr:twoCellAnchor>
    <xdr:from>
      <xdr:col>13</xdr:col>
      <xdr:colOff>78441</xdr:colOff>
      <xdr:row>10</xdr:row>
      <xdr:rowOff>33618</xdr:rowOff>
    </xdr:from>
    <xdr:to>
      <xdr:col>24</xdr:col>
      <xdr:colOff>560295</xdr:colOff>
      <xdr:row>46</xdr:row>
      <xdr:rowOff>123266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F3EF6-B9FD-4967-8EF3-7AD5E289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42</xdr:row>
      <xdr:rowOff>54427</xdr:rowOff>
    </xdr:from>
    <xdr:to>
      <xdr:col>15</xdr:col>
      <xdr:colOff>925286</xdr:colOff>
      <xdr:row>59</xdr:row>
      <xdr:rowOff>2694214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81B45-7FD4-4934-81A8-FCF940866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1093196</xdr:colOff>
      <xdr:row>0</xdr:row>
      <xdr:rowOff>0</xdr:rowOff>
    </xdr:from>
    <xdr:to>
      <xdr:col>8</xdr:col>
      <xdr:colOff>73465</xdr:colOff>
      <xdr:row>6</xdr:row>
      <xdr:rowOff>186418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7FA00B-896C-40E7-B92D-58544B209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0396" y="0"/>
          <a:ext cx="1532969" cy="13256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44</xdr:row>
      <xdr:rowOff>54427</xdr:rowOff>
    </xdr:from>
    <xdr:to>
      <xdr:col>15</xdr:col>
      <xdr:colOff>925286</xdr:colOff>
      <xdr:row>61</xdr:row>
      <xdr:rowOff>2694214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740FE-3261-4AA6-A634-C6B6D364C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1093196</xdr:colOff>
      <xdr:row>0</xdr:row>
      <xdr:rowOff>0</xdr:rowOff>
    </xdr:from>
    <xdr:to>
      <xdr:col>8</xdr:col>
      <xdr:colOff>73464</xdr:colOff>
      <xdr:row>7</xdr:row>
      <xdr:rowOff>4404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DAFF12-A811-4A25-AD30-0FEE4B9FF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5839" y="0"/>
          <a:ext cx="1538412" cy="13256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</xdr:colOff>
      <xdr:row>41</xdr:row>
      <xdr:rowOff>87085</xdr:rowOff>
    </xdr:from>
    <xdr:to>
      <xdr:col>15</xdr:col>
      <xdr:colOff>870859</xdr:colOff>
      <xdr:row>58</xdr:row>
      <xdr:rowOff>2547256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B0E64-2317-4D8E-9F42-7EDF8EEDA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592608</xdr:colOff>
      <xdr:row>0</xdr:row>
      <xdr:rowOff>34608</xdr:rowOff>
    </xdr:from>
    <xdr:to>
      <xdr:col>7</xdr:col>
      <xdr:colOff>917535</xdr:colOff>
      <xdr:row>7</xdr:row>
      <xdr:rowOff>34336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C391E1-3101-49D2-A5F9-219281144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042" y="34608"/>
          <a:ext cx="1577662" cy="12909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36</xdr:row>
      <xdr:rowOff>121920</xdr:rowOff>
    </xdr:from>
    <xdr:to>
      <xdr:col>15</xdr:col>
      <xdr:colOff>236715</xdr:colOff>
      <xdr:row>53</xdr:row>
      <xdr:rowOff>37358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38388-5275-46B2-B1DB-16D32F242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571500</xdr:colOff>
      <xdr:row>0</xdr:row>
      <xdr:rowOff>22860</xdr:rowOff>
    </xdr:from>
    <xdr:to>
      <xdr:col>7</xdr:col>
      <xdr:colOff>497466</xdr:colOff>
      <xdr:row>7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7881EE-D273-40C8-86CC-09D691038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23760" y="22860"/>
          <a:ext cx="1632846" cy="12627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121920</xdr:rowOff>
    </xdr:from>
    <xdr:to>
      <xdr:col>14</xdr:col>
      <xdr:colOff>30975</xdr:colOff>
      <xdr:row>56</xdr:row>
      <xdr:rowOff>37358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026F9-39AC-4358-ABF9-DF86A8EA2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7</xdr:col>
      <xdr:colOff>190500</xdr:colOff>
      <xdr:row>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040B40-B191-4B32-9170-AACCCB7A0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736" y="76201"/>
          <a:ext cx="1594484" cy="1491614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180976</xdr:colOff>
      <xdr:row>0</xdr:row>
      <xdr:rowOff>76201</xdr:rowOff>
    </xdr:from>
    <xdr:to>
      <xdr:col>7</xdr:col>
      <xdr:colOff>190500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46A424-79DE-4C68-8EDF-B6CE634E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736" y="76201"/>
          <a:ext cx="1594484" cy="149161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31</xdr:row>
      <xdr:rowOff>144780</xdr:rowOff>
    </xdr:from>
    <xdr:to>
      <xdr:col>14</xdr:col>
      <xdr:colOff>69075</xdr:colOff>
      <xdr:row>48</xdr:row>
      <xdr:rowOff>60218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D4C0E-BF01-41EE-A154-B191349EC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  <person displayName="Jordan Lee" id="{1ED36760-F7E5-4254-B491-454DD557FCDC}" userId="S::jordan.lee.17@cnu.edu::c7004041-c18d-46a2-813c-11a6bccfe04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2" dT="2022-12-01T04:02:35.34" personId="{1EAB70DF-57F2-4E03-B78C-7A4DE89F3DCA}" id="{735C9239-FB8A-4B36-9D20-C68BC4D2B976}">
    <text>Tax Advice JMM Group LLC</text>
  </threadedComment>
  <threadedComment ref="T42" dT="2022-12-01T04:02:35.34" personId="{1EAB70DF-57F2-4E03-B78C-7A4DE89F3DCA}" id="{701A54C3-1B46-4893-BC62-B2EFF266C055}">
    <text>Offboarding JMM Group LLC</text>
  </threadedComment>
  <threadedComment ref="AD173" dT="2024-02-03T19:01:21.33" personId="{1EAB70DF-57F2-4E03-B78C-7A4DE89F3DCA}" id="{652DF29B-C80F-474D-9452-32A45BAD392F}">
    <text>Maximum $800 Distribution</text>
  </threadedComment>
  <threadedComment ref="AE173" dT="2024-01-11T04:17:29.88" personId="{1EAB70DF-57F2-4E03-B78C-7A4DE89F3DCA}" id="{973B5C3F-CC1C-478B-AAEB-95C45A193E9C}">
    <text>Estimated 2023 Tax Payment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4" dT="2024-11-05T03:31:22.64" personId="{1ED36760-F7E5-4254-B491-454DD557FCDC}" id="{3125FB75-D2A2-43C2-B371-A766032384F5}">
    <text>Estimate Declined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6506-3FAF-47D0-ABD4-7EC31347B89F}">
  <sheetPr>
    <tabColor theme="1"/>
    <pageSetUpPr fitToPage="1"/>
  </sheetPr>
  <dimension ref="B10:T32"/>
  <sheetViews>
    <sheetView workbookViewId="0"/>
  </sheetViews>
  <sheetFormatPr defaultRowHeight="15" x14ac:dyDescent="0.25"/>
  <cols>
    <col min="2" max="2" width="34" bestFit="1" customWidth="1"/>
    <col min="3" max="10" width="11.5703125" bestFit="1" customWidth="1"/>
    <col min="11" max="11" width="11.7109375" bestFit="1" customWidth="1"/>
    <col min="12" max="14" width="11.5703125" bestFit="1" customWidth="1"/>
    <col min="15" max="15" width="2.7109375" customWidth="1"/>
    <col min="16" max="16" width="9.85546875" bestFit="1" customWidth="1"/>
  </cols>
  <sheetData>
    <row r="10" spans="2:16" ht="15.75" x14ac:dyDescent="0.25">
      <c r="B10" s="197"/>
      <c r="C10" s="50" t="s">
        <v>212</v>
      </c>
      <c r="D10" s="50" t="s">
        <v>213</v>
      </c>
      <c r="E10" s="50" t="s">
        <v>214</v>
      </c>
      <c r="F10" s="50" t="s">
        <v>215</v>
      </c>
      <c r="G10" s="50" t="s">
        <v>216</v>
      </c>
      <c r="H10" s="50" t="s">
        <v>217</v>
      </c>
      <c r="I10" s="50" t="s">
        <v>218</v>
      </c>
      <c r="J10" s="50" t="s">
        <v>219</v>
      </c>
      <c r="K10" s="50" t="s">
        <v>220</v>
      </c>
      <c r="L10" s="50" t="s">
        <v>221</v>
      </c>
      <c r="M10" s="50" t="s">
        <v>222</v>
      </c>
      <c r="N10" s="50" t="s">
        <v>223</v>
      </c>
      <c r="O10" s="51"/>
      <c r="P10" s="52" t="s">
        <v>0</v>
      </c>
    </row>
    <row r="11" spans="2:16" x14ac:dyDescent="0.25">
      <c r="B11" s="198"/>
      <c r="C11" s="72">
        <v>45322</v>
      </c>
      <c r="D11" s="72">
        <v>45351</v>
      </c>
      <c r="E11" s="72">
        <v>45382</v>
      </c>
      <c r="F11" s="7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</row>
    <row r="12" spans="2:16" x14ac:dyDescent="0.25">
      <c r="B12" s="199" t="s">
        <v>51</v>
      </c>
      <c r="C12" s="54">
        <v>3016.9791666666665</v>
      </c>
      <c r="D12" s="54">
        <v>4844.1611842105267</v>
      </c>
      <c r="E12" s="54">
        <v>3944.633152173913</v>
      </c>
      <c r="F12" s="54">
        <v>5914.9553571428578</v>
      </c>
      <c r="G12" s="54">
        <v>9283.8541666666679</v>
      </c>
      <c r="H12" s="54">
        <v>6091.382575757576</v>
      </c>
      <c r="I12" s="54">
        <v>8868.75</v>
      </c>
      <c r="J12" s="54">
        <v>8337.0364450127872</v>
      </c>
      <c r="K12" s="54">
        <v>11563.577586206897</v>
      </c>
      <c r="L12" s="54">
        <v>9344.2604758522739</v>
      </c>
      <c r="M12" s="54">
        <v>5520.01953125</v>
      </c>
      <c r="N12" s="54">
        <v>3421.0526315789475</v>
      </c>
      <c r="O12" s="54"/>
      <c r="P12" s="54">
        <v>80150.662272519112</v>
      </c>
    </row>
    <row r="13" spans="2:16" x14ac:dyDescent="0.25">
      <c r="B13" s="199" t="s">
        <v>158</v>
      </c>
      <c r="C13" s="54">
        <v>49.5</v>
      </c>
      <c r="D13" s="54">
        <v>49.5</v>
      </c>
      <c r="E13" s="54">
        <v>49.5</v>
      </c>
      <c r="F13" s="54">
        <v>49.5</v>
      </c>
      <c r="G13" s="54">
        <v>49.5</v>
      </c>
      <c r="H13" s="54">
        <v>49.5</v>
      </c>
      <c r="I13" s="54">
        <v>49.5</v>
      </c>
      <c r="J13" s="54">
        <v>49.5</v>
      </c>
      <c r="K13" s="54">
        <v>49.5</v>
      </c>
      <c r="L13" s="54">
        <v>49.5</v>
      </c>
      <c r="M13" s="54">
        <v>49.5</v>
      </c>
      <c r="N13" s="54">
        <v>49.5</v>
      </c>
      <c r="O13" s="54"/>
      <c r="P13" s="54"/>
    </row>
    <row r="14" spans="2:16" x14ac:dyDescent="0.25">
      <c r="B14" s="200" t="s">
        <v>3</v>
      </c>
      <c r="C14" s="55">
        <v>3066.4791666666665</v>
      </c>
      <c r="D14" s="55">
        <v>4893.6611842105267</v>
      </c>
      <c r="E14" s="55">
        <v>3994.133152173913</v>
      </c>
      <c r="F14" s="55">
        <v>5964.4553571428578</v>
      </c>
      <c r="G14" s="55">
        <v>9333.3541666666679</v>
      </c>
      <c r="H14" s="55">
        <v>6140.882575757576</v>
      </c>
      <c r="I14" s="55">
        <v>8918.25</v>
      </c>
      <c r="J14" s="55">
        <v>8386.5364450127872</v>
      </c>
      <c r="K14" s="55">
        <v>11613.077586206897</v>
      </c>
      <c r="L14" s="55">
        <v>9393.7604758522739</v>
      </c>
      <c r="M14" s="55">
        <v>5569.51953125</v>
      </c>
      <c r="N14" s="55">
        <v>3470.5526315789475</v>
      </c>
      <c r="O14" s="56"/>
      <c r="P14" s="55">
        <v>80150.662272519112</v>
      </c>
    </row>
    <row r="15" spans="2:16" x14ac:dyDescent="0.25">
      <c r="B15" s="201" t="s">
        <v>53</v>
      </c>
      <c r="C15" s="195">
        <v>21</v>
      </c>
      <c r="D15" s="195">
        <v>33</v>
      </c>
      <c r="E15" s="195">
        <v>35</v>
      </c>
      <c r="F15" s="195">
        <v>33</v>
      </c>
      <c r="G15" s="195">
        <v>31</v>
      </c>
      <c r="H15" s="195">
        <v>31</v>
      </c>
      <c r="I15" s="195">
        <v>28</v>
      </c>
      <c r="J15" s="195">
        <v>29</v>
      </c>
      <c r="K15" s="195">
        <v>40</v>
      </c>
      <c r="L15" s="195">
        <v>35</v>
      </c>
      <c r="M15" s="195">
        <v>35</v>
      </c>
      <c r="N15" s="195">
        <v>32</v>
      </c>
      <c r="O15" s="56"/>
      <c r="P15" s="57"/>
    </row>
    <row r="16" spans="2:16" x14ac:dyDescent="0.25">
      <c r="B16" s="198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P16" s="57"/>
    </row>
    <row r="17" spans="2:20" ht="15.75" x14ac:dyDescent="0.25">
      <c r="B17" s="202" t="s">
        <v>149</v>
      </c>
      <c r="C17" s="69">
        <v>3066.4791666666665</v>
      </c>
      <c r="D17" s="69">
        <v>4893.6611842105267</v>
      </c>
      <c r="E17" s="69">
        <v>3994.133152173913</v>
      </c>
      <c r="F17" s="69">
        <v>5964.4553571428578</v>
      </c>
      <c r="G17" s="69">
        <v>9333.3541666666679</v>
      </c>
      <c r="H17" s="69">
        <v>6140.882575757576</v>
      </c>
      <c r="I17" s="69">
        <v>8918.25</v>
      </c>
      <c r="J17" s="69">
        <v>8386.5364450127872</v>
      </c>
      <c r="K17" s="69">
        <v>11613.077586206897</v>
      </c>
      <c r="L17" s="69">
        <v>9393.7604758522739</v>
      </c>
      <c r="M17" s="69">
        <v>5569.51953125</v>
      </c>
      <c r="N17" s="69">
        <v>3470.5526315789475</v>
      </c>
      <c r="O17" s="58"/>
      <c r="P17" s="69">
        <v>80150.662272519112</v>
      </c>
    </row>
    <row r="18" spans="2:20" x14ac:dyDescent="0.25">
      <c r="B18" s="203" t="s">
        <v>150</v>
      </c>
      <c r="C18" s="71">
        <v>1</v>
      </c>
      <c r="D18" s="71">
        <v>1</v>
      </c>
      <c r="E18" s="71">
        <v>1</v>
      </c>
      <c r="F18" s="71">
        <v>1</v>
      </c>
      <c r="G18" s="71">
        <v>1</v>
      </c>
      <c r="H18" s="71">
        <v>1</v>
      </c>
      <c r="I18" s="71">
        <v>1</v>
      </c>
      <c r="J18" s="71">
        <v>1</v>
      </c>
      <c r="K18" s="71">
        <v>1</v>
      </c>
      <c r="L18" s="71">
        <v>1</v>
      </c>
      <c r="M18" s="71">
        <v>1</v>
      </c>
      <c r="N18" s="71">
        <v>1</v>
      </c>
      <c r="O18" s="7"/>
      <c r="P18" s="71">
        <v>1</v>
      </c>
    </row>
    <row r="19" spans="2:20" x14ac:dyDescent="0.25">
      <c r="B19" s="198"/>
    </row>
    <row r="20" spans="2:20" x14ac:dyDescent="0.25">
      <c r="B20" s="198" t="s">
        <v>186</v>
      </c>
      <c r="C20" s="54">
        <v>810.76066666666679</v>
      </c>
      <c r="D20" s="54">
        <v>810.76066666666679</v>
      </c>
      <c r="E20" s="54">
        <v>810.76066666666679</v>
      </c>
      <c r="F20" s="54">
        <v>960.76066666666679</v>
      </c>
      <c r="G20" s="54">
        <v>810.76066666666679</v>
      </c>
      <c r="H20" s="54">
        <v>810.76066666666679</v>
      </c>
      <c r="I20" s="54">
        <v>960.76066666666679</v>
      </c>
      <c r="J20" s="54">
        <v>810.76066666666679</v>
      </c>
      <c r="K20" s="54">
        <v>1291.4503218390807</v>
      </c>
      <c r="L20" s="54">
        <v>960.76066666666679</v>
      </c>
      <c r="M20" s="54">
        <v>810.76066666666679</v>
      </c>
      <c r="N20" s="54">
        <v>810.76066666666679</v>
      </c>
      <c r="P20" s="54">
        <v>10659.817655172417</v>
      </c>
      <c r="T20" s="1"/>
    </row>
    <row r="21" spans="2:20" x14ac:dyDescent="0.25">
      <c r="B21" s="204" t="s">
        <v>151</v>
      </c>
      <c r="C21" s="60">
        <v>810.76066666666679</v>
      </c>
      <c r="D21" s="60">
        <v>810.76066666666679</v>
      </c>
      <c r="E21" s="60">
        <v>810.76066666666679</v>
      </c>
      <c r="F21" s="60">
        <v>960.76066666666679</v>
      </c>
      <c r="G21" s="60">
        <v>810.76066666666679</v>
      </c>
      <c r="H21" s="60">
        <v>810.76066666666679</v>
      </c>
      <c r="I21" s="60">
        <v>960.76066666666679</v>
      </c>
      <c r="J21" s="60">
        <v>810.76066666666679</v>
      </c>
      <c r="K21" s="60">
        <v>1291.4503218390807</v>
      </c>
      <c r="L21" s="60">
        <v>960.76066666666679</v>
      </c>
      <c r="M21" s="60">
        <v>810.76066666666679</v>
      </c>
      <c r="N21" s="60">
        <v>810.76066666666679</v>
      </c>
      <c r="O21" s="61"/>
      <c r="P21" s="60">
        <v>10659.817655172417</v>
      </c>
    </row>
    <row r="22" spans="2:20" x14ac:dyDescent="0.25">
      <c r="B22" s="198"/>
    </row>
    <row r="23" spans="2:20" ht="15.75" x14ac:dyDescent="0.25">
      <c r="B23" s="202" t="s">
        <v>152</v>
      </c>
      <c r="C23" s="69">
        <v>2255.7184999999999</v>
      </c>
      <c r="D23" s="69">
        <v>4082.9005175438597</v>
      </c>
      <c r="E23" s="69">
        <v>3183.372485507246</v>
      </c>
      <c r="F23" s="69">
        <v>5003.6946904761908</v>
      </c>
      <c r="G23" s="69">
        <v>8522.5935000000009</v>
      </c>
      <c r="H23" s="69">
        <v>5330.121909090909</v>
      </c>
      <c r="I23" s="69">
        <v>7957.489333333333</v>
      </c>
      <c r="J23" s="69">
        <v>7575.7757783461202</v>
      </c>
      <c r="K23" s="69">
        <v>10321.627264367817</v>
      </c>
      <c r="L23" s="69">
        <v>8432.9998091856069</v>
      </c>
      <c r="M23" s="69">
        <v>4758.758864583333</v>
      </c>
      <c r="N23" s="69">
        <v>2659.7919649122805</v>
      </c>
      <c r="O23" s="58"/>
      <c r="P23" s="69">
        <v>69490.844617346695</v>
      </c>
    </row>
    <row r="24" spans="2:20" x14ac:dyDescent="0.25">
      <c r="B24" s="203" t="s">
        <v>153</v>
      </c>
      <c r="C24" s="71">
        <v>0.73560535630575241</v>
      </c>
      <c r="D24" s="71">
        <v>0.83432431544656205</v>
      </c>
      <c r="E24" s="71">
        <v>0.79701210856593774</v>
      </c>
      <c r="F24" s="71">
        <v>0.83891896088783902</v>
      </c>
      <c r="G24" s="71">
        <v>0.91313297961388473</v>
      </c>
      <c r="H24" s="71">
        <v>0.8679732666005836</v>
      </c>
      <c r="I24" s="71">
        <v>0.89227026976518187</v>
      </c>
      <c r="J24" s="71">
        <v>0.90332592340324225</v>
      </c>
      <c r="K24" s="71">
        <v>0.88879344753771705</v>
      </c>
      <c r="L24" s="71">
        <v>0.89772352944953071</v>
      </c>
      <c r="M24" s="71">
        <v>0.85442897504576965</v>
      </c>
      <c r="N24" s="71">
        <v>0.76638859780155333</v>
      </c>
      <c r="O24" s="7"/>
      <c r="P24" s="71">
        <v>0.86700275015909256</v>
      </c>
    </row>
    <row r="25" spans="2:20" x14ac:dyDescent="0.25">
      <c r="B25" s="205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P25" s="63"/>
    </row>
    <row r="26" spans="2:20" x14ac:dyDescent="0.25">
      <c r="B26" s="198" t="s">
        <v>154</v>
      </c>
      <c r="C26" s="108">
        <v>0</v>
      </c>
      <c r="D26" s="105">
        <v>0</v>
      </c>
      <c r="E26" s="108">
        <v>0</v>
      </c>
      <c r="F26" s="105">
        <v>0</v>
      </c>
      <c r="G26" s="105">
        <v>0</v>
      </c>
      <c r="H26" s="105">
        <v>0</v>
      </c>
      <c r="I26" s="108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/>
      <c r="P26" s="90">
        <v>0</v>
      </c>
    </row>
    <row r="27" spans="2:20" ht="15.75" x14ac:dyDescent="0.25">
      <c r="B27" s="202" t="s">
        <v>12</v>
      </c>
      <c r="C27" s="69">
        <v>2255.7184999999999</v>
      </c>
      <c r="D27" s="69">
        <v>4082.9005175438597</v>
      </c>
      <c r="E27" s="69">
        <v>3183.372485507246</v>
      </c>
      <c r="F27" s="69">
        <v>5003.6946904761908</v>
      </c>
      <c r="G27" s="69">
        <v>8522.5935000000009</v>
      </c>
      <c r="H27" s="69">
        <v>5330.121909090909</v>
      </c>
      <c r="I27" s="69">
        <v>7957.489333333333</v>
      </c>
      <c r="J27" s="69">
        <v>7575.7757783461202</v>
      </c>
      <c r="K27" s="69">
        <v>10321.627264367817</v>
      </c>
      <c r="L27" s="69">
        <v>8432.9998091856069</v>
      </c>
      <c r="M27" s="69">
        <v>4758.758864583333</v>
      </c>
      <c r="N27" s="69">
        <v>2659.7919649122805</v>
      </c>
      <c r="O27" s="58"/>
      <c r="P27" s="69">
        <v>69490.844617346695</v>
      </c>
    </row>
    <row r="28" spans="2:20" x14ac:dyDescent="0.25">
      <c r="B28" s="203" t="s">
        <v>155</v>
      </c>
      <c r="C28" s="71">
        <v>0.73560535630575241</v>
      </c>
      <c r="D28" s="71">
        <v>0.83432431544656205</v>
      </c>
      <c r="E28" s="71">
        <v>0.79701210856593774</v>
      </c>
      <c r="F28" s="71">
        <v>0.83891896088783902</v>
      </c>
      <c r="G28" s="71">
        <v>0.91313297961388473</v>
      </c>
      <c r="H28" s="71">
        <v>0.8679732666005836</v>
      </c>
      <c r="I28" s="71">
        <v>0.89227026976518187</v>
      </c>
      <c r="J28" s="71">
        <v>0.90332592340324225</v>
      </c>
      <c r="K28" s="71">
        <v>0.88879344753771705</v>
      </c>
      <c r="L28" s="71">
        <v>0.89772352944953071</v>
      </c>
      <c r="M28" s="71">
        <v>0.85442897504576965</v>
      </c>
      <c r="N28" s="71">
        <v>0.76638859780155333</v>
      </c>
      <c r="O28" s="7"/>
      <c r="P28" s="71">
        <v>0.86700275015909256</v>
      </c>
    </row>
    <row r="29" spans="2:20" ht="15.75" thickBot="1" x14ac:dyDescent="0.3">
      <c r="B29" s="198"/>
    </row>
    <row r="30" spans="2:20" x14ac:dyDescent="0.25">
      <c r="B30" s="64" t="s">
        <v>156</v>
      </c>
      <c r="C30" s="65">
        <v>583.93523734582402</v>
      </c>
      <c r="D30" s="134">
        <v>3316.6412282455376</v>
      </c>
      <c r="E30" s="65">
        <v>5497.8005183445657</v>
      </c>
      <c r="F30" s="134">
        <v>3302.7836486269971</v>
      </c>
      <c r="G30" s="65">
        <v>8871.8882385311808</v>
      </c>
      <c r="H30" s="65">
        <v>13456.513174061729</v>
      </c>
      <c r="I30" s="65">
        <v>18493.088487745135</v>
      </c>
      <c r="J30" s="134">
        <v>19751.221462811165</v>
      </c>
      <c r="K30" s="65">
        <v>23942.748287661394</v>
      </c>
      <c r="L30" s="65">
        <v>24840.367955744099</v>
      </c>
      <c r="M30" s="65">
        <v>26127.425582637512</v>
      </c>
      <c r="N30" s="65">
        <v>27707.064622903279</v>
      </c>
    </row>
    <row r="31" spans="2:20" ht="15.75" thickBot="1" x14ac:dyDescent="0.3">
      <c r="B31" s="66" t="s">
        <v>157</v>
      </c>
      <c r="C31" s="67">
        <v>-413.08476265417585</v>
      </c>
      <c r="D31" s="135">
        <v>2732.7059908997135</v>
      </c>
      <c r="E31" s="67">
        <v>2181.1592900990277</v>
      </c>
      <c r="F31" s="135">
        <v>-2195.0168697175686</v>
      </c>
      <c r="G31" s="67">
        <v>5569.1045899041828</v>
      </c>
      <c r="H31" s="67">
        <v>4584.6249355305481</v>
      </c>
      <c r="I31" s="67">
        <v>5036.5753136834055</v>
      </c>
      <c r="J31" s="135">
        <v>1258.1329750660307</v>
      </c>
      <c r="K31" s="67">
        <v>4191.5268248502307</v>
      </c>
      <c r="L31" s="67">
        <v>897.61966808270699</v>
      </c>
      <c r="M31" s="67">
        <v>1287.0576268934128</v>
      </c>
      <c r="N31" s="67">
        <v>1579.6390402657671</v>
      </c>
    </row>
    <row r="32" spans="2:20" x14ac:dyDescent="0.25">
      <c r="E32" s="9"/>
    </row>
  </sheetData>
  <pageMargins left="0.25" right="0.25" top="0.75" bottom="0.75" header="0.3" footer="0.3"/>
  <pageSetup scale="68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workbookViewId="0"/>
  </sheetViews>
  <sheetFormatPr defaultRowHeight="15" outlineLevelCol="1" x14ac:dyDescent="0.25"/>
  <cols>
    <col min="2" max="2" width="32.140625" bestFit="1" customWidth="1"/>
    <col min="3" max="9" width="12.28515625" hidden="1" customWidth="1" outlineLevel="1"/>
    <col min="10" max="10" width="9.5703125" bestFit="1" customWidth="1" collapsed="1"/>
    <col min="11" max="12" width="11.140625" bestFit="1" customWidth="1"/>
    <col min="13" max="13" width="10.7109375" bestFit="1" customWidth="1"/>
    <col min="14" max="14" width="10.5703125" bestFit="1" customWidth="1"/>
    <col min="15" max="15" width="0.85546875" customWidth="1"/>
    <col min="16" max="16" width="8.7109375" bestFit="1" customWidth="1"/>
  </cols>
  <sheetData>
    <row r="10" spans="2:16" ht="15.75" x14ac:dyDescent="0.25">
      <c r="B10" s="49"/>
      <c r="C10" s="50" t="str">
        <f>TEXT('Monthly Detail'!D3,"mmmm")</f>
        <v>January</v>
      </c>
      <c r="D10" s="50" t="str">
        <f>TEXT('Monthly Detail'!E3,"mmmm")</f>
        <v>February</v>
      </c>
      <c r="E10" s="50" t="str">
        <f>TEXT('Monthly Detail'!F3,"mmmm")</f>
        <v>March</v>
      </c>
      <c r="F10" s="50" t="str">
        <f>TEXT('Monthly Detail'!G3,"mmmm")</f>
        <v>April</v>
      </c>
      <c r="G10" s="50" t="str">
        <f>TEXT('Monthly Detail'!H3,"mmmm")</f>
        <v>May</v>
      </c>
      <c r="H10" s="50" t="str">
        <f>TEXT('Monthly Detail'!I3,"mmmm")</f>
        <v>June</v>
      </c>
      <c r="I10" s="50" t="str">
        <f>TEXT('Monthly Detail'!J3,"mmmm")</f>
        <v>July</v>
      </c>
      <c r="J10" s="50" t="str">
        <f>TEXT('Monthly Detail'!K3,"mmmm")</f>
        <v>August</v>
      </c>
      <c r="K10" s="50" t="str">
        <f>TEXT('Monthly Detail'!L3,"mmmm")</f>
        <v>September</v>
      </c>
      <c r="L10" s="50" t="str">
        <f>TEXT('Monthly Detail'!M3,"mmmm")</f>
        <v>October</v>
      </c>
      <c r="M10" s="50" t="str">
        <f>TEXT('Monthly Detail'!N3,"mmmm")</f>
        <v>November</v>
      </c>
      <c r="N10" s="121" t="str">
        <f>TEXT('Monthly Detail'!O3,"mmmm")</f>
        <v>December</v>
      </c>
      <c r="O10" s="51"/>
      <c r="P10" s="52" t="s">
        <v>0</v>
      </c>
    </row>
    <row r="11" spans="2:16" ht="1.5" customHeight="1" x14ac:dyDescent="0.25">
      <c r="B11" s="7"/>
      <c r="C11" s="72">
        <v>44592</v>
      </c>
      <c r="D11" s="72">
        <v>44620</v>
      </c>
      <c r="E11" s="72">
        <v>44651</v>
      </c>
      <c r="F11" s="72">
        <v>44681</v>
      </c>
      <c r="G11" s="72">
        <v>44712</v>
      </c>
      <c r="H11" s="72">
        <v>44742</v>
      </c>
      <c r="I11" s="72">
        <v>44773</v>
      </c>
      <c r="J11" s="72">
        <v>44804</v>
      </c>
      <c r="K11" s="72">
        <v>44834</v>
      </c>
      <c r="L11" s="72">
        <v>44865</v>
      </c>
      <c r="M11" s="72">
        <v>44895</v>
      </c>
      <c r="N11" s="122">
        <v>44926</v>
      </c>
    </row>
    <row r="12" spans="2:16" x14ac:dyDescent="0.25">
      <c r="B12" s="53" t="s">
        <v>51</v>
      </c>
      <c r="C12" s="54">
        <f>SUMIF('Monthly Detail'!$3:$3, '2022 Overview'!C$11, 'Monthly Detail'!9:9)</f>
        <v>0</v>
      </c>
      <c r="D12" s="54">
        <f>SUMIF('Monthly Detail'!$3:$3, '2022 Overview'!D$11, 'Monthly Detail'!9:9)</f>
        <v>0</v>
      </c>
      <c r="E12" s="54">
        <f>SUMIF('Monthly Detail'!$3:$3, '2022 Overview'!E$11, 'Monthly Detail'!9:9)</f>
        <v>0</v>
      </c>
      <c r="F12" s="54">
        <f>SUMIF('Monthly Detail'!$3:$3, '2022 Overview'!F$11, 'Monthly Detail'!9:9)</f>
        <v>0</v>
      </c>
      <c r="G12" s="54">
        <f>SUMIF('Monthly Detail'!$3:$3, '2022 Overview'!G$11, 'Monthly Detail'!9:9)</f>
        <v>0</v>
      </c>
      <c r="H12" s="54">
        <f>SUMIF('Monthly Detail'!$3:$3, '2022 Overview'!H$11, 'Monthly Detail'!9:9)</f>
        <v>0</v>
      </c>
      <c r="I12" s="54">
        <f>SUMIF('Monthly Detail'!$3:$3, '2022 Overview'!I$11, 'Monthly Detail'!9:9)</f>
        <v>0</v>
      </c>
      <c r="J12" s="54">
        <f>SUMIF('Monthly Detail'!$3:$3, '2022 Overview'!J$11, 'Monthly Detail'!9:9)</f>
        <v>0</v>
      </c>
      <c r="K12" s="54">
        <f>SUMIF('Monthly Detail'!$3:$3, '2022 Overview'!K$11, 'Monthly Detail'!9:9)</f>
        <v>0</v>
      </c>
      <c r="L12" s="54">
        <f>SUMIF('Monthly Detail'!$3:$3, '2022 Overview'!L$11, 'Monthly Detail'!9:9)</f>
        <v>0</v>
      </c>
      <c r="M12" s="54">
        <f>SUMIF('Monthly Detail'!$3:$3, '2022 Overview'!M$11, 'Monthly Detail'!9:9)</f>
        <v>0</v>
      </c>
      <c r="N12" s="123">
        <f>SUMIF('Monthly Detail'!$3:$3, '2022 Overview'!N$11, 'Monthly Detail'!9:9)</f>
        <v>0</v>
      </c>
      <c r="O12" s="54"/>
      <c r="P12" s="54">
        <f>SUM(C12:O12)</f>
        <v>0</v>
      </c>
    </row>
    <row r="13" spans="2:16" x14ac:dyDescent="0.25">
      <c r="B13" s="53" t="s">
        <v>158</v>
      </c>
      <c r="C13" s="54" t="e">
        <f>SUMIF('Monthly Detail'!$3:$3, '2022 Overview'!C$11, 'Monthly Detail'!#REF!)</f>
        <v>#REF!</v>
      </c>
      <c r="D13" s="54" t="e">
        <f>SUMIF('Monthly Detail'!$3:$3, '2022 Overview'!D$11, 'Monthly Detail'!#REF!)</f>
        <v>#REF!</v>
      </c>
      <c r="E13" s="54" t="e">
        <f>SUMIF('Monthly Detail'!$3:$3, '2022 Overview'!E$11, 'Monthly Detail'!#REF!)</f>
        <v>#REF!</v>
      </c>
      <c r="F13" s="54" t="e">
        <f>SUMIF('Monthly Detail'!$3:$3, '2022 Overview'!F$11, 'Monthly Detail'!#REF!)</f>
        <v>#REF!</v>
      </c>
      <c r="G13" s="54" t="e">
        <f>SUMIF('Monthly Detail'!$3:$3, '2022 Overview'!G$11, 'Monthly Detail'!#REF!)</f>
        <v>#REF!</v>
      </c>
      <c r="H13" s="54" t="e">
        <f>SUMIF('Monthly Detail'!$3:$3, '2022 Overview'!H$11, 'Monthly Detail'!#REF!)</f>
        <v>#REF!</v>
      </c>
      <c r="I13" s="54" t="e">
        <f>SUMIF('Monthly Detail'!$3:$3, '2022 Overview'!I$11, 'Monthly Detail'!#REF!)</f>
        <v>#REF!</v>
      </c>
      <c r="J13" s="54" t="e">
        <f>SUMIF('Monthly Detail'!$3:$3, '2022 Overview'!J$11, 'Monthly Detail'!#REF!)</f>
        <v>#REF!</v>
      </c>
      <c r="K13" s="54" t="e">
        <f>SUMIF('Monthly Detail'!$3:$3, '2022 Overview'!K$11, 'Monthly Detail'!#REF!)</f>
        <v>#REF!</v>
      </c>
      <c r="L13" s="54" t="e">
        <f>SUMIF('Monthly Detail'!$3:$3, '2022 Overview'!L$11, 'Monthly Detail'!#REF!)</f>
        <v>#REF!</v>
      </c>
      <c r="M13" s="109" t="e">
        <f>SUMIF('Monthly Detail'!$3:$3, '2022 Overview'!M$11, 'Monthly Detail'!#REF!)</f>
        <v>#REF!</v>
      </c>
      <c r="N13" s="123" t="e">
        <f>SUMIF('Monthly Detail'!$3:$3, '2022 Overview'!N$11, 'Monthly Detail'!#REF!)</f>
        <v>#REF!</v>
      </c>
      <c r="O13" s="54"/>
      <c r="P13" s="54"/>
    </row>
    <row r="14" spans="2:16" x14ac:dyDescent="0.25">
      <c r="B14" s="55" t="s">
        <v>3</v>
      </c>
      <c r="C14" s="55">
        <v>0.1</v>
      </c>
      <c r="D14" s="55">
        <v>0.1</v>
      </c>
      <c r="E14" s="55">
        <v>0.1</v>
      </c>
      <c r="F14" s="55">
        <v>0.1</v>
      </c>
      <c r="G14" s="55">
        <v>0.1</v>
      </c>
      <c r="H14" s="55">
        <v>0.1</v>
      </c>
      <c r="I14" s="55">
        <v>0.1</v>
      </c>
      <c r="J14" s="55" t="e">
        <f>SUM(J12:J13)</f>
        <v>#REF!</v>
      </c>
      <c r="K14" s="55" t="e">
        <f>SUM(K12:K13)</f>
        <v>#REF!</v>
      </c>
      <c r="L14" s="55" t="e">
        <f>SUM(L12:L13)</f>
        <v>#REF!</v>
      </c>
      <c r="M14" s="55" t="e">
        <f>SUM(M12:M13)</f>
        <v>#REF!</v>
      </c>
      <c r="N14" s="124" t="e">
        <f>SUM(N12:N13)</f>
        <v>#REF!</v>
      </c>
      <c r="O14" s="56"/>
      <c r="P14" s="55">
        <f>SUM(P12:P12)</f>
        <v>0</v>
      </c>
    </row>
    <row r="15" spans="2:16" x14ac:dyDescent="0.25">
      <c r="B15" s="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125"/>
      <c r="P15" s="57"/>
    </row>
    <row r="16" spans="2:16" ht="15.75" x14ac:dyDescent="0.25">
      <c r="B16" s="68" t="s">
        <v>149</v>
      </c>
      <c r="C16" s="69">
        <f>C14</f>
        <v>0.1</v>
      </c>
      <c r="D16" s="69">
        <f t="shared" ref="D16:N16" si="0">D14</f>
        <v>0.1</v>
      </c>
      <c r="E16" s="69">
        <f t="shared" si="0"/>
        <v>0.1</v>
      </c>
      <c r="F16" s="69">
        <f t="shared" si="0"/>
        <v>0.1</v>
      </c>
      <c r="G16" s="69">
        <f t="shared" si="0"/>
        <v>0.1</v>
      </c>
      <c r="H16" s="69">
        <f t="shared" si="0"/>
        <v>0.1</v>
      </c>
      <c r="I16" s="69">
        <f t="shared" si="0"/>
        <v>0.1</v>
      </c>
      <c r="J16" s="69" t="e">
        <f t="shared" si="0"/>
        <v>#REF!</v>
      </c>
      <c r="K16" s="69" t="e">
        <f t="shared" si="0"/>
        <v>#REF!</v>
      </c>
      <c r="L16" s="69" t="e">
        <f t="shared" si="0"/>
        <v>#REF!</v>
      </c>
      <c r="M16" s="69" t="e">
        <f t="shared" si="0"/>
        <v>#REF!</v>
      </c>
      <c r="N16" s="126" t="e">
        <f t="shared" si="0"/>
        <v>#REF!</v>
      </c>
      <c r="O16" s="58"/>
      <c r="P16" s="69">
        <f>P14</f>
        <v>0</v>
      </c>
    </row>
    <row r="17" spans="2:20" x14ac:dyDescent="0.25">
      <c r="B17" s="70" t="s">
        <v>150</v>
      </c>
      <c r="C17" s="71">
        <f t="shared" ref="C17:N17" si="1">C16/C14</f>
        <v>1</v>
      </c>
      <c r="D17" s="71">
        <f t="shared" si="1"/>
        <v>1</v>
      </c>
      <c r="E17" s="71">
        <f t="shared" si="1"/>
        <v>1</v>
      </c>
      <c r="F17" s="71">
        <f t="shared" si="1"/>
        <v>1</v>
      </c>
      <c r="G17" s="71">
        <f t="shared" si="1"/>
        <v>1</v>
      </c>
      <c r="H17" s="71">
        <f t="shared" si="1"/>
        <v>1</v>
      </c>
      <c r="I17" s="71">
        <f t="shared" si="1"/>
        <v>1</v>
      </c>
      <c r="J17" s="71" t="e">
        <f t="shared" si="1"/>
        <v>#REF!</v>
      </c>
      <c r="K17" s="71" t="e">
        <f t="shared" si="1"/>
        <v>#REF!</v>
      </c>
      <c r="L17" s="71" t="e">
        <f t="shared" si="1"/>
        <v>#REF!</v>
      </c>
      <c r="M17" s="71" t="e">
        <f t="shared" si="1"/>
        <v>#REF!</v>
      </c>
      <c r="N17" s="127" t="e">
        <f t="shared" si="1"/>
        <v>#REF!</v>
      </c>
      <c r="O17" s="7"/>
      <c r="P17" s="71" t="e">
        <f>P16/P14</f>
        <v>#DIV/0!</v>
      </c>
    </row>
    <row r="18" spans="2:20" x14ac:dyDescent="0.25">
      <c r="B18" s="7"/>
      <c r="N18" s="92"/>
    </row>
    <row r="19" spans="2:20" x14ac:dyDescent="0.25">
      <c r="B19" s="7" t="s">
        <v>186</v>
      </c>
      <c r="C19" s="54">
        <f>SUMIF('Monthly Detail'!$3:$3, '2023 Overview'!C$11, 'Monthly Detail'!$79:$79)</f>
        <v>1759.16</v>
      </c>
      <c r="D19" s="54">
        <f>SUMIF('Monthly Detail'!$3:$3, '2023 Overview'!D$11, 'Monthly Detail'!$79:$79)</f>
        <v>467.18</v>
      </c>
      <c r="E19" s="54">
        <f>SUMIF('Monthly Detail'!$3:$3, '2023 Overview'!E$11, 'Monthly Detail'!$79:$79)</f>
        <v>1525.78</v>
      </c>
      <c r="F19" s="54">
        <f>SUMIF('Monthly Detail'!$3:$3, '2023 Overview'!F$11, 'Monthly Detail'!$79:$79)</f>
        <v>598.99</v>
      </c>
      <c r="G19" s="54">
        <f>SUMIF('Monthly Detail'!$3:$3, '2023 Overview'!G$11, 'Monthly Detail'!$79:$79)</f>
        <v>2060.8900000000003</v>
      </c>
      <c r="H19" s="54">
        <f>SUMIF('Monthly Detail'!$3:$3, '2023 Overview'!H$11, 'Monthly Detail'!$79:$79)</f>
        <v>452.88</v>
      </c>
      <c r="I19" s="54">
        <f>SUMIF('Monthly Detail'!$3:$3, '2023 Overview'!I$11, 'Monthly Detail'!$79:$79)</f>
        <v>1445.7200000000003</v>
      </c>
      <c r="J19" s="54">
        <f>SUMIF('Monthly Detail'!$3:$3, '2023 Overview'!J$11, 'Monthly Detail'!$79:$79)</f>
        <v>1487.22</v>
      </c>
      <c r="K19" s="54">
        <f>SUMIF('Monthly Detail'!$3:$3, '2023 Overview'!K$11, 'Monthly Detail'!$79:$79)</f>
        <v>2209.94</v>
      </c>
      <c r="L19" s="54">
        <f>SUMIF('Monthly Detail'!$3:$3, '2023 Overview'!L$11, 'Monthly Detail'!$79:$79)</f>
        <v>630.27</v>
      </c>
      <c r="M19" s="54">
        <f>SUMIF('Monthly Detail'!$3:$3, '2023 Overview'!M$11, 'Monthly Detail'!$79:$79)</f>
        <v>2877.72</v>
      </c>
      <c r="N19" s="123">
        <f>SUMIF('Monthly Detail'!$3:$3, '2023 Overview'!N$11, 'Monthly Detail'!$79:$79)</f>
        <v>2283.2299999999996</v>
      </c>
      <c r="P19" s="54">
        <f>SUM(C19:O19)</f>
        <v>17798.98</v>
      </c>
      <c r="T19" s="1"/>
    </row>
    <row r="20" spans="2:20" x14ac:dyDescent="0.25">
      <c r="B20" s="7" t="s">
        <v>185</v>
      </c>
      <c r="C20" s="54">
        <f>SUMIF('Monthly Detail'!$3:$3, '2022 Overview'!C$11, 'Monthly Detail'!14:14)</f>
        <v>0</v>
      </c>
      <c r="D20" s="54">
        <f>SUMIF('Monthly Detail'!$3:$3, '2022 Overview'!D$11, 'Monthly Detail'!14:14)</f>
        <v>0</v>
      </c>
      <c r="E20" s="54">
        <f>SUMIF('Monthly Detail'!$3:$3, '2022 Overview'!E$11, 'Monthly Detail'!14:14)</f>
        <v>0</v>
      </c>
      <c r="F20" s="54">
        <f>SUMIF('Monthly Detail'!$3:$3, '2022 Overview'!F$11, 'Monthly Detail'!14:14)</f>
        <v>0</v>
      </c>
      <c r="G20" s="54">
        <f>SUMIF('Monthly Detail'!$3:$3, '2022 Overview'!G$11, 'Monthly Detail'!14:14)</f>
        <v>0</v>
      </c>
      <c r="H20" s="54">
        <f>SUMIF('Monthly Detail'!$3:$3, '2022 Overview'!H$11, 'Monthly Detail'!14:14)</f>
        <v>0</v>
      </c>
      <c r="I20" s="54">
        <f>SUMIF('Monthly Detail'!$3:$3, '2022 Overview'!I$11, 'Monthly Detail'!14:14)</f>
        <v>0</v>
      </c>
      <c r="J20" s="54">
        <f>SUMIF('Monthly Detail'!$3:$3, '2022 Overview'!J$11, 'Monthly Detail'!14:14)</f>
        <v>0</v>
      </c>
      <c r="K20" s="54">
        <f>SUMIF('Monthly Detail'!$3:$3, '2022 Overview'!K$11, 'Monthly Detail'!14:14)</f>
        <v>0</v>
      </c>
      <c r="L20" s="54">
        <f>SUMIF('Monthly Detail'!$3:$3, '2022 Overview'!L$11, 'Monthly Detail'!14:14)</f>
        <v>0</v>
      </c>
      <c r="M20" s="54">
        <f>SUMIF('Monthly Detail'!$3:$3, '2022 Overview'!M$11, 'Monthly Detail'!14:14)</f>
        <v>0</v>
      </c>
      <c r="N20" s="123">
        <f>SUMIF('Monthly Detail'!$3:$3, '2022 Overview'!N$11, 'Monthly Detail'!14:14)</f>
        <v>0</v>
      </c>
      <c r="P20" s="54">
        <f>SUM(C20:O20)</f>
        <v>0</v>
      </c>
      <c r="T20" s="1"/>
    </row>
    <row r="21" spans="2:20" x14ac:dyDescent="0.25">
      <c r="B21" s="59" t="s">
        <v>151</v>
      </c>
      <c r="C21" s="60">
        <f>SUM(C19:C20)</f>
        <v>1759.16</v>
      </c>
      <c r="D21" s="60">
        <f t="shared" ref="D21:N21" si="2">SUM(D19:D20)</f>
        <v>467.18</v>
      </c>
      <c r="E21" s="60">
        <f t="shared" si="2"/>
        <v>1525.78</v>
      </c>
      <c r="F21" s="60">
        <f t="shared" si="2"/>
        <v>598.99</v>
      </c>
      <c r="G21" s="60">
        <f t="shared" si="2"/>
        <v>2060.8900000000003</v>
      </c>
      <c r="H21" s="60">
        <f t="shared" si="2"/>
        <v>452.88</v>
      </c>
      <c r="I21" s="60">
        <f t="shared" si="2"/>
        <v>1445.7200000000003</v>
      </c>
      <c r="J21" s="60">
        <f t="shared" si="2"/>
        <v>1487.22</v>
      </c>
      <c r="K21" s="60">
        <f t="shared" si="2"/>
        <v>2209.94</v>
      </c>
      <c r="L21" s="60">
        <f t="shared" si="2"/>
        <v>630.27</v>
      </c>
      <c r="M21" s="60">
        <f t="shared" si="2"/>
        <v>2877.72</v>
      </c>
      <c r="N21" s="128">
        <f t="shared" si="2"/>
        <v>2283.2299999999996</v>
      </c>
      <c r="O21" s="61"/>
      <c r="P21" s="60">
        <f>SUM(P19:P20)</f>
        <v>17798.98</v>
      </c>
    </row>
    <row r="22" spans="2:20" ht="3" customHeight="1" x14ac:dyDescent="0.25">
      <c r="B22" s="7"/>
      <c r="N22" s="92"/>
    </row>
    <row r="23" spans="2:20" ht="15.75" x14ac:dyDescent="0.25">
      <c r="B23" s="68" t="s">
        <v>152</v>
      </c>
      <c r="C23" s="69">
        <f t="shared" ref="C23:N23" si="3">C16-C21</f>
        <v>-1759.0600000000002</v>
      </c>
      <c r="D23" s="69">
        <f t="shared" si="3"/>
        <v>-467.08</v>
      </c>
      <c r="E23" s="69">
        <f t="shared" si="3"/>
        <v>-1525.68</v>
      </c>
      <c r="F23" s="69">
        <f t="shared" si="3"/>
        <v>-598.89</v>
      </c>
      <c r="G23" s="69">
        <f t="shared" si="3"/>
        <v>-2060.7900000000004</v>
      </c>
      <c r="H23" s="69">
        <f t="shared" si="3"/>
        <v>-452.78</v>
      </c>
      <c r="I23" s="69">
        <f t="shared" si="3"/>
        <v>-1445.6200000000003</v>
      </c>
      <c r="J23" s="69" t="e">
        <f t="shared" si="3"/>
        <v>#REF!</v>
      </c>
      <c r="K23" s="69" t="e">
        <f t="shared" si="3"/>
        <v>#REF!</v>
      </c>
      <c r="L23" s="69" t="e">
        <f t="shared" si="3"/>
        <v>#REF!</v>
      </c>
      <c r="M23" s="69" t="e">
        <f t="shared" si="3"/>
        <v>#REF!</v>
      </c>
      <c r="N23" s="126" t="e">
        <f t="shared" si="3"/>
        <v>#REF!</v>
      </c>
      <c r="O23" s="58"/>
      <c r="P23" s="69">
        <f>P16-P21</f>
        <v>-17798.98</v>
      </c>
    </row>
    <row r="24" spans="2:20" x14ac:dyDescent="0.25">
      <c r="B24" s="70" t="s">
        <v>153</v>
      </c>
      <c r="C24" s="71">
        <f>C23/C14</f>
        <v>-17590.600000000002</v>
      </c>
      <c r="D24" s="71">
        <f t="shared" ref="D24:N24" si="4">D23/D14</f>
        <v>-4670.7999999999993</v>
      </c>
      <c r="E24" s="71">
        <f t="shared" si="4"/>
        <v>-15256.8</v>
      </c>
      <c r="F24" s="71">
        <f t="shared" si="4"/>
        <v>-5988.9</v>
      </c>
      <c r="G24" s="71">
        <f t="shared" si="4"/>
        <v>-20607.900000000001</v>
      </c>
      <c r="H24" s="71">
        <f t="shared" si="4"/>
        <v>-4527.7999999999993</v>
      </c>
      <c r="I24" s="71">
        <f t="shared" si="4"/>
        <v>-14456.200000000003</v>
      </c>
      <c r="J24" s="71" t="e">
        <f t="shared" si="4"/>
        <v>#REF!</v>
      </c>
      <c r="K24" s="71" t="e">
        <f t="shared" si="4"/>
        <v>#REF!</v>
      </c>
      <c r="L24" s="71" t="e">
        <f t="shared" si="4"/>
        <v>#REF!</v>
      </c>
      <c r="M24" s="71" t="e">
        <f t="shared" si="4"/>
        <v>#REF!</v>
      </c>
      <c r="N24" s="127" t="e">
        <f t="shared" si="4"/>
        <v>#REF!</v>
      </c>
      <c r="O24" s="7"/>
      <c r="P24" s="71" t="e">
        <f>P23/P14</f>
        <v>#DIV/0!</v>
      </c>
    </row>
    <row r="25" spans="2:20" ht="8.25" customHeight="1" x14ac:dyDescent="0.25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129"/>
      <c r="P25" s="63"/>
    </row>
    <row r="26" spans="2:20" x14ac:dyDescent="0.25">
      <c r="B26" s="7" t="s">
        <v>154</v>
      </c>
      <c r="C26" s="54">
        <f>SUMIF('Monthly Detail'!$3:$3, '2022 Overview'!C$11, 'Monthly Detail'!42:42)</f>
        <v>0</v>
      </c>
      <c r="D26" s="54">
        <f>SUMIF('Monthly Detail'!$3:$3, '2022 Overview'!D$11, 'Monthly Detail'!42:42)</f>
        <v>0</v>
      </c>
      <c r="E26" s="54">
        <f>SUMIF('Monthly Detail'!$3:$3, '2022 Overview'!E$11, 'Monthly Detail'!42:42)</f>
        <v>0</v>
      </c>
      <c r="F26" s="54">
        <f>SUMIF('Monthly Detail'!$3:$3, '2022 Overview'!F$11, 'Monthly Detail'!42:42)</f>
        <v>0</v>
      </c>
      <c r="G26" s="54">
        <f>SUMIF('Monthly Detail'!$3:$3, '2022 Overview'!G$11, 'Monthly Detail'!42:42)</f>
        <v>0</v>
      </c>
      <c r="H26" s="54">
        <f>SUMIF('Monthly Detail'!$3:$3, '2022 Overview'!H$11, 'Monthly Detail'!42:42)</f>
        <v>0</v>
      </c>
      <c r="I26" s="54">
        <f>SUMIF('Monthly Detail'!$3:$3, '2022 Overview'!I$11, 'Monthly Detail'!42:42)</f>
        <v>0</v>
      </c>
      <c r="J26" s="54">
        <f>SUMIF('Monthly Detail'!$3:$3, '2022 Overview'!J$11, 'Monthly Detail'!42:42)</f>
        <v>0</v>
      </c>
      <c r="K26" s="54">
        <f>SUMIF('Monthly Detail'!$3:$3, '2022 Overview'!K$11, 'Monthly Detail'!42:42)</f>
        <v>650</v>
      </c>
      <c r="L26" s="105">
        <f>SUMIF('Monthly Detail'!$3:$3, '2022 Overview'!L$11, 'Monthly Detail'!42:42)</f>
        <v>0</v>
      </c>
      <c r="M26" s="108">
        <f>SUMIF('Monthly Detail'!$3:$3, '2022 Overview'!M$11, 'Monthly Detail'!42:42)</f>
        <v>0</v>
      </c>
      <c r="N26" s="130">
        <f>SUMIF('Monthly Detail'!$3:$3, '2022 Overview'!N$11, 'Monthly Detail'!42:42)</f>
        <v>0</v>
      </c>
      <c r="O26" s="54"/>
      <c r="P26" s="105">
        <f>SUM(C26:O26)</f>
        <v>650</v>
      </c>
    </row>
    <row r="27" spans="2:20" ht="15.75" x14ac:dyDescent="0.25">
      <c r="B27" s="68" t="s">
        <v>12</v>
      </c>
      <c r="C27" s="69">
        <f t="shared" ref="C27:N27" si="5">C23+SUM(C26:C26)</f>
        <v>-1759.0600000000002</v>
      </c>
      <c r="D27" s="69">
        <f t="shared" si="5"/>
        <v>-467.08</v>
      </c>
      <c r="E27" s="69">
        <f t="shared" si="5"/>
        <v>-1525.68</v>
      </c>
      <c r="F27" s="69">
        <f t="shared" si="5"/>
        <v>-598.89</v>
      </c>
      <c r="G27" s="69">
        <f t="shared" si="5"/>
        <v>-2060.7900000000004</v>
      </c>
      <c r="H27" s="69">
        <f t="shared" si="5"/>
        <v>-452.78</v>
      </c>
      <c r="I27" s="69">
        <f t="shared" si="5"/>
        <v>-1445.6200000000003</v>
      </c>
      <c r="J27" s="69" t="e">
        <f t="shared" si="5"/>
        <v>#REF!</v>
      </c>
      <c r="K27" s="69" t="e">
        <f t="shared" si="5"/>
        <v>#REF!</v>
      </c>
      <c r="L27" s="69" t="e">
        <f t="shared" si="5"/>
        <v>#REF!</v>
      </c>
      <c r="M27" s="69" t="e">
        <f t="shared" si="5"/>
        <v>#REF!</v>
      </c>
      <c r="N27" s="126" t="e">
        <f t="shared" si="5"/>
        <v>#REF!</v>
      </c>
      <c r="O27" s="58"/>
      <c r="P27" s="69">
        <f>P23+SUM(P26:P26)</f>
        <v>-17148.98</v>
      </c>
    </row>
    <row r="28" spans="2:20" x14ac:dyDescent="0.25">
      <c r="B28" s="70" t="s">
        <v>155</v>
      </c>
      <c r="C28" s="71">
        <f t="shared" ref="C28:N28" si="6">C27/C14</f>
        <v>-17590.600000000002</v>
      </c>
      <c r="D28" s="71">
        <f t="shared" si="6"/>
        <v>-4670.7999999999993</v>
      </c>
      <c r="E28" s="71">
        <f t="shared" si="6"/>
        <v>-15256.8</v>
      </c>
      <c r="F28" s="71">
        <f t="shared" si="6"/>
        <v>-5988.9</v>
      </c>
      <c r="G28" s="71">
        <f t="shared" si="6"/>
        <v>-20607.900000000001</v>
      </c>
      <c r="H28" s="71">
        <f t="shared" si="6"/>
        <v>-4527.7999999999993</v>
      </c>
      <c r="I28" s="71">
        <f t="shared" si="6"/>
        <v>-14456.200000000003</v>
      </c>
      <c r="J28" s="71" t="e">
        <f t="shared" si="6"/>
        <v>#REF!</v>
      </c>
      <c r="K28" s="71" t="e">
        <f t="shared" si="6"/>
        <v>#REF!</v>
      </c>
      <c r="L28" s="71" t="e">
        <f t="shared" si="6"/>
        <v>#REF!</v>
      </c>
      <c r="M28" s="71" t="e">
        <f t="shared" si="6"/>
        <v>#REF!</v>
      </c>
      <c r="N28" s="127" t="e">
        <f t="shared" si="6"/>
        <v>#REF!</v>
      </c>
      <c r="O28" s="7"/>
      <c r="P28" s="71" t="e">
        <f>P27/P14</f>
        <v>#DIV/0!</v>
      </c>
    </row>
    <row r="29" spans="2:20" ht="15.75" thickBot="1" x14ac:dyDescent="0.3">
      <c r="B29" s="7"/>
      <c r="M29" s="88"/>
      <c r="N29" s="92"/>
    </row>
    <row r="30" spans="2:20" x14ac:dyDescent="0.25">
      <c r="B30" s="64" t="s">
        <v>156</v>
      </c>
      <c r="C30" s="65">
        <f>SUMIF('Monthly Detail'!$3:$3, '2022 Overview'!C$11, 'Monthly Detail'!195:195)</f>
        <v>0</v>
      </c>
      <c r="D30" s="65">
        <f>SUMIF('Monthly Detail'!$3:$3, '2022 Overview'!D$11, 'Monthly Detail'!195:195)</f>
        <v>0</v>
      </c>
      <c r="E30" s="65">
        <f>SUMIF('Monthly Detail'!$3:$3, '2022 Overview'!E$11, 'Monthly Detail'!195:195)</f>
        <v>0</v>
      </c>
      <c r="F30" s="65">
        <f>SUMIF('Monthly Detail'!$3:$3, '2022 Overview'!F$11, 'Monthly Detail'!195:195)</f>
        <v>99.999999999999986</v>
      </c>
      <c r="G30" s="65">
        <f>SUMIF('Monthly Detail'!$3:$3, '2022 Overview'!G$11, 'Monthly Detail'!195:195)</f>
        <v>99.999999999999986</v>
      </c>
      <c r="H30" s="65">
        <f>SUMIF('Monthly Detail'!$3:$3, '2022 Overview'!H$11, 'Monthly Detail'!195:195)</f>
        <v>99.999999999999986</v>
      </c>
      <c r="I30" s="65">
        <f>SUMIF('Monthly Detail'!$3:$3, '2022 Overview'!I$11, 'Monthly Detail'!195:195)</f>
        <v>1600</v>
      </c>
      <c r="J30" s="65">
        <f>SUMIF('Monthly Detail'!$3:$3, '2022 Overview'!J$11, 'Monthly Detail'!195:195)</f>
        <v>1399</v>
      </c>
      <c r="K30" s="65">
        <f>SUMIF('Monthly Detail'!$3:$3, '2022 Overview'!K$11, 'Monthly Detail'!195:195)</f>
        <v>280.5</v>
      </c>
      <c r="L30" s="65">
        <f>SUMIF('Monthly Detail'!$3:$3, '2022 Overview'!L$11, 'Monthly Detail'!195:195)</f>
        <v>329.2</v>
      </c>
      <c r="M30" s="65">
        <f>SUMIF('Monthly Detail'!$3:$3, '2022 Overview'!M$11, 'Monthly Detail'!195:195)</f>
        <v>118.19999999999999</v>
      </c>
      <c r="N30" s="131">
        <f>SUMIF('Monthly Detail'!$3:$3, '2022 Overview'!N$11, 'Monthly Detail'!195:195)</f>
        <v>307.81000000000012</v>
      </c>
    </row>
    <row r="31" spans="2:20" ht="15.75" thickBot="1" x14ac:dyDescent="0.3">
      <c r="B31" s="66" t="s">
        <v>157</v>
      </c>
      <c r="C31" s="67">
        <f>SUMIF('Monthly Detail'!$3:$3, '2022 Overview'!C$11, 'Monthly Detail'!180:180)</f>
        <v>0</v>
      </c>
      <c r="D31" s="67">
        <f>D30-C30</f>
        <v>0</v>
      </c>
      <c r="E31" s="67">
        <f t="shared" ref="E31:N31" si="7">E30-D30</f>
        <v>0</v>
      </c>
      <c r="F31" s="67">
        <f t="shared" si="7"/>
        <v>99.999999999999986</v>
      </c>
      <c r="G31" s="67">
        <f t="shared" si="7"/>
        <v>0</v>
      </c>
      <c r="H31" s="67">
        <f t="shared" si="7"/>
        <v>0</v>
      </c>
      <c r="I31" s="67">
        <f t="shared" si="7"/>
        <v>1500</v>
      </c>
      <c r="J31" s="67">
        <f t="shared" si="7"/>
        <v>-201</v>
      </c>
      <c r="K31" s="67">
        <f t="shared" si="7"/>
        <v>-1118.5</v>
      </c>
      <c r="L31" s="67">
        <f t="shared" si="7"/>
        <v>48.699999999999989</v>
      </c>
      <c r="M31" s="67">
        <f t="shared" si="7"/>
        <v>-211</v>
      </c>
      <c r="N31" s="132">
        <f t="shared" si="7"/>
        <v>189.61000000000013</v>
      </c>
    </row>
  </sheetData>
  <pageMargins left="0.7" right="0.7" top="0.75" bottom="0.75" header="0.3" footer="0.3"/>
  <pageSetup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E5DE-E402-4DAF-9028-8BF81CE628FE}">
  <sheetPr>
    <tabColor theme="1"/>
  </sheetPr>
  <dimension ref="A1:NG60"/>
  <sheetViews>
    <sheetView workbookViewId="0"/>
  </sheetViews>
  <sheetFormatPr defaultRowHeight="15" outlineLevelCol="1" x14ac:dyDescent="0.25"/>
  <cols>
    <col min="1" max="1" width="37.28515625" bestFit="1" customWidth="1"/>
    <col min="2" max="2" width="35.28515625" bestFit="1" customWidth="1"/>
    <col min="3" max="3" width="7.28515625" customWidth="1"/>
    <col min="4" max="5" width="11.140625" hidden="1" customWidth="1" outlineLevel="1"/>
    <col min="6" max="8" width="9.7109375" hidden="1" customWidth="1" outlineLevel="1"/>
    <col min="9" max="9" width="10.5703125" hidden="1" customWidth="1" outlineLevel="1"/>
    <col min="10" max="10" width="10.5703125" bestFit="1" customWidth="1" collapsed="1"/>
    <col min="11" max="11" width="11.7109375" bestFit="1" customWidth="1"/>
    <col min="12" max="12" width="9.7109375" bestFit="1" customWidth="1"/>
    <col min="13" max="27" width="11.140625" bestFit="1" customWidth="1"/>
    <col min="28" max="34" width="10.7109375" bestFit="1" customWidth="1"/>
    <col min="35" max="35" width="11.140625" bestFit="1" customWidth="1"/>
    <col min="36" max="225" width="10.7109375" bestFit="1" customWidth="1"/>
    <col min="226" max="227" width="10.5703125" bestFit="1" customWidth="1"/>
    <col min="228" max="236" width="9.7109375" bestFit="1" customWidth="1"/>
    <col min="237" max="239" width="10.5703125" bestFit="1" customWidth="1"/>
    <col min="240" max="248" width="9.7109375" bestFit="1" customWidth="1"/>
    <col min="249" max="251" width="10.5703125" bestFit="1" customWidth="1"/>
    <col min="252" max="260" width="9.7109375" bestFit="1" customWidth="1"/>
    <col min="261" max="263" width="10.5703125" bestFit="1" customWidth="1"/>
    <col min="264" max="272" width="9.7109375" bestFit="1" customWidth="1"/>
    <col min="273" max="275" width="10.5703125" bestFit="1" customWidth="1"/>
    <col min="276" max="284" width="9.7109375" bestFit="1" customWidth="1"/>
    <col min="285" max="287" width="10.5703125" bestFit="1" customWidth="1"/>
    <col min="288" max="296" width="9.7109375" bestFit="1" customWidth="1"/>
    <col min="297" max="299" width="10.5703125" bestFit="1" customWidth="1"/>
    <col min="300" max="308" width="9.7109375" bestFit="1" customWidth="1"/>
    <col min="309" max="311" width="10.5703125" bestFit="1" customWidth="1"/>
    <col min="312" max="320" width="9.7109375" bestFit="1" customWidth="1"/>
    <col min="321" max="323" width="10.5703125" bestFit="1" customWidth="1"/>
    <col min="324" max="332" width="9.7109375" bestFit="1" customWidth="1"/>
    <col min="333" max="335" width="10.5703125" bestFit="1" customWidth="1"/>
    <col min="336" max="344" width="9.7109375" bestFit="1" customWidth="1"/>
    <col min="345" max="347" width="10.5703125" bestFit="1" customWidth="1"/>
    <col min="348" max="356" width="9.7109375" bestFit="1" customWidth="1"/>
    <col min="357" max="359" width="10.5703125" bestFit="1" customWidth="1"/>
    <col min="360" max="368" width="9.7109375" bestFit="1" customWidth="1"/>
    <col min="369" max="370" width="10.5703125" bestFit="1" customWidth="1"/>
    <col min="371" max="371" width="11.140625" bestFit="1" customWidth="1"/>
  </cols>
  <sheetData>
    <row r="1" spans="1:371" x14ac:dyDescent="0.25">
      <c r="D1" s="355">
        <f>YEAR(D2)</f>
        <v>2022</v>
      </c>
      <c r="E1" s="355">
        <f>YEAR(E2)</f>
        <v>2022</v>
      </c>
      <c r="F1" s="355">
        <f t="shared" ref="F1:BQ1" si="0">YEAR(F2)</f>
        <v>2022</v>
      </c>
      <c r="G1" s="355">
        <f t="shared" si="0"/>
        <v>2022</v>
      </c>
      <c r="H1" s="355">
        <f t="shared" si="0"/>
        <v>2022</v>
      </c>
      <c r="I1" s="355">
        <f t="shared" si="0"/>
        <v>2022</v>
      </c>
      <c r="J1" s="355">
        <f t="shared" si="0"/>
        <v>2022</v>
      </c>
      <c r="K1" s="355">
        <f t="shared" si="0"/>
        <v>2022</v>
      </c>
      <c r="L1" s="355">
        <f t="shared" si="0"/>
        <v>2023</v>
      </c>
      <c r="M1" s="355">
        <f t="shared" si="0"/>
        <v>2023</v>
      </c>
      <c r="N1" s="355">
        <f t="shared" si="0"/>
        <v>2023</v>
      </c>
      <c r="O1" s="355">
        <f t="shared" si="0"/>
        <v>2023</v>
      </c>
      <c r="P1" s="355">
        <f t="shared" si="0"/>
        <v>2023</v>
      </c>
      <c r="Q1" s="355">
        <f t="shared" si="0"/>
        <v>2023</v>
      </c>
      <c r="R1" s="355">
        <f t="shared" si="0"/>
        <v>2023</v>
      </c>
      <c r="S1" s="355">
        <f t="shared" si="0"/>
        <v>2023</v>
      </c>
      <c r="T1" s="355">
        <f t="shared" si="0"/>
        <v>2023</v>
      </c>
      <c r="U1" s="355">
        <f t="shared" si="0"/>
        <v>2023</v>
      </c>
      <c r="V1" s="355">
        <f t="shared" si="0"/>
        <v>2023</v>
      </c>
      <c r="W1" s="355">
        <f t="shared" si="0"/>
        <v>2023</v>
      </c>
      <c r="X1" s="355">
        <f t="shared" si="0"/>
        <v>2024</v>
      </c>
      <c r="Y1" s="355">
        <f t="shared" si="0"/>
        <v>2024</v>
      </c>
      <c r="Z1" s="355">
        <f t="shared" si="0"/>
        <v>2024</v>
      </c>
      <c r="AA1" s="355">
        <f t="shared" si="0"/>
        <v>2024</v>
      </c>
      <c r="AB1" s="355">
        <f t="shared" si="0"/>
        <v>2024</v>
      </c>
      <c r="AC1" s="355">
        <f t="shared" si="0"/>
        <v>2024</v>
      </c>
      <c r="AD1" s="355">
        <f t="shared" si="0"/>
        <v>2024</v>
      </c>
      <c r="AE1" s="355">
        <f t="shared" si="0"/>
        <v>2024</v>
      </c>
      <c r="AF1" s="355">
        <f t="shared" si="0"/>
        <v>2024</v>
      </c>
      <c r="AG1" s="355">
        <f t="shared" si="0"/>
        <v>2024</v>
      </c>
      <c r="AH1" s="355">
        <f t="shared" si="0"/>
        <v>2024</v>
      </c>
      <c r="AI1" s="355">
        <f t="shared" si="0"/>
        <v>2024</v>
      </c>
      <c r="AJ1" s="355">
        <f t="shared" si="0"/>
        <v>2025</v>
      </c>
      <c r="AK1" s="355">
        <f t="shared" si="0"/>
        <v>2025</v>
      </c>
      <c r="AL1" s="355">
        <f t="shared" si="0"/>
        <v>2025</v>
      </c>
      <c r="AM1" s="355">
        <f t="shared" si="0"/>
        <v>2025</v>
      </c>
      <c r="AN1" s="355">
        <f t="shared" si="0"/>
        <v>2025</v>
      </c>
      <c r="AO1" s="355">
        <f t="shared" si="0"/>
        <v>2025</v>
      </c>
      <c r="AP1" s="355">
        <f t="shared" si="0"/>
        <v>2025</v>
      </c>
      <c r="AQ1" s="355">
        <f t="shared" si="0"/>
        <v>2025</v>
      </c>
      <c r="AR1" s="355">
        <f t="shared" si="0"/>
        <v>2025</v>
      </c>
      <c r="AS1" s="355">
        <f t="shared" si="0"/>
        <v>2025</v>
      </c>
      <c r="AT1" s="355">
        <f t="shared" si="0"/>
        <v>2025</v>
      </c>
      <c r="AU1" s="355">
        <f t="shared" si="0"/>
        <v>2025</v>
      </c>
      <c r="AV1" s="355">
        <f t="shared" si="0"/>
        <v>2026</v>
      </c>
      <c r="AW1" s="355">
        <f t="shared" si="0"/>
        <v>2026</v>
      </c>
      <c r="AX1" s="355">
        <f t="shared" si="0"/>
        <v>2026</v>
      </c>
      <c r="AY1" s="355">
        <f t="shared" si="0"/>
        <v>2026</v>
      </c>
      <c r="AZ1" s="355">
        <f t="shared" si="0"/>
        <v>2026</v>
      </c>
      <c r="BA1" s="355">
        <f t="shared" si="0"/>
        <v>2026</v>
      </c>
      <c r="BB1" s="355">
        <f t="shared" si="0"/>
        <v>2026</v>
      </c>
      <c r="BC1" s="355">
        <f t="shared" si="0"/>
        <v>2026</v>
      </c>
      <c r="BD1" s="355">
        <f t="shared" si="0"/>
        <v>2026</v>
      </c>
      <c r="BE1" s="355">
        <f t="shared" si="0"/>
        <v>2026</v>
      </c>
      <c r="BF1" s="355">
        <f t="shared" si="0"/>
        <v>2026</v>
      </c>
      <c r="BG1" s="355">
        <f t="shared" si="0"/>
        <v>2026</v>
      </c>
      <c r="BH1" s="355">
        <f t="shared" si="0"/>
        <v>2027</v>
      </c>
      <c r="BI1" s="355">
        <f t="shared" si="0"/>
        <v>2027</v>
      </c>
      <c r="BJ1" s="355">
        <f t="shared" si="0"/>
        <v>2027</v>
      </c>
      <c r="BK1" s="355">
        <f t="shared" si="0"/>
        <v>2027</v>
      </c>
      <c r="BL1" s="355">
        <f t="shared" si="0"/>
        <v>2027</v>
      </c>
      <c r="BM1" s="355">
        <f t="shared" si="0"/>
        <v>2027</v>
      </c>
      <c r="BN1" s="355">
        <f t="shared" si="0"/>
        <v>2027</v>
      </c>
      <c r="BO1" s="355">
        <f t="shared" si="0"/>
        <v>2027</v>
      </c>
      <c r="BP1" s="355">
        <f t="shared" si="0"/>
        <v>2027</v>
      </c>
      <c r="BQ1" s="355">
        <f t="shared" si="0"/>
        <v>2027</v>
      </c>
      <c r="BR1" s="355">
        <f t="shared" ref="BR1:EC1" si="1">YEAR(BR2)</f>
        <v>2027</v>
      </c>
      <c r="BS1" s="355">
        <f t="shared" si="1"/>
        <v>2027</v>
      </c>
      <c r="BT1" s="355">
        <f t="shared" si="1"/>
        <v>2028</v>
      </c>
      <c r="BU1" s="355">
        <f t="shared" si="1"/>
        <v>2028</v>
      </c>
      <c r="BV1" s="355">
        <f t="shared" si="1"/>
        <v>2028</v>
      </c>
      <c r="BW1" s="355">
        <f t="shared" si="1"/>
        <v>2028</v>
      </c>
      <c r="BX1" s="355">
        <f t="shared" si="1"/>
        <v>2028</v>
      </c>
      <c r="BY1" s="355">
        <f t="shared" si="1"/>
        <v>2028</v>
      </c>
      <c r="BZ1" s="355">
        <f t="shared" si="1"/>
        <v>2028</v>
      </c>
      <c r="CA1" s="355">
        <f t="shared" si="1"/>
        <v>2028</v>
      </c>
      <c r="CB1" s="355">
        <f t="shared" si="1"/>
        <v>2028</v>
      </c>
      <c r="CC1" s="355">
        <f t="shared" si="1"/>
        <v>2028</v>
      </c>
      <c r="CD1" s="355">
        <f t="shared" si="1"/>
        <v>2028</v>
      </c>
      <c r="CE1" s="355">
        <f t="shared" si="1"/>
        <v>2028</v>
      </c>
      <c r="CF1" s="355">
        <f t="shared" si="1"/>
        <v>2029</v>
      </c>
      <c r="CG1" s="355">
        <f t="shared" si="1"/>
        <v>2029</v>
      </c>
      <c r="CH1" s="355">
        <f t="shared" si="1"/>
        <v>2029</v>
      </c>
      <c r="CI1" s="355">
        <f t="shared" si="1"/>
        <v>2029</v>
      </c>
      <c r="CJ1" s="355">
        <f t="shared" si="1"/>
        <v>2029</v>
      </c>
      <c r="CK1" s="355">
        <f t="shared" si="1"/>
        <v>2029</v>
      </c>
      <c r="CL1" s="355">
        <f t="shared" si="1"/>
        <v>2029</v>
      </c>
      <c r="CM1" s="355">
        <f t="shared" si="1"/>
        <v>2029</v>
      </c>
      <c r="CN1" s="355">
        <f t="shared" si="1"/>
        <v>2029</v>
      </c>
      <c r="CO1" s="355">
        <f t="shared" si="1"/>
        <v>2029</v>
      </c>
      <c r="CP1" s="355">
        <f t="shared" si="1"/>
        <v>2029</v>
      </c>
      <c r="CQ1" s="355">
        <f t="shared" si="1"/>
        <v>2029</v>
      </c>
      <c r="CR1" s="355">
        <f t="shared" si="1"/>
        <v>2030</v>
      </c>
      <c r="CS1" s="355">
        <f t="shared" si="1"/>
        <v>2030</v>
      </c>
      <c r="CT1" s="355">
        <f t="shared" si="1"/>
        <v>2030</v>
      </c>
      <c r="CU1" s="355">
        <f t="shared" si="1"/>
        <v>2030</v>
      </c>
      <c r="CV1" s="355">
        <f t="shared" si="1"/>
        <v>2030</v>
      </c>
      <c r="CW1" s="355">
        <f t="shared" si="1"/>
        <v>2030</v>
      </c>
      <c r="CX1" s="355">
        <f t="shared" si="1"/>
        <v>2030</v>
      </c>
      <c r="CY1" s="355">
        <f t="shared" si="1"/>
        <v>2030</v>
      </c>
      <c r="CZ1" s="355">
        <f t="shared" si="1"/>
        <v>2030</v>
      </c>
      <c r="DA1" s="355">
        <f t="shared" si="1"/>
        <v>2030</v>
      </c>
      <c r="DB1" s="355">
        <f t="shared" si="1"/>
        <v>2030</v>
      </c>
      <c r="DC1" s="355">
        <f t="shared" si="1"/>
        <v>2030</v>
      </c>
      <c r="DD1" s="355">
        <f t="shared" si="1"/>
        <v>2031</v>
      </c>
      <c r="DE1" s="355">
        <f t="shared" si="1"/>
        <v>2031</v>
      </c>
      <c r="DF1" s="355">
        <f t="shared" si="1"/>
        <v>2031</v>
      </c>
      <c r="DG1" s="355">
        <f t="shared" si="1"/>
        <v>2031</v>
      </c>
      <c r="DH1" s="355">
        <f t="shared" si="1"/>
        <v>2031</v>
      </c>
      <c r="DI1" s="355">
        <f t="shared" si="1"/>
        <v>2031</v>
      </c>
      <c r="DJ1" s="355">
        <f t="shared" si="1"/>
        <v>2031</v>
      </c>
      <c r="DK1" s="355">
        <f t="shared" si="1"/>
        <v>2031</v>
      </c>
      <c r="DL1" s="355">
        <f t="shared" si="1"/>
        <v>2031</v>
      </c>
      <c r="DM1" s="355">
        <f t="shared" si="1"/>
        <v>2031</v>
      </c>
      <c r="DN1" s="355">
        <f t="shared" si="1"/>
        <v>2031</v>
      </c>
      <c r="DO1" s="355">
        <f t="shared" si="1"/>
        <v>2031</v>
      </c>
      <c r="DP1" s="355">
        <f t="shared" si="1"/>
        <v>2032</v>
      </c>
      <c r="DQ1" s="355">
        <f t="shared" si="1"/>
        <v>2032</v>
      </c>
      <c r="DR1" s="355">
        <f t="shared" si="1"/>
        <v>2032</v>
      </c>
      <c r="DS1" s="355">
        <f t="shared" si="1"/>
        <v>2032</v>
      </c>
      <c r="DT1" s="355">
        <f t="shared" si="1"/>
        <v>2032</v>
      </c>
      <c r="DU1" s="355">
        <f t="shared" si="1"/>
        <v>2032</v>
      </c>
      <c r="DV1" s="355">
        <f t="shared" si="1"/>
        <v>2032</v>
      </c>
      <c r="DW1" s="355">
        <f t="shared" si="1"/>
        <v>2032</v>
      </c>
      <c r="DX1" s="355">
        <f t="shared" si="1"/>
        <v>2032</v>
      </c>
      <c r="DY1" s="355">
        <f t="shared" si="1"/>
        <v>2032</v>
      </c>
      <c r="DZ1" s="355">
        <f t="shared" si="1"/>
        <v>2032</v>
      </c>
      <c r="EA1" s="355">
        <f t="shared" si="1"/>
        <v>2032</v>
      </c>
      <c r="EB1" s="355">
        <f t="shared" si="1"/>
        <v>2033</v>
      </c>
      <c r="EC1" s="355">
        <f t="shared" si="1"/>
        <v>2033</v>
      </c>
      <c r="ED1" s="355">
        <f t="shared" ref="ED1:GO1" si="2">YEAR(ED2)</f>
        <v>2033</v>
      </c>
      <c r="EE1" s="355">
        <f t="shared" si="2"/>
        <v>2033</v>
      </c>
      <c r="EF1" s="355">
        <f t="shared" si="2"/>
        <v>2033</v>
      </c>
      <c r="EG1" s="355">
        <f t="shared" si="2"/>
        <v>2033</v>
      </c>
      <c r="EH1" s="355">
        <f t="shared" si="2"/>
        <v>2033</v>
      </c>
      <c r="EI1" s="355">
        <f t="shared" si="2"/>
        <v>2033</v>
      </c>
      <c r="EJ1" s="355">
        <f t="shared" si="2"/>
        <v>2033</v>
      </c>
      <c r="EK1" s="355">
        <f t="shared" si="2"/>
        <v>2033</v>
      </c>
      <c r="EL1" s="355">
        <f t="shared" si="2"/>
        <v>2033</v>
      </c>
      <c r="EM1" s="355">
        <f t="shared" si="2"/>
        <v>2033</v>
      </c>
      <c r="EN1" s="355">
        <f t="shared" si="2"/>
        <v>2034</v>
      </c>
      <c r="EO1" s="355">
        <f t="shared" si="2"/>
        <v>2034</v>
      </c>
      <c r="EP1" s="355">
        <f t="shared" si="2"/>
        <v>2034</v>
      </c>
      <c r="EQ1" s="355">
        <f t="shared" si="2"/>
        <v>2034</v>
      </c>
      <c r="ER1" s="355">
        <f t="shared" si="2"/>
        <v>2034</v>
      </c>
      <c r="ES1" s="355">
        <f t="shared" si="2"/>
        <v>2034</v>
      </c>
      <c r="ET1" s="355">
        <f t="shared" si="2"/>
        <v>2034</v>
      </c>
      <c r="EU1" s="355">
        <f t="shared" si="2"/>
        <v>2034</v>
      </c>
      <c r="EV1" s="355">
        <f t="shared" si="2"/>
        <v>2034</v>
      </c>
      <c r="EW1" s="355">
        <f t="shared" si="2"/>
        <v>2034</v>
      </c>
      <c r="EX1" s="355">
        <f t="shared" si="2"/>
        <v>2034</v>
      </c>
      <c r="EY1" s="355">
        <f t="shared" si="2"/>
        <v>2034</v>
      </c>
      <c r="EZ1" s="355">
        <f t="shared" si="2"/>
        <v>2035</v>
      </c>
      <c r="FA1" s="355">
        <f t="shared" si="2"/>
        <v>2035</v>
      </c>
      <c r="FB1" s="355">
        <f t="shared" si="2"/>
        <v>2035</v>
      </c>
      <c r="FC1" s="355">
        <f t="shared" si="2"/>
        <v>2035</v>
      </c>
      <c r="FD1" s="355">
        <f t="shared" si="2"/>
        <v>2035</v>
      </c>
      <c r="FE1" s="355">
        <f t="shared" si="2"/>
        <v>2035</v>
      </c>
      <c r="FF1" s="355">
        <f t="shared" si="2"/>
        <v>2035</v>
      </c>
      <c r="FG1" s="355">
        <f t="shared" si="2"/>
        <v>2035</v>
      </c>
      <c r="FH1" s="355">
        <f t="shared" si="2"/>
        <v>2035</v>
      </c>
      <c r="FI1" s="355">
        <f t="shared" si="2"/>
        <v>2035</v>
      </c>
      <c r="FJ1" s="355">
        <f t="shared" si="2"/>
        <v>2035</v>
      </c>
      <c r="FK1" s="355">
        <f t="shared" si="2"/>
        <v>2035</v>
      </c>
      <c r="FL1" s="355">
        <f t="shared" si="2"/>
        <v>2036</v>
      </c>
      <c r="FM1" s="355">
        <f t="shared" si="2"/>
        <v>2036</v>
      </c>
      <c r="FN1" s="355">
        <f t="shared" si="2"/>
        <v>2036</v>
      </c>
      <c r="FO1" s="355">
        <f t="shared" si="2"/>
        <v>2036</v>
      </c>
      <c r="FP1" s="355">
        <f t="shared" si="2"/>
        <v>2036</v>
      </c>
      <c r="FQ1" s="355">
        <f t="shared" si="2"/>
        <v>2036</v>
      </c>
      <c r="FR1" s="355">
        <f t="shared" si="2"/>
        <v>2036</v>
      </c>
      <c r="FS1" s="355">
        <f t="shared" si="2"/>
        <v>2036</v>
      </c>
      <c r="FT1" s="355">
        <f t="shared" si="2"/>
        <v>2036</v>
      </c>
      <c r="FU1" s="355">
        <f t="shared" si="2"/>
        <v>2036</v>
      </c>
      <c r="FV1" s="355">
        <f t="shared" si="2"/>
        <v>2036</v>
      </c>
      <c r="FW1" s="355">
        <f t="shared" si="2"/>
        <v>2036</v>
      </c>
      <c r="FX1" s="355">
        <f t="shared" si="2"/>
        <v>2037</v>
      </c>
      <c r="FY1" s="355">
        <f t="shared" si="2"/>
        <v>2037</v>
      </c>
      <c r="FZ1" s="355">
        <f t="shared" si="2"/>
        <v>2037</v>
      </c>
      <c r="GA1" s="355">
        <f t="shared" si="2"/>
        <v>2037</v>
      </c>
      <c r="GB1" s="355">
        <f t="shared" si="2"/>
        <v>2037</v>
      </c>
      <c r="GC1" s="355">
        <f t="shared" si="2"/>
        <v>2037</v>
      </c>
      <c r="GD1" s="355">
        <f t="shared" si="2"/>
        <v>2037</v>
      </c>
      <c r="GE1" s="355">
        <f t="shared" si="2"/>
        <v>2037</v>
      </c>
      <c r="GF1" s="355">
        <f t="shared" si="2"/>
        <v>2037</v>
      </c>
      <c r="GG1" s="355">
        <f t="shared" si="2"/>
        <v>2037</v>
      </c>
      <c r="GH1" s="355">
        <f t="shared" si="2"/>
        <v>2037</v>
      </c>
      <c r="GI1" s="355">
        <f t="shared" si="2"/>
        <v>2037</v>
      </c>
      <c r="GJ1" s="355">
        <f t="shared" si="2"/>
        <v>2038</v>
      </c>
      <c r="GK1" s="355">
        <f t="shared" si="2"/>
        <v>2038</v>
      </c>
      <c r="GL1" s="355">
        <f t="shared" si="2"/>
        <v>2038</v>
      </c>
      <c r="GM1" s="355">
        <f t="shared" si="2"/>
        <v>2038</v>
      </c>
      <c r="GN1" s="355">
        <f t="shared" si="2"/>
        <v>2038</v>
      </c>
      <c r="GO1" s="355">
        <f t="shared" si="2"/>
        <v>2038</v>
      </c>
      <c r="GP1" s="355">
        <f t="shared" ref="GP1:JA1" si="3">YEAR(GP2)</f>
        <v>2038</v>
      </c>
      <c r="GQ1" s="355">
        <f t="shared" si="3"/>
        <v>2038</v>
      </c>
      <c r="GR1" s="355">
        <f t="shared" si="3"/>
        <v>2038</v>
      </c>
      <c r="GS1" s="355">
        <f t="shared" si="3"/>
        <v>2038</v>
      </c>
      <c r="GT1" s="355">
        <f t="shared" si="3"/>
        <v>2038</v>
      </c>
      <c r="GU1" s="355">
        <f t="shared" si="3"/>
        <v>2038</v>
      </c>
      <c r="GV1" s="355">
        <f t="shared" si="3"/>
        <v>2039</v>
      </c>
      <c r="GW1" s="355">
        <f t="shared" si="3"/>
        <v>2039</v>
      </c>
      <c r="GX1" s="355">
        <f t="shared" si="3"/>
        <v>2039</v>
      </c>
      <c r="GY1" s="355">
        <f t="shared" si="3"/>
        <v>2039</v>
      </c>
      <c r="GZ1" s="355">
        <f t="shared" si="3"/>
        <v>2039</v>
      </c>
      <c r="HA1" s="355">
        <f t="shared" si="3"/>
        <v>2039</v>
      </c>
      <c r="HB1" s="355">
        <f t="shared" si="3"/>
        <v>2039</v>
      </c>
      <c r="HC1" s="355">
        <f t="shared" si="3"/>
        <v>2039</v>
      </c>
      <c r="HD1" s="355">
        <f t="shared" si="3"/>
        <v>2039</v>
      </c>
      <c r="HE1" s="355">
        <f t="shared" si="3"/>
        <v>2039</v>
      </c>
      <c r="HF1" s="355">
        <f t="shared" si="3"/>
        <v>2039</v>
      </c>
      <c r="HG1" s="355">
        <f t="shared" si="3"/>
        <v>2039</v>
      </c>
      <c r="HH1" s="355">
        <f t="shared" si="3"/>
        <v>2040</v>
      </c>
      <c r="HI1" s="355">
        <f t="shared" si="3"/>
        <v>2040</v>
      </c>
      <c r="HJ1" s="355">
        <f t="shared" si="3"/>
        <v>2040</v>
      </c>
      <c r="HK1" s="355">
        <f t="shared" si="3"/>
        <v>2040</v>
      </c>
      <c r="HL1" s="355">
        <f t="shared" si="3"/>
        <v>2040</v>
      </c>
      <c r="HM1" s="355">
        <f t="shared" si="3"/>
        <v>2040</v>
      </c>
      <c r="HN1" s="355">
        <f t="shared" si="3"/>
        <v>2040</v>
      </c>
      <c r="HO1" s="355">
        <f t="shared" si="3"/>
        <v>2040</v>
      </c>
      <c r="HP1" s="355">
        <f t="shared" si="3"/>
        <v>2040</v>
      </c>
      <c r="HQ1" s="355">
        <f t="shared" si="3"/>
        <v>2040</v>
      </c>
      <c r="HR1" s="355">
        <f t="shared" si="3"/>
        <v>2040</v>
      </c>
      <c r="HS1" s="355">
        <f t="shared" si="3"/>
        <v>2040</v>
      </c>
      <c r="HT1" s="355">
        <f t="shared" si="3"/>
        <v>2041</v>
      </c>
      <c r="HU1" s="355">
        <f t="shared" si="3"/>
        <v>2041</v>
      </c>
      <c r="HV1" s="355">
        <f t="shared" si="3"/>
        <v>2041</v>
      </c>
      <c r="HW1" s="355">
        <f t="shared" si="3"/>
        <v>2041</v>
      </c>
      <c r="HX1" s="355">
        <f t="shared" si="3"/>
        <v>2041</v>
      </c>
      <c r="HY1" s="355">
        <f t="shared" si="3"/>
        <v>2041</v>
      </c>
      <c r="HZ1" s="355">
        <f t="shared" si="3"/>
        <v>2041</v>
      </c>
      <c r="IA1" s="355">
        <f t="shared" si="3"/>
        <v>2041</v>
      </c>
      <c r="IB1" s="355">
        <f t="shared" si="3"/>
        <v>2041</v>
      </c>
      <c r="IC1" s="355">
        <f t="shared" si="3"/>
        <v>2041</v>
      </c>
      <c r="ID1" s="355">
        <f t="shared" si="3"/>
        <v>2041</v>
      </c>
      <c r="IE1" s="355">
        <f t="shared" si="3"/>
        <v>2041</v>
      </c>
      <c r="IF1" s="355">
        <f t="shared" si="3"/>
        <v>2042</v>
      </c>
      <c r="IG1" s="355">
        <f t="shared" si="3"/>
        <v>2042</v>
      </c>
      <c r="IH1" s="355">
        <f t="shared" si="3"/>
        <v>2042</v>
      </c>
      <c r="II1" s="355">
        <f t="shared" si="3"/>
        <v>2042</v>
      </c>
      <c r="IJ1" s="355">
        <f t="shared" si="3"/>
        <v>2042</v>
      </c>
      <c r="IK1" s="355">
        <f t="shared" si="3"/>
        <v>2042</v>
      </c>
      <c r="IL1" s="355">
        <f t="shared" si="3"/>
        <v>2042</v>
      </c>
      <c r="IM1" s="355">
        <f t="shared" si="3"/>
        <v>2042</v>
      </c>
      <c r="IN1" s="355">
        <f t="shared" si="3"/>
        <v>2042</v>
      </c>
      <c r="IO1" s="355">
        <f t="shared" si="3"/>
        <v>2042</v>
      </c>
      <c r="IP1" s="355">
        <f t="shared" si="3"/>
        <v>2042</v>
      </c>
      <c r="IQ1" s="355">
        <f t="shared" si="3"/>
        <v>2042</v>
      </c>
      <c r="IR1" s="355">
        <f t="shared" si="3"/>
        <v>2043</v>
      </c>
      <c r="IS1" s="355">
        <f t="shared" si="3"/>
        <v>2043</v>
      </c>
      <c r="IT1" s="355">
        <f t="shared" si="3"/>
        <v>2043</v>
      </c>
      <c r="IU1" s="355">
        <f t="shared" si="3"/>
        <v>2043</v>
      </c>
      <c r="IV1" s="355">
        <f t="shared" si="3"/>
        <v>2043</v>
      </c>
      <c r="IW1" s="355">
        <f t="shared" si="3"/>
        <v>2043</v>
      </c>
      <c r="IX1" s="355">
        <f t="shared" si="3"/>
        <v>2043</v>
      </c>
      <c r="IY1" s="355">
        <f t="shared" si="3"/>
        <v>2043</v>
      </c>
      <c r="IZ1" s="355">
        <f t="shared" si="3"/>
        <v>2043</v>
      </c>
      <c r="JA1" s="355">
        <f t="shared" si="3"/>
        <v>2043</v>
      </c>
      <c r="JB1" s="355">
        <f t="shared" ref="JB1:LM1" si="4">YEAR(JB2)</f>
        <v>2043</v>
      </c>
      <c r="JC1" s="355">
        <f t="shared" si="4"/>
        <v>2043</v>
      </c>
      <c r="JD1" s="355">
        <f t="shared" si="4"/>
        <v>2044</v>
      </c>
      <c r="JE1" s="355">
        <f t="shared" si="4"/>
        <v>2044</v>
      </c>
      <c r="JF1" s="355">
        <f t="shared" si="4"/>
        <v>2044</v>
      </c>
      <c r="JG1" s="355">
        <f t="shared" si="4"/>
        <v>2044</v>
      </c>
      <c r="JH1" s="355">
        <f t="shared" si="4"/>
        <v>2044</v>
      </c>
      <c r="JI1" s="355">
        <f t="shared" si="4"/>
        <v>2044</v>
      </c>
      <c r="JJ1" s="355">
        <f t="shared" si="4"/>
        <v>2044</v>
      </c>
      <c r="JK1" s="355">
        <f t="shared" si="4"/>
        <v>2044</v>
      </c>
      <c r="JL1" s="355">
        <f t="shared" si="4"/>
        <v>2044</v>
      </c>
      <c r="JM1" s="355">
        <f t="shared" si="4"/>
        <v>2044</v>
      </c>
      <c r="JN1" s="355">
        <f t="shared" si="4"/>
        <v>2044</v>
      </c>
      <c r="JO1" s="355">
        <f t="shared" si="4"/>
        <v>2044</v>
      </c>
      <c r="JP1" s="355">
        <f t="shared" si="4"/>
        <v>2045</v>
      </c>
      <c r="JQ1" s="355">
        <f t="shared" si="4"/>
        <v>2045</v>
      </c>
      <c r="JR1" s="355">
        <f t="shared" si="4"/>
        <v>2045</v>
      </c>
      <c r="JS1" s="355">
        <f t="shared" si="4"/>
        <v>2045</v>
      </c>
      <c r="JT1" s="355">
        <f t="shared" si="4"/>
        <v>2045</v>
      </c>
      <c r="JU1" s="355">
        <f t="shared" si="4"/>
        <v>2045</v>
      </c>
      <c r="JV1" s="355">
        <f t="shared" si="4"/>
        <v>2045</v>
      </c>
      <c r="JW1" s="355">
        <f t="shared" si="4"/>
        <v>2045</v>
      </c>
      <c r="JX1" s="355">
        <f t="shared" si="4"/>
        <v>2045</v>
      </c>
      <c r="JY1" s="355">
        <f t="shared" si="4"/>
        <v>2045</v>
      </c>
      <c r="JZ1" s="355">
        <f t="shared" si="4"/>
        <v>2045</v>
      </c>
      <c r="KA1" s="355">
        <f t="shared" si="4"/>
        <v>2045</v>
      </c>
      <c r="KB1" s="355">
        <f t="shared" si="4"/>
        <v>2046</v>
      </c>
      <c r="KC1" s="355">
        <f t="shared" si="4"/>
        <v>2046</v>
      </c>
      <c r="KD1" s="355">
        <f t="shared" si="4"/>
        <v>2046</v>
      </c>
      <c r="KE1" s="355">
        <f t="shared" si="4"/>
        <v>2046</v>
      </c>
      <c r="KF1" s="355">
        <f t="shared" si="4"/>
        <v>2046</v>
      </c>
      <c r="KG1" s="355">
        <f t="shared" si="4"/>
        <v>2046</v>
      </c>
      <c r="KH1" s="355">
        <f t="shared" si="4"/>
        <v>2046</v>
      </c>
      <c r="KI1" s="355">
        <f t="shared" si="4"/>
        <v>2046</v>
      </c>
      <c r="KJ1" s="355">
        <f t="shared" si="4"/>
        <v>2046</v>
      </c>
      <c r="KK1" s="355">
        <f t="shared" si="4"/>
        <v>2046</v>
      </c>
      <c r="KL1" s="355">
        <f t="shared" si="4"/>
        <v>2046</v>
      </c>
      <c r="KM1" s="355">
        <f t="shared" si="4"/>
        <v>2046</v>
      </c>
      <c r="KN1" s="355">
        <f t="shared" si="4"/>
        <v>2047</v>
      </c>
      <c r="KO1" s="355">
        <f t="shared" si="4"/>
        <v>2047</v>
      </c>
      <c r="KP1" s="355">
        <f t="shared" si="4"/>
        <v>2047</v>
      </c>
      <c r="KQ1" s="355">
        <f t="shared" si="4"/>
        <v>2047</v>
      </c>
      <c r="KR1" s="355">
        <f t="shared" si="4"/>
        <v>2047</v>
      </c>
      <c r="KS1" s="355">
        <f t="shared" si="4"/>
        <v>2047</v>
      </c>
      <c r="KT1" s="355">
        <f t="shared" si="4"/>
        <v>2047</v>
      </c>
      <c r="KU1" s="355">
        <f t="shared" si="4"/>
        <v>2047</v>
      </c>
      <c r="KV1" s="355">
        <f t="shared" si="4"/>
        <v>2047</v>
      </c>
      <c r="KW1" s="355">
        <f t="shared" si="4"/>
        <v>2047</v>
      </c>
      <c r="KX1" s="355">
        <f t="shared" si="4"/>
        <v>2047</v>
      </c>
      <c r="KY1" s="355">
        <f t="shared" si="4"/>
        <v>2047</v>
      </c>
      <c r="KZ1" s="355">
        <f t="shared" si="4"/>
        <v>2048</v>
      </c>
      <c r="LA1" s="355">
        <f t="shared" si="4"/>
        <v>2048</v>
      </c>
      <c r="LB1" s="355">
        <f t="shared" si="4"/>
        <v>2048</v>
      </c>
      <c r="LC1" s="355">
        <f t="shared" si="4"/>
        <v>2048</v>
      </c>
      <c r="LD1" s="355">
        <f t="shared" si="4"/>
        <v>2048</v>
      </c>
      <c r="LE1" s="355">
        <f t="shared" si="4"/>
        <v>2048</v>
      </c>
      <c r="LF1" s="355">
        <f t="shared" si="4"/>
        <v>2048</v>
      </c>
      <c r="LG1" s="355">
        <f t="shared" si="4"/>
        <v>2048</v>
      </c>
      <c r="LH1" s="355">
        <f t="shared" si="4"/>
        <v>2048</v>
      </c>
      <c r="LI1" s="355">
        <f t="shared" si="4"/>
        <v>2048</v>
      </c>
      <c r="LJ1" s="355">
        <f t="shared" si="4"/>
        <v>2048</v>
      </c>
      <c r="LK1" s="355">
        <f t="shared" si="4"/>
        <v>2048</v>
      </c>
      <c r="LL1" s="355">
        <f t="shared" si="4"/>
        <v>2049</v>
      </c>
      <c r="LM1" s="355">
        <f t="shared" si="4"/>
        <v>2049</v>
      </c>
      <c r="LN1" s="355">
        <f t="shared" ref="LN1:NG1" si="5">YEAR(LN2)</f>
        <v>2049</v>
      </c>
      <c r="LO1" s="355">
        <f t="shared" si="5"/>
        <v>2049</v>
      </c>
      <c r="LP1" s="355">
        <f t="shared" si="5"/>
        <v>2049</v>
      </c>
      <c r="LQ1" s="355">
        <f t="shared" si="5"/>
        <v>2049</v>
      </c>
      <c r="LR1" s="355">
        <f t="shared" si="5"/>
        <v>2049</v>
      </c>
      <c r="LS1" s="355">
        <f t="shared" si="5"/>
        <v>2049</v>
      </c>
      <c r="LT1" s="355">
        <f t="shared" si="5"/>
        <v>2049</v>
      </c>
      <c r="LU1" s="355">
        <f t="shared" si="5"/>
        <v>2049</v>
      </c>
      <c r="LV1" s="355">
        <f t="shared" si="5"/>
        <v>2049</v>
      </c>
      <c r="LW1" s="355">
        <f t="shared" si="5"/>
        <v>2049</v>
      </c>
      <c r="LX1" s="355">
        <f t="shared" si="5"/>
        <v>2050</v>
      </c>
      <c r="LY1" s="355">
        <f t="shared" si="5"/>
        <v>2050</v>
      </c>
      <c r="LZ1" s="355">
        <f t="shared" si="5"/>
        <v>2050</v>
      </c>
      <c r="MA1" s="355">
        <f t="shared" si="5"/>
        <v>2050</v>
      </c>
      <c r="MB1" s="355">
        <f t="shared" si="5"/>
        <v>2050</v>
      </c>
      <c r="MC1" s="355">
        <f t="shared" si="5"/>
        <v>2050</v>
      </c>
      <c r="MD1" s="355">
        <f t="shared" si="5"/>
        <v>2050</v>
      </c>
      <c r="ME1" s="355">
        <f t="shared" si="5"/>
        <v>2050</v>
      </c>
      <c r="MF1" s="355">
        <f t="shared" si="5"/>
        <v>2050</v>
      </c>
      <c r="MG1" s="355">
        <f t="shared" si="5"/>
        <v>2050</v>
      </c>
      <c r="MH1" s="355">
        <f t="shared" si="5"/>
        <v>2050</v>
      </c>
      <c r="MI1" s="355">
        <f t="shared" si="5"/>
        <v>2050</v>
      </c>
      <c r="MJ1" s="355">
        <f t="shared" si="5"/>
        <v>2051</v>
      </c>
      <c r="MK1" s="355">
        <f t="shared" si="5"/>
        <v>2051</v>
      </c>
      <c r="ML1" s="355">
        <f t="shared" si="5"/>
        <v>2051</v>
      </c>
      <c r="MM1" s="355">
        <f t="shared" si="5"/>
        <v>2051</v>
      </c>
      <c r="MN1" s="355">
        <f t="shared" si="5"/>
        <v>2051</v>
      </c>
      <c r="MO1" s="355">
        <f t="shared" si="5"/>
        <v>2051</v>
      </c>
      <c r="MP1" s="355">
        <f t="shared" si="5"/>
        <v>2051</v>
      </c>
      <c r="MQ1" s="355">
        <f t="shared" si="5"/>
        <v>2051</v>
      </c>
      <c r="MR1" s="355">
        <f t="shared" si="5"/>
        <v>2051</v>
      </c>
      <c r="MS1" s="355">
        <f t="shared" si="5"/>
        <v>2051</v>
      </c>
      <c r="MT1" s="355">
        <f t="shared" si="5"/>
        <v>2051</v>
      </c>
      <c r="MU1" s="355">
        <f t="shared" si="5"/>
        <v>2051</v>
      </c>
      <c r="MV1" s="355">
        <f t="shared" si="5"/>
        <v>2052</v>
      </c>
      <c r="MW1" s="355">
        <f t="shared" si="5"/>
        <v>2052</v>
      </c>
      <c r="MX1" s="355">
        <f t="shared" si="5"/>
        <v>2052</v>
      </c>
      <c r="MY1" s="355">
        <f t="shared" si="5"/>
        <v>2052</v>
      </c>
      <c r="MZ1" s="355">
        <f t="shared" si="5"/>
        <v>2052</v>
      </c>
      <c r="NA1" s="355">
        <f t="shared" si="5"/>
        <v>2052</v>
      </c>
      <c r="NB1" s="355">
        <f t="shared" si="5"/>
        <v>2052</v>
      </c>
      <c r="NC1" s="355">
        <f t="shared" si="5"/>
        <v>2052</v>
      </c>
      <c r="ND1" s="355">
        <f t="shared" si="5"/>
        <v>2052</v>
      </c>
      <c r="NE1" s="355">
        <f t="shared" si="5"/>
        <v>2052</v>
      </c>
      <c r="NF1" s="355">
        <f t="shared" si="5"/>
        <v>2052</v>
      </c>
      <c r="NG1" s="355">
        <f t="shared" si="5"/>
        <v>2052</v>
      </c>
    </row>
    <row r="2" spans="1:371" x14ac:dyDescent="0.25">
      <c r="D2" s="356">
        <v>44712</v>
      </c>
      <c r="E2" s="356">
        <v>44742</v>
      </c>
      <c r="F2" s="356">
        <v>44773</v>
      </c>
      <c r="G2" s="356">
        <v>44804</v>
      </c>
      <c r="H2" s="356">
        <v>44834</v>
      </c>
      <c r="I2" s="356">
        <v>44865</v>
      </c>
      <c r="J2" s="356">
        <v>44895</v>
      </c>
      <c r="K2" s="356">
        <v>44926</v>
      </c>
      <c r="L2" s="356">
        <v>44957</v>
      </c>
      <c r="M2" s="356">
        <v>44985</v>
      </c>
      <c r="N2" s="356">
        <v>45016</v>
      </c>
      <c r="O2" s="356">
        <v>45046</v>
      </c>
      <c r="P2" s="356">
        <v>45077</v>
      </c>
      <c r="Q2" s="356">
        <v>45107</v>
      </c>
      <c r="R2" s="356">
        <v>45138</v>
      </c>
      <c r="S2" s="356">
        <v>45169</v>
      </c>
      <c r="T2" s="356">
        <v>45199</v>
      </c>
      <c r="U2" s="356">
        <v>45230</v>
      </c>
      <c r="V2" s="356">
        <v>45260</v>
      </c>
      <c r="W2" s="356">
        <v>45291</v>
      </c>
      <c r="X2" s="356">
        <v>45322</v>
      </c>
      <c r="Y2" s="356">
        <v>45351</v>
      </c>
      <c r="Z2" s="356">
        <v>45382</v>
      </c>
      <c r="AA2" s="356">
        <v>45412</v>
      </c>
      <c r="AB2" s="356">
        <v>45443</v>
      </c>
      <c r="AC2" s="356">
        <v>45473</v>
      </c>
      <c r="AD2" s="356">
        <v>45504</v>
      </c>
      <c r="AE2" s="356">
        <v>45535</v>
      </c>
      <c r="AF2" s="356">
        <v>45565</v>
      </c>
      <c r="AG2" s="356">
        <v>45596</v>
      </c>
      <c r="AH2" s="356">
        <v>45626</v>
      </c>
      <c r="AI2" s="356">
        <v>45657</v>
      </c>
      <c r="AJ2" s="356">
        <v>45688</v>
      </c>
      <c r="AK2" s="356">
        <v>45716</v>
      </c>
      <c r="AL2" s="356">
        <v>45747</v>
      </c>
      <c r="AM2" s="356">
        <v>45777</v>
      </c>
      <c r="AN2" s="356">
        <v>45808</v>
      </c>
      <c r="AO2" s="356">
        <v>45838</v>
      </c>
      <c r="AP2" s="356">
        <v>45869</v>
      </c>
      <c r="AQ2" s="356">
        <v>45900</v>
      </c>
      <c r="AR2" s="356">
        <v>45930</v>
      </c>
      <c r="AS2" s="356">
        <v>45961</v>
      </c>
      <c r="AT2" s="356">
        <v>45991</v>
      </c>
      <c r="AU2" s="356">
        <v>46022</v>
      </c>
      <c r="AV2" s="356">
        <v>46053</v>
      </c>
      <c r="AW2" s="356">
        <v>46081</v>
      </c>
      <c r="AX2" s="356">
        <v>46112</v>
      </c>
      <c r="AY2" s="356">
        <v>46142</v>
      </c>
      <c r="AZ2" s="356">
        <v>46173</v>
      </c>
      <c r="BA2" s="356">
        <v>46203</v>
      </c>
      <c r="BB2" s="356">
        <v>46234</v>
      </c>
      <c r="BC2" s="356">
        <v>46265</v>
      </c>
      <c r="BD2" s="356">
        <v>46295</v>
      </c>
      <c r="BE2" s="356">
        <v>46326</v>
      </c>
      <c r="BF2" s="356">
        <v>46356</v>
      </c>
      <c r="BG2" s="356">
        <v>46387</v>
      </c>
      <c r="BH2" s="356">
        <v>46418</v>
      </c>
      <c r="BI2" s="356">
        <v>46446</v>
      </c>
      <c r="BJ2" s="356">
        <v>46477</v>
      </c>
      <c r="BK2" s="356">
        <v>46507</v>
      </c>
      <c r="BL2" s="356">
        <v>46538</v>
      </c>
      <c r="BM2" s="356">
        <v>46568</v>
      </c>
      <c r="BN2" s="356">
        <v>46599</v>
      </c>
      <c r="BO2" s="356">
        <v>46630</v>
      </c>
      <c r="BP2" s="356">
        <v>46660</v>
      </c>
      <c r="BQ2" s="356">
        <v>46691</v>
      </c>
      <c r="BR2" s="356">
        <v>46721</v>
      </c>
      <c r="BS2" s="356">
        <v>46752</v>
      </c>
      <c r="BT2" s="356">
        <v>46783</v>
      </c>
      <c r="BU2" s="356">
        <v>46812</v>
      </c>
      <c r="BV2" s="356">
        <v>46843</v>
      </c>
      <c r="BW2" s="356">
        <v>46873</v>
      </c>
      <c r="BX2" s="356">
        <v>46904</v>
      </c>
      <c r="BY2" s="356">
        <v>46934</v>
      </c>
      <c r="BZ2" s="356">
        <v>46965</v>
      </c>
      <c r="CA2" s="356">
        <v>46996</v>
      </c>
      <c r="CB2" s="356">
        <v>47026</v>
      </c>
      <c r="CC2" s="356">
        <v>47057</v>
      </c>
      <c r="CD2" s="356">
        <v>47087</v>
      </c>
      <c r="CE2" s="356">
        <v>47118</v>
      </c>
      <c r="CF2" s="356">
        <v>47149</v>
      </c>
      <c r="CG2" s="356">
        <v>47177</v>
      </c>
      <c r="CH2" s="356">
        <v>47208</v>
      </c>
      <c r="CI2" s="356">
        <v>47238</v>
      </c>
      <c r="CJ2" s="356">
        <v>47269</v>
      </c>
      <c r="CK2" s="356">
        <v>47299</v>
      </c>
      <c r="CL2" s="356">
        <v>47330</v>
      </c>
      <c r="CM2" s="356">
        <v>47361</v>
      </c>
      <c r="CN2" s="356">
        <v>47391</v>
      </c>
      <c r="CO2" s="356">
        <v>47422</v>
      </c>
      <c r="CP2" s="356">
        <v>47452</v>
      </c>
      <c r="CQ2" s="356">
        <v>47483</v>
      </c>
      <c r="CR2" s="356">
        <v>47514</v>
      </c>
      <c r="CS2" s="356">
        <v>47542</v>
      </c>
      <c r="CT2" s="356">
        <v>47573</v>
      </c>
      <c r="CU2" s="356">
        <v>47603</v>
      </c>
      <c r="CV2" s="356">
        <v>47634</v>
      </c>
      <c r="CW2" s="356">
        <v>47664</v>
      </c>
      <c r="CX2" s="356">
        <v>47695</v>
      </c>
      <c r="CY2" s="356">
        <v>47726</v>
      </c>
      <c r="CZ2" s="356">
        <v>47756</v>
      </c>
      <c r="DA2" s="356">
        <v>47787</v>
      </c>
      <c r="DB2" s="356">
        <v>47817</v>
      </c>
      <c r="DC2" s="356">
        <v>47848</v>
      </c>
      <c r="DD2" s="356">
        <v>47879</v>
      </c>
      <c r="DE2" s="356">
        <v>47907</v>
      </c>
      <c r="DF2" s="356">
        <v>47938</v>
      </c>
      <c r="DG2" s="356">
        <v>47968</v>
      </c>
      <c r="DH2" s="356">
        <v>47999</v>
      </c>
      <c r="DI2" s="356">
        <v>48029</v>
      </c>
      <c r="DJ2" s="356">
        <v>48060</v>
      </c>
      <c r="DK2" s="356">
        <v>48091</v>
      </c>
      <c r="DL2" s="356">
        <v>48121</v>
      </c>
      <c r="DM2" s="356">
        <v>48152</v>
      </c>
      <c r="DN2" s="356">
        <v>48182</v>
      </c>
      <c r="DO2" s="356">
        <v>48213</v>
      </c>
      <c r="DP2" s="356">
        <v>48244</v>
      </c>
      <c r="DQ2" s="356">
        <v>48273</v>
      </c>
      <c r="DR2" s="356">
        <v>48304</v>
      </c>
      <c r="DS2" s="356">
        <v>48334</v>
      </c>
      <c r="DT2" s="356">
        <v>48365</v>
      </c>
      <c r="DU2" s="356">
        <v>48395</v>
      </c>
      <c r="DV2" s="356">
        <v>48426</v>
      </c>
      <c r="DW2" s="356">
        <v>48457</v>
      </c>
      <c r="DX2" s="356">
        <v>48487</v>
      </c>
      <c r="DY2" s="356">
        <v>48518</v>
      </c>
      <c r="DZ2" s="356">
        <v>48548</v>
      </c>
      <c r="EA2" s="356">
        <v>48579</v>
      </c>
      <c r="EB2" s="356">
        <v>48610</v>
      </c>
      <c r="EC2" s="356">
        <v>48638</v>
      </c>
      <c r="ED2" s="356">
        <v>48669</v>
      </c>
      <c r="EE2" s="356">
        <v>48699</v>
      </c>
      <c r="EF2" s="356">
        <v>48730</v>
      </c>
      <c r="EG2" s="356">
        <v>48760</v>
      </c>
      <c r="EH2" s="356">
        <v>48791</v>
      </c>
      <c r="EI2" s="356">
        <v>48822</v>
      </c>
      <c r="EJ2" s="356">
        <v>48852</v>
      </c>
      <c r="EK2" s="356">
        <v>48883</v>
      </c>
      <c r="EL2" s="356">
        <v>48913</v>
      </c>
      <c r="EM2" s="356">
        <v>48944</v>
      </c>
      <c r="EN2" s="356">
        <v>48975</v>
      </c>
      <c r="EO2" s="356">
        <v>49003</v>
      </c>
      <c r="EP2" s="356">
        <v>49034</v>
      </c>
      <c r="EQ2" s="356">
        <v>49064</v>
      </c>
      <c r="ER2" s="356">
        <v>49095</v>
      </c>
      <c r="ES2" s="356">
        <v>49125</v>
      </c>
      <c r="ET2" s="356">
        <v>49156</v>
      </c>
      <c r="EU2" s="356">
        <v>49187</v>
      </c>
      <c r="EV2" s="356">
        <v>49217</v>
      </c>
      <c r="EW2" s="356">
        <v>49248</v>
      </c>
      <c r="EX2" s="356">
        <v>49278</v>
      </c>
      <c r="EY2" s="356">
        <v>49309</v>
      </c>
      <c r="EZ2" s="356">
        <v>49340</v>
      </c>
      <c r="FA2" s="356">
        <v>49368</v>
      </c>
      <c r="FB2" s="356">
        <v>49399</v>
      </c>
      <c r="FC2" s="356">
        <v>49429</v>
      </c>
      <c r="FD2" s="356">
        <v>49460</v>
      </c>
      <c r="FE2" s="356">
        <v>49490</v>
      </c>
      <c r="FF2" s="356">
        <v>49521</v>
      </c>
      <c r="FG2" s="356">
        <v>49552</v>
      </c>
      <c r="FH2" s="356">
        <v>49582</v>
      </c>
      <c r="FI2" s="356">
        <v>49613</v>
      </c>
      <c r="FJ2" s="356">
        <v>49643</v>
      </c>
      <c r="FK2" s="356">
        <v>49674</v>
      </c>
      <c r="FL2" s="356">
        <v>49705</v>
      </c>
      <c r="FM2" s="356">
        <v>49734</v>
      </c>
      <c r="FN2" s="356">
        <v>49765</v>
      </c>
      <c r="FO2" s="356">
        <v>49795</v>
      </c>
      <c r="FP2" s="356">
        <v>49826</v>
      </c>
      <c r="FQ2" s="356">
        <v>49856</v>
      </c>
      <c r="FR2" s="356">
        <v>49887</v>
      </c>
      <c r="FS2" s="356">
        <v>49918</v>
      </c>
      <c r="FT2" s="356">
        <v>49948</v>
      </c>
      <c r="FU2" s="356">
        <v>49979</v>
      </c>
      <c r="FV2" s="356">
        <v>50009</v>
      </c>
      <c r="FW2" s="356">
        <v>50040</v>
      </c>
      <c r="FX2" s="356">
        <v>50071</v>
      </c>
      <c r="FY2" s="356">
        <v>50099</v>
      </c>
      <c r="FZ2" s="356">
        <v>50130</v>
      </c>
      <c r="GA2" s="356">
        <v>50160</v>
      </c>
      <c r="GB2" s="356">
        <v>50191</v>
      </c>
      <c r="GC2" s="356">
        <v>50221</v>
      </c>
      <c r="GD2" s="356">
        <v>50252</v>
      </c>
      <c r="GE2" s="356">
        <v>50283</v>
      </c>
      <c r="GF2" s="356">
        <v>50313</v>
      </c>
      <c r="GG2" s="356">
        <v>50344</v>
      </c>
      <c r="GH2" s="356">
        <v>50374</v>
      </c>
      <c r="GI2" s="356">
        <v>50405</v>
      </c>
      <c r="GJ2" s="356">
        <v>50436</v>
      </c>
      <c r="GK2" s="356">
        <v>50464</v>
      </c>
      <c r="GL2" s="356">
        <v>50495</v>
      </c>
      <c r="GM2" s="356">
        <v>50525</v>
      </c>
      <c r="GN2" s="356">
        <v>50556</v>
      </c>
      <c r="GO2" s="356">
        <v>50586</v>
      </c>
      <c r="GP2" s="356">
        <v>50617</v>
      </c>
      <c r="GQ2" s="356">
        <v>50648</v>
      </c>
      <c r="GR2" s="356">
        <v>50678</v>
      </c>
      <c r="GS2" s="356">
        <v>50709</v>
      </c>
      <c r="GT2" s="356">
        <v>50739</v>
      </c>
      <c r="GU2" s="356">
        <v>50770</v>
      </c>
      <c r="GV2" s="356">
        <v>50801</v>
      </c>
      <c r="GW2" s="356">
        <v>50829</v>
      </c>
      <c r="GX2" s="356">
        <v>50860</v>
      </c>
      <c r="GY2" s="356">
        <v>50890</v>
      </c>
      <c r="GZ2" s="356">
        <v>50921</v>
      </c>
      <c r="HA2" s="356">
        <v>50951</v>
      </c>
      <c r="HB2" s="356">
        <v>50982</v>
      </c>
      <c r="HC2" s="356">
        <v>51013</v>
      </c>
      <c r="HD2" s="356">
        <v>51043</v>
      </c>
      <c r="HE2" s="356">
        <v>51074</v>
      </c>
      <c r="HF2" s="356">
        <v>51104</v>
      </c>
      <c r="HG2" s="356">
        <v>51135</v>
      </c>
      <c r="HH2" s="356">
        <v>51166</v>
      </c>
      <c r="HI2" s="356">
        <v>51195</v>
      </c>
      <c r="HJ2" s="356">
        <v>51226</v>
      </c>
      <c r="HK2" s="356">
        <v>51256</v>
      </c>
      <c r="HL2" s="356">
        <v>51287</v>
      </c>
      <c r="HM2" s="356">
        <v>51317</v>
      </c>
      <c r="HN2" s="356">
        <v>51348</v>
      </c>
      <c r="HO2" s="356">
        <v>51379</v>
      </c>
      <c r="HP2" s="356">
        <v>51409</v>
      </c>
      <c r="HQ2" s="356">
        <v>51440</v>
      </c>
      <c r="HR2" s="356">
        <v>51470</v>
      </c>
      <c r="HS2" s="356">
        <v>51501</v>
      </c>
      <c r="HT2" s="356">
        <v>51532</v>
      </c>
      <c r="HU2" s="356">
        <v>51560</v>
      </c>
      <c r="HV2" s="356">
        <v>51591</v>
      </c>
      <c r="HW2" s="356">
        <v>51621</v>
      </c>
      <c r="HX2" s="356">
        <v>51652</v>
      </c>
      <c r="HY2" s="356">
        <v>51682</v>
      </c>
      <c r="HZ2" s="356">
        <v>51713</v>
      </c>
      <c r="IA2" s="356">
        <v>51744</v>
      </c>
      <c r="IB2" s="356">
        <v>51774</v>
      </c>
      <c r="IC2" s="356">
        <v>51805</v>
      </c>
      <c r="ID2" s="356">
        <v>51835</v>
      </c>
      <c r="IE2" s="356">
        <v>51866</v>
      </c>
      <c r="IF2" s="356">
        <v>51897</v>
      </c>
      <c r="IG2" s="356">
        <v>51925</v>
      </c>
      <c r="IH2" s="356">
        <v>51956</v>
      </c>
      <c r="II2" s="356">
        <v>51986</v>
      </c>
      <c r="IJ2" s="356">
        <v>52017</v>
      </c>
      <c r="IK2" s="356">
        <v>52047</v>
      </c>
      <c r="IL2" s="356">
        <v>52078</v>
      </c>
      <c r="IM2" s="356">
        <v>52109</v>
      </c>
      <c r="IN2" s="356">
        <v>52139</v>
      </c>
      <c r="IO2" s="356">
        <v>52170</v>
      </c>
      <c r="IP2" s="356">
        <v>52200</v>
      </c>
      <c r="IQ2" s="356">
        <v>52231</v>
      </c>
      <c r="IR2" s="356">
        <v>52262</v>
      </c>
      <c r="IS2" s="356">
        <v>52290</v>
      </c>
      <c r="IT2" s="356">
        <v>52321</v>
      </c>
      <c r="IU2" s="356">
        <v>52351</v>
      </c>
      <c r="IV2" s="356">
        <v>52382</v>
      </c>
      <c r="IW2" s="356">
        <v>52412</v>
      </c>
      <c r="IX2" s="356">
        <v>52443</v>
      </c>
      <c r="IY2" s="356">
        <v>52474</v>
      </c>
      <c r="IZ2" s="356">
        <v>52504</v>
      </c>
      <c r="JA2" s="356">
        <v>52535</v>
      </c>
      <c r="JB2" s="356">
        <v>52565</v>
      </c>
      <c r="JC2" s="356">
        <v>52596</v>
      </c>
      <c r="JD2" s="356">
        <v>52627</v>
      </c>
      <c r="JE2" s="356">
        <v>52656</v>
      </c>
      <c r="JF2" s="356">
        <v>52687</v>
      </c>
      <c r="JG2" s="356">
        <v>52717</v>
      </c>
      <c r="JH2" s="356">
        <v>52748</v>
      </c>
      <c r="JI2" s="356">
        <v>52778</v>
      </c>
      <c r="JJ2" s="356">
        <v>52809</v>
      </c>
      <c r="JK2" s="356">
        <v>52840</v>
      </c>
      <c r="JL2" s="356">
        <v>52870</v>
      </c>
      <c r="JM2" s="356">
        <v>52901</v>
      </c>
      <c r="JN2" s="356">
        <v>52931</v>
      </c>
      <c r="JO2" s="356">
        <v>52962</v>
      </c>
      <c r="JP2" s="356">
        <v>52993</v>
      </c>
      <c r="JQ2" s="356">
        <v>53021</v>
      </c>
      <c r="JR2" s="356">
        <v>53052</v>
      </c>
      <c r="JS2" s="356">
        <v>53082</v>
      </c>
      <c r="JT2" s="356">
        <v>53113</v>
      </c>
      <c r="JU2" s="356">
        <v>53143</v>
      </c>
      <c r="JV2" s="356">
        <v>53174</v>
      </c>
      <c r="JW2" s="356">
        <v>53205</v>
      </c>
      <c r="JX2" s="356">
        <v>53235</v>
      </c>
      <c r="JY2" s="356">
        <v>53266</v>
      </c>
      <c r="JZ2" s="356">
        <v>53296</v>
      </c>
      <c r="KA2" s="356">
        <v>53327</v>
      </c>
      <c r="KB2" s="356">
        <v>53358</v>
      </c>
      <c r="KC2" s="356">
        <v>53386</v>
      </c>
      <c r="KD2" s="356">
        <v>53417</v>
      </c>
      <c r="KE2" s="356">
        <v>53447</v>
      </c>
      <c r="KF2" s="356">
        <v>53478</v>
      </c>
      <c r="KG2" s="356">
        <v>53508</v>
      </c>
      <c r="KH2" s="356">
        <v>53539</v>
      </c>
      <c r="KI2" s="356">
        <v>53570</v>
      </c>
      <c r="KJ2" s="356">
        <v>53600</v>
      </c>
      <c r="KK2" s="356">
        <v>53631</v>
      </c>
      <c r="KL2" s="356">
        <v>53661</v>
      </c>
      <c r="KM2" s="356">
        <v>53692</v>
      </c>
      <c r="KN2" s="356">
        <v>53723</v>
      </c>
      <c r="KO2" s="356">
        <v>53751</v>
      </c>
      <c r="KP2" s="356">
        <v>53782</v>
      </c>
      <c r="KQ2" s="356">
        <v>53812</v>
      </c>
      <c r="KR2" s="356">
        <v>53843</v>
      </c>
      <c r="KS2" s="356">
        <v>53873</v>
      </c>
      <c r="KT2" s="356">
        <v>53904</v>
      </c>
      <c r="KU2" s="356">
        <v>53935</v>
      </c>
      <c r="KV2" s="356">
        <v>53965</v>
      </c>
      <c r="KW2" s="356">
        <v>53996</v>
      </c>
      <c r="KX2" s="356">
        <v>54026</v>
      </c>
      <c r="KY2" s="356">
        <v>54057</v>
      </c>
      <c r="KZ2" s="356">
        <v>54088</v>
      </c>
      <c r="LA2" s="356">
        <v>54117</v>
      </c>
      <c r="LB2" s="356">
        <v>54148</v>
      </c>
      <c r="LC2" s="356">
        <v>54178</v>
      </c>
      <c r="LD2" s="356">
        <v>54209</v>
      </c>
      <c r="LE2" s="356">
        <v>54239</v>
      </c>
      <c r="LF2" s="356">
        <v>54270</v>
      </c>
      <c r="LG2" s="356">
        <v>54301</v>
      </c>
      <c r="LH2" s="356">
        <v>54331</v>
      </c>
      <c r="LI2" s="356">
        <v>54362</v>
      </c>
      <c r="LJ2" s="356">
        <v>54392</v>
      </c>
      <c r="LK2" s="356">
        <v>54423</v>
      </c>
      <c r="LL2" s="356">
        <v>54454</v>
      </c>
      <c r="LM2" s="356">
        <v>54482</v>
      </c>
      <c r="LN2" s="356">
        <v>54513</v>
      </c>
      <c r="LO2" s="356">
        <v>54543</v>
      </c>
      <c r="LP2" s="356">
        <v>54574</v>
      </c>
      <c r="LQ2" s="356">
        <v>54604</v>
      </c>
      <c r="LR2" s="356">
        <v>54635</v>
      </c>
      <c r="LS2" s="356">
        <v>54666</v>
      </c>
      <c r="LT2" s="356">
        <v>54696</v>
      </c>
      <c r="LU2" s="356">
        <v>54727</v>
      </c>
      <c r="LV2" s="356">
        <v>54757</v>
      </c>
      <c r="LW2" s="356">
        <v>54788</v>
      </c>
      <c r="LX2" s="356">
        <v>54819</v>
      </c>
      <c r="LY2" s="356">
        <v>54847</v>
      </c>
      <c r="LZ2" s="356">
        <v>54878</v>
      </c>
      <c r="MA2" s="356">
        <v>54908</v>
      </c>
      <c r="MB2" s="356">
        <v>54939</v>
      </c>
      <c r="MC2" s="356">
        <v>54969</v>
      </c>
      <c r="MD2" s="356">
        <v>55000</v>
      </c>
      <c r="ME2" s="356">
        <v>55031</v>
      </c>
      <c r="MF2" s="356">
        <v>55061</v>
      </c>
      <c r="MG2" s="356">
        <v>55092</v>
      </c>
      <c r="MH2" s="356">
        <v>55122</v>
      </c>
      <c r="MI2" s="356">
        <v>55153</v>
      </c>
      <c r="MJ2" s="356">
        <v>55184</v>
      </c>
      <c r="MK2" s="356">
        <v>55212</v>
      </c>
      <c r="ML2" s="356">
        <v>55243</v>
      </c>
      <c r="MM2" s="356">
        <v>55273</v>
      </c>
      <c r="MN2" s="356">
        <v>55304</v>
      </c>
      <c r="MO2" s="356">
        <v>55334</v>
      </c>
      <c r="MP2" s="356">
        <v>55365</v>
      </c>
      <c r="MQ2" s="356">
        <v>55396</v>
      </c>
      <c r="MR2" s="356">
        <v>55426</v>
      </c>
      <c r="MS2" s="356">
        <v>55457</v>
      </c>
      <c r="MT2" s="356">
        <v>55487</v>
      </c>
      <c r="MU2" s="356">
        <v>55518</v>
      </c>
      <c r="MV2" s="356">
        <v>55549</v>
      </c>
      <c r="MW2" s="356">
        <v>55578</v>
      </c>
      <c r="MX2" s="356">
        <v>55609</v>
      </c>
      <c r="MY2" s="356">
        <v>55639</v>
      </c>
      <c r="MZ2" s="356">
        <v>55670</v>
      </c>
      <c r="NA2" s="356">
        <v>55700</v>
      </c>
      <c r="NB2" s="356">
        <v>55731</v>
      </c>
      <c r="NC2" s="356">
        <v>55762</v>
      </c>
      <c r="ND2" s="356">
        <v>55792</v>
      </c>
      <c r="NE2" s="356">
        <v>55823</v>
      </c>
      <c r="NF2" s="356">
        <v>55853</v>
      </c>
      <c r="NG2" s="356">
        <v>55884</v>
      </c>
    </row>
    <row r="3" spans="1:371" x14ac:dyDescent="0.25">
      <c r="A3" s="357" t="s">
        <v>1</v>
      </c>
    </row>
    <row r="4" spans="1:371" x14ac:dyDescent="0.25">
      <c r="A4" s="357"/>
    </row>
    <row r="5" spans="1:371" x14ac:dyDescent="0.25">
      <c r="A5" s="357" t="s">
        <v>392</v>
      </c>
      <c r="D5" s="90" t="e">
        <v>#VALUE!</v>
      </c>
      <c r="E5" s="90" t="e">
        <v>#VALUE!</v>
      </c>
      <c r="F5" s="90" t="e">
        <v>#VALUE!</v>
      </c>
      <c r="G5" s="90" t="e">
        <v>#VALUE!</v>
      </c>
      <c r="H5" s="90" t="e">
        <v>#VALUE!</v>
      </c>
      <c r="I5" s="90" t="e">
        <v>#VALUE!</v>
      </c>
      <c r="J5" s="90" t="e">
        <v>#VALUE!</v>
      </c>
      <c r="K5" s="90" t="e">
        <v>#VALUE!</v>
      </c>
      <c r="L5" s="90" t="e">
        <v>#VALUE!</v>
      </c>
      <c r="M5" s="90" t="e">
        <v>#VALUE!</v>
      </c>
      <c r="N5" s="90" t="e">
        <v>#VALUE!</v>
      </c>
      <c r="O5" s="90" t="e">
        <v>#VALUE!</v>
      </c>
      <c r="P5" s="90" t="e">
        <v>#VALUE!</v>
      </c>
      <c r="Q5" s="90" t="e">
        <v>#VALUE!</v>
      </c>
      <c r="R5" s="90" t="e">
        <v>#VALUE!</v>
      </c>
      <c r="S5" s="90" t="e">
        <v>#VALUE!</v>
      </c>
      <c r="T5" s="90" t="e">
        <v>#VALUE!</v>
      </c>
      <c r="U5" s="90" t="e">
        <v>#VALUE!</v>
      </c>
      <c r="V5" s="90" t="e">
        <v>#VALUE!</v>
      </c>
      <c r="W5" s="90" t="e">
        <v>#VALUE!</v>
      </c>
      <c r="X5" s="90" t="e">
        <v>#VALUE!</v>
      </c>
      <c r="Y5" s="90" t="e">
        <v>#VALUE!</v>
      </c>
      <c r="Z5" s="90" t="e">
        <v>#VALUE!</v>
      </c>
      <c r="AA5" s="90" t="e">
        <v>#VALUE!</v>
      </c>
      <c r="AB5" s="90" t="e">
        <v>#VALUE!</v>
      </c>
      <c r="AC5" s="90" t="e">
        <v>#VALUE!</v>
      </c>
      <c r="AD5" s="90" t="e">
        <v>#VALUE!</v>
      </c>
      <c r="AE5" s="90" t="e">
        <v>#VALUE!</v>
      </c>
      <c r="AF5" s="90" t="e">
        <v>#VALUE!</v>
      </c>
      <c r="AG5" s="90" t="e">
        <v>#VALUE!</v>
      </c>
      <c r="AH5" s="90" t="e">
        <v>#VALUE!</v>
      </c>
      <c r="AI5" s="90" t="e">
        <v>#VALUE!</v>
      </c>
      <c r="AJ5" s="90" t="e">
        <v>#VALUE!</v>
      </c>
      <c r="AK5" s="90" t="e">
        <v>#VALUE!</v>
      </c>
      <c r="AL5" s="90" t="e">
        <v>#VALUE!</v>
      </c>
      <c r="AM5" s="90" t="e">
        <v>#VALUE!</v>
      </c>
      <c r="AN5" s="90" t="e">
        <v>#VALUE!</v>
      </c>
      <c r="AO5" s="90" t="e">
        <v>#VALUE!</v>
      </c>
      <c r="AP5" s="90" t="e">
        <v>#VALUE!</v>
      </c>
      <c r="AQ5" s="90" t="e">
        <v>#VALUE!</v>
      </c>
      <c r="AR5" s="90" t="e">
        <v>#VALUE!</v>
      </c>
      <c r="AS5" s="90" t="e">
        <v>#VALUE!</v>
      </c>
      <c r="AT5" s="90" t="e">
        <v>#VALUE!</v>
      </c>
      <c r="AU5" s="90" t="e">
        <v>#VALUE!</v>
      </c>
      <c r="AV5" s="90" t="e">
        <v>#VALUE!</v>
      </c>
      <c r="AW5" s="90" t="e">
        <v>#VALUE!</v>
      </c>
      <c r="AX5" s="90" t="e">
        <v>#VALUE!</v>
      </c>
      <c r="AY5" s="90" t="e">
        <v>#VALUE!</v>
      </c>
      <c r="AZ5" s="90" t="e">
        <v>#VALUE!</v>
      </c>
      <c r="BA5" s="90" t="e">
        <v>#VALUE!</v>
      </c>
      <c r="BB5" s="90" t="e">
        <v>#VALUE!</v>
      </c>
      <c r="BC5" s="90" t="e">
        <v>#VALUE!</v>
      </c>
      <c r="BD5" s="90" t="e">
        <v>#VALUE!</v>
      </c>
      <c r="BE5" s="90" t="e">
        <v>#VALUE!</v>
      </c>
      <c r="BF5" s="90" t="e">
        <v>#VALUE!</v>
      </c>
      <c r="BG5" s="90" t="e">
        <v>#VALUE!</v>
      </c>
      <c r="BH5" s="90" t="e">
        <v>#VALUE!</v>
      </c>
      <c r="BI5" s="90" t="e">
        <v>#VALUE!</v>
      </c>
      <c r="BJ5" s="90" t="e">
        <v>#VALUE!</v>
      </c>
      <c r="BK5" s="90" t="e">
        <v>#VALUE!</v>
      </c>
      <c r="BL5" s="90" t="e">
        <v>#VALUE!</v>
      </c>
      <c r="BM5" s="90" t="e">
        <v>#VALUE!</v>
      </c>
      <c r="BN5" s="90" t="e">
        <v>#VALUE!</v>
      </c>
      <c r="BO5" s="90" t="e">
        <v>#VALUE!</v>
      </c>
      <c r="BP5" s="90" t="e">
        <v>#VALUE!</v>
      </c>
      <c r="BQ5" s="90" t="e">
        <v>#VALUE!</v>
      </c>
      <c r="BR5" s="90" t="e">
        <v>#VALUE!</v>
      </c>
      <c r="BS5" s="90" t="e">
        <v>#VALUE!</v>
      </c>
      <c r="BT5" s="90" t="e">
        <v>#VALUE!</v>
      </c>
      <c r="BU5" s="90" t="e">
        <v>#VALUE!</v>
      </c>
      <c r="BV5" s="90" t="e">
        <v>#VALUE!</v>
      </c>
      <c r="BW5" s="90" t="e">
        <v>#VALUE!</v>
      </c>
      <c r="BX5" s="90" t="e">
        <v>#VALUE!</v>
      </c>
      <c r="BY5" s="90" t="e">
        <v>#VALUE!</v>
      </c>
      <c r="BZ5" s="90" t="e">
        <v>#VALUE!</v>
      </c>
      <c r="CA5" s="90" t="e">
        <v>#VALUE!</v>
      </c>
      <c r="CB5" s="90" t="e">
        <v>#VALUE!</v>
      </c>
      <c r="CC5" s="90" t="e">
        <v>#VALUE!</v>
      </c>
      <c r="CD5" s="90" t="e">
        <v>#VALUE!</v>
      </c>
      <c r="CE5" s="90" t="e">
        <v>#VALUE!</v>
      </c>
      <c r="CF5" s="90" t="e">
        <v>#VALUE!</v>
      </c>
      <c r="CG5" s="90" t="e">
        <v>#VALUE!</v>
      </c>
      <c r="CH5" s="90" t="e">
        <v>#VALUE!</v>
      </c>
      <c r="CI5" s="90" t="e">
        <v>#VALUE!</v>
      </c>
      <c r="CJ5" s="90" t="e">
        <v>#VALUE!</v>
      </c>
      <c r="CK5" s="90" t="e">
        <v>#VALUE!</v>
      </c>
      <c r="CL5" s="90" t="e">
        <v>#VALUE!</v>
      </c>
      <c r="CM5" s="90" t="e">
        <v>#VALUE!</v>
      </c>
      <c r="CN5" s="90" t="e">
        <v>#VALUE!</v>
      </c>
      <c r="CO5" s="90" t="e">
        <v>#VALUE!</v>
      </c>
      <c r="CP5" s="90" t="e">
        <v>#VALUE!</v>
      </c>
      <c r="CQ5" s="90" t="e">
        <v>#VALUE!</v>
      </c>
      <c r="CR5" s="90" t="e">
        <v>#VALUE!</v>
      </c>
      <c r="CS5" s="90" t="e">
        <v>#VALUE!</v>
      </c>
      <c r="CT5" s="90" t="e">
        <v>#VALUE!</v>
      </c>
      <c r="CU5" s="90" t="e">
        <v>#VALUE!</v>
      </c>
      <c r="CV5" s="90" t="e">
        <v>#VALUE!</v>
      </c>
      <c r="CW5" s="90" t="e">
        <v>#VALUE!</v>
      </c>
      <c r="CX5" s="90" t="e">
        <v>#VALUE!</v>
      </c>
      <c r="CY5" s="90" t="e">
        <v>#VALUE!</v>
      </c>
      <c r="CZ5" s="90" t="e">
        <v>#VALUE!</v>
      </c>
      <c r="DA5" s="90" t="e">
        <v>#VALUE!</v>
      </c>
      <c r="DB5" s="90" t="e">
        <v>#VALUE!</v>
      </c>
      <c r="DC5" s="90" t="e">
        <v>#VALUE!</v>
      </c>
      <c r="DD5" s="90" t="e">
        <v>#VALUE!</v>
      </c>
      <c r="DE5" s="90" t="e">
        <v>#VALUE!</v>
      </c>
      <c r="DF5" s="90" t="e">
        <v>#VALUE!</v>
      </c>
      <c r="DG5" s="90" t="e">
        <v>#VALUE!</v>
      </c>
      <c r="DH5" s="90" t="e">
        <v>#VALUE!</v>
      </c>
      <c r="DI5" s="90" t="e">
        <v>#VALUE!</v>
      </c>
      <c r="DJ5" s="90" t="e">
        <v>#VALUE!</v>
      </c>
      <c r="DK5" s="90" t="e">
        <v>#VALUE!</v>
      </c>
      <c r="DL5" s="90" t="e">
        <v>#VALUE!</v>
      </c>
      <c r="DM5" s="90" t="e">
        <v>#VALUE!</v>
      </c>
      <c r="DN5" s="90" t="e">
        <v>#VALUE!</v>
      </c>
      <c r="DO5" s="90" t="e">
        <v>#VALUE!</v>
      </c>
      <c r="DP5" s="90" t="e">
        <v>#VALUE!</v>
      </c>
      <c r="DQ5" s="90" t="e">
        <v>#VALUE!</v>
      </c>
      <c r="DR5" s="90" t="e">
        <v>#VALUE!</v>
      </c>
      <c r="DS5" s="90" t="e">
        <v>#VALUE!</v>
      </c>
      <c r="DT5" s="90" t="e">
        <v>#VALUE!</v>
      </c>
      <c r="DU5" s="90" t="e">
        <v>#VALUE!</v>
      </c>
      <c r="DV5" s="90" t="e">
        <v>#VALUE!</v>
      </c>
      <c r="DW5" s="90" t="e">
        <v>#VALUE!</v>
      </c>
      <c r="DX5" s="90" t="e">
        <v>#VALUE!</v>
      </c>
      <c r="DY5" s="90" t="e">
        <v>#VALUE!</v>
      </c>
      <c r="DZ5" s="90" t="e">
        <v>#VALUE!</v>
      </c>
      <c r="EA5" s="90" t="e">
        <v>#VALUE!</v>
      </c>
      <c r="EB5" s="90" t="e">
        <v>#VALUE!</v>
      </c>
      <c r="EC5" s="90" t="e">
        <v>#VALUE!</v>
      </c>
      <c r="ED5" s="90" t="e">
        <v>#VALUE!</v>
      </c>
      <c r="EE5" s="90" t="e">
        <v>#VALUE!</v>
      </c>
      <c r="EF5" s="90" t="e">
        <v>#VALUE!</v>
      </c>
      <c r="EG5" s="90" t="e">
        <v>#VALUE!</v>
      </c>
      <c r="EH5" s="90" t="e">
        <v>#VALUE!</v>
      </c>
      <c r="EI5" s="90" t="e">
        <v>#VALUE!</v>
      </c>
      <c r="EJ5" s="90" t="e">
        <v>#VALUE!</v>
      </c>
      <c r="EK5" s="90" t="e">
        <v>#VALUE!</v>
      </c>
      <c r="EL5" s="90" t="e">
        <v>#VALUE!</v>
      </c>
      <c r="EM5" s="90" t="e">
        <v>#VALUE!</v>
      </c>
      <c r="EN5" s="90" t="e">
        <v>#VALUE!</v>
      </c>
      <c r="EO5" s="90" t="e">
        <v>#VALUE!</v>
      </c>
      <c r="EP5" s="90" t="e">
        <v>#VALUE!</v>
      </c>
      <c r="EQ5" s="90" t="e">
        <v>#VALUE!</v>
      </c>
      <c r="ER5" s="90" t="e">
        <v>#VALUE!</v>
      </c>
      <c r="ES5" s="90" t="e">
        <v>#VALUE!</v>
      </c>
      <c r="ET5" s="90" t="e">
        <v>#VALUE!</v>
      </c>
      <c r="EU5" s="90" t="e">
        <v>#VALUE!</v>
      </c>
      <c r="EV5" s="90" t="e">
        <v>#VALUE!</v>
      </c>
      <c r="EW5" s="90" t="e">
        <v>#VALUE!</v>
      </c>
      <c r="EX5" s="90" t="e">
        <v>#VALUE!</v>
      </c>
      <c r="EY5" s="90" t="e">
        <v>#VALUE!</v>
      </c>
      <c r="EZ5" s="90" t="e">
        <v>#VALUE!</v>
      </c>
      <c r="FA5" s="90" t="e">
        <v>#VALUE!</v>
      </c>
      <c r="FB5" s="90" t="e">
        <v>#VALUE!</v>
      </c>
      <c r="FC5" s="90" t="e">
        <v>#VALUE!</v>
      </c>
      <c r="FD5" s="90" t="e">
        <v>#VALUE!</v>
      </c>
      <c r="FE5" s="90" t="e">
        <v>#VALUE!</v>
      </c>
      <c r="FF5" s="90" t="e">
        <v>#VALUE!</v>
      </c>
      <c r="FG5" s="90" t="e">
        <v>#VALUE!</v>
      </c>
      <c r="FH5" s="90" t="e">
        <v>#VALUE!</v>
      </c>
      <c r="FI5" s="90" t="e">
        <v>#VALUE!</v>
      </c>
      <c r="FJ5" s="90" t="e">
        <v>#VALUE!</v>
      </c>
      <c r="FK5" s="90" t="e">
        <v>#VALUE!</v>
      </c>
      <c r="FL5" s="90" t="e">
        <v>#VALUE!</v>
      </c>
      <c r="FM5" s="90" t="e">
        <v>#VALUE!</v>
      </c>
      <c r="FN5" s="90" t="e">
        <v>#VALUE!</v>
      </c>
      <c r="FO5" s="90" t="e">
        <v>#VALUE!</v>
      </c>
      <c r="FP5" s="90" t="e">
        <v>#VALUE!</v>
      </c>
      <c r="FQ5" s="90" t="e">
        <v>#VALUE!</v>
      </c>
      <c r="FR5" s="90" t="e">
        <v>#VALUE!</v>
      </c>
      <c r="FS5" s="90" t="e">
        <v>#VALUE!</v>
      </c>
      <c r="FT5" s="90" t="e">
        <v>#VALUE!</v>
      </c>
      <c r="FU5" s="90" t="e">
        <v>#VALUE!</v>
      </c>
      <c r="FV5" s="90" t="e">
        <v>#VALUE!</v>
      </c>
      <c r="FW5" s="90" t="e">
        <v>#VALUE!</v>
      </c>
      <c r="FX5" s="90" t="e">
        <v>#VALUE!</v>
      </c>
      <c r="FY5" s="90" t="e">
        <v>#VALUE!</v>
      </c>
      <c r="FZ5" s="90" t="e">
        <v>#VALUE!</v>
      </c>
      <c r="GA5" s="90" t="e">
        <v>#VALUE!</v>
      </c>
      <c r="GB5" s="90" t="e">
        <v>#VALUE!</v>
      </c>
      <c r="GC5" s="90" t="e">
        <v>#VALUE!</v>
      </c>
      <c r="GD5" s="90" t="e">
        <v>#VALUE!</v>
      </c>
      <c r="GE5" s="90" t="e">
        <v>#VALUE!</v>
      </c>
      <c r="GF5" s="90" t="e">
        <v>#VALUE!</v>
      </c>
      <c r="GG5" s="90" t="e">
        <v>#VALUE!</v>
      </c>
      <c r="GH5" s="90" t="e">
        <v>#VALUE!</v>
      </c>
      <c r="GI5" s="90" t="e">
        <v>#VALUE!</v>
      </c>
      <c r="GJ5" s="90" t="e">
        <v>#VALUE!</v>
      </c>
      <c r="GK5" s="90" t="e">
        <v>#VALUE!</v>
      </c>
      <c r="GL5" s="90" t="e">
        <v>#VALUE!</v>
      </c>
      <c r="GM5" s="90" t="e">
        <v>#VALUE!</v>
      </c>
      <c r="GN5" s="90" t="e">
        <v>#VALUE!</v>
      </c>
      <c r="GO5" s="90" t="e">
        <v>#VALUE!</v>
      </c>
      <c r="GP5" s="90" t="e">
        <v>#VALUE!</v>
      </c>
      <c r="GQ5" s="90" t="e">
        <v>#VALUE!</v>
      </c>
      <c r="GR5" s="90" t="e">
        <v>#VALUE!</v>
      </c>
      <c r="GS5" s="90" t="e">
        <v>#VALUE!</v>
      </c>
      <c r="GT5" s="90" t="e">
        <v>#VALUE!</v>
      </c>
      <c r="GU5" s="90" t="e">
        <v>#VALUE!</v>
      </c>
      <c r="GV5" s="90" t="e">
        <v>#VALUE!</v>
      </c>
      <c r="GW5" s="90" t="e">
        <v>#VALUE!</v>
      </c>
      <c r="GX5" s="90" t="e">
        <v>#VALUE!</v>
      </c>
      <c r="GY5" s="90" t="e">
        <v>#VALUE!</v>
      </c>
      <c r="GZ5" s="90" t="e">
        <v>#VALUE!</v>
      </c>
      <c r="HA5" s="90" t="e">
        <v>#VALUE!</v>
      </c>
      <c r="HB5" s="90" t="e">
        <v>#VALUE!</v>
      </c>
      <c r="HC5" s="90" t="e">
        <v>#VALUE!</v>
      </c>
      <c r="HD5" s="90" t="e">
        <v>#VALUE!</v>
      </c>
      <c r="HE5" s="90" t="e">
        <v>#VALUE!</v>
      </c>
      <c r="HF5" s="90" t="e">
        <v>#VALUE!</v>
      </c>
      <c r="HG5" s="90" t="e">
        <v>#VALUE!</v>
      </c>
      <c r="HH5" s="90" t="e">
        <v>#VALUE!</v>
      </c>
      <c r="HI5" s="90" t="e">
        <v>#VALUE!</v>
      </c>
      <c r="HJ5" s="90" t="e">
        <v>#VALUE!</v>
      </c>
      <c r="HK5" s="90" t="e">
        <v>#VALUE!</v>
      </c>
      <c r="HL5" s="90" t="e">
        <v>#VALUE!</v>
      </c>
      <c r="HM5" s="90" t="e">
        <v>#VALUE!</v>
      </c>
      <c r="HN5" s="90" t="e">
        <v>#VALUE!</v>
      </c>
      <c r="HO5" s="90" t="e">
        <v>#VALUE!</v>
      </c>
      <c r="HP5" s="90" t="e">
        <v>#VALUE!</v>
      </c>
      <c r="HQ5" s="90" t="e">
        <v>#VALUE!</v>
      </c>
      <c r="HR5" s="90" t="e">
        <v>#VALUE!</v>
      </c>
      <c r="HS5" s="90" t="e">
        <v>#VALUE!</v>
      </c>
      <c r="HT5" s="90" t="e">
        <v>#VALUE!</v>
      </c>
      <c r="HU5" s="90" t="e">
        <v>#VALUE!</v>
      </c>
      <c r="HV5" s="90" t="e">
        <v>#VALUE!</v>
      </c>
      <c r="HW5" s="90" t="e">
        <v>#VALUE!</v>
      </c>
      <c r="HX5" s="90" t="e">
        <v>#VALUE!</v>
      </c>
      <c r="HY5" s="90" t="e">
        <v>#VALUE!</v>
      </c>
      <c r="HZ5" s="90" t="e">
        <v>#VALUE!</v>
      </c>
      <c r="IA5" s="90" t="e">
        <v>#VALUE!</v>
      </c>
      <c r="IB5" s="90" t="e">
        <v>#VALUE!</v>
      </c>
      <c r="IC5" s="90" t="e">
        <v>#VALUE!</v>
      </c>
      <c r="ID5" s="90" t="e">
        <v>#VALUE!</v>
      </c>
      <c r="IE5" s="90" t="e">
        <v>#VALUE!</v>
      </c>
      <c r="IF5" s="90" t="e">
        <v>#VALUE!</v>
      </c>
      <c r="IG5" s="90" t="e">
        <v>#VALUE!</v>
      </c>
      <c r="IH5" s="90" t="e">
        <v>#VALUE!</v>
      </c>
      <c r="II5" s="90" t="e">
        <v>#VALUE!</v>
      </c>
      <c r="IJ5" s="90" t="e">
        <v>#VALUE!</v>
      </c>
      <c r="IK5" s="90" t="e">
        <v>#VALUE!</v>
      </c>
      <c r="IL5" s="90" t="e">
        <v>#VALUE!</v>
      </c>
      <c r="IM5" s="90" t="e">
        <v>#VALUE!</v>
      </c>
      <c r="IN5" s="90" t="e">
        <v>#VALUE!</v>
      </c>
      <c r="IO5" s="90" t="e">
        <v>#VALUE!</v>
      </c>
      <c r="IP5" s="90" t="e">
        <v>#VALUE!</v>
      </c>
      <c r="IQ5" s="90" t="e">
        <v>#VALUE!</v>
      </c>
      <c r="IR5" s="90" t="e">
        <v>#VALUE!</v>
      </c>
      <c r="IS5" s="90" t="e">
        <v>#VALUE!</v>
      </c>
      <c r="IT5" s="90" t="e">
        <v>#VALUE!</v>
      </c>
      <c r="IU5" s="90" t="e">
        <v>#VALUE!</v>
      </c>
      <c r="IV5" s="90" t="e">
        <v>#VALUE!</v>
      </c>
      <c r="IW5" s="90" t="e">
        <v>#VALUE!</v>
      </c>
      <c r="IX5" s="90" t="e">
        <v>#VALUE!</v>
      </c>
      <c r="IY5" s="90" t="e">
        <v>#VALUE!</v>
      </c>
      <c r="IZ5" s="90" t="e">
        <v>#VALUE!</v>
      </c>
      <c r="JA5" s="90" t="e">
        <v>#VALUE!</v>
      </c>
      <c r="JB5" s="90" t="e">
        <v>#VALUE!</v>
      </c>
      <c r="JC5" s="90" t="e">
        <v>#VALUE!</v>
      </c>
      <c r="JD5" s="90" t="e">
        <v>#VALUE!</v>
      </c>
      <c r="JE5" s="90" t="e">
        <v>#VALUE!</v>
      </c>
      <c r="JF5" s="90" t="e">
        <v>#VALUE!</v>
      </c>
      <c r="JG5" s="90" t="e">
        <v>#VALUE!</v>
      </c>
      <c r="JH5" s="90" t="e">
        <v>#VALUE!</v>
      </c>
      <c r="JI5" s="90" t="e">
        <v>#VALUE!</v>
      </c>
      <c r="JJ5" s="90" t="e">
        <v>#VALUE!</v>
      </c>
      <c r="JK5" s="90" t="e">
        <v>#VALUE!</v>
      </c>
      <c r="JL5" s="90" t="e">
        <v>#VALUE!</v>
      </c>
      <c r="JM5" s="90" t="e">
        <v>#VALUE!</v>
      </c>
      <c r="JN5" s="90" t="e">
        <v>#VALUE!</v>
      </c>
      <c r="JO5" s="90" t="e">
        <v>#VALUE!</v>
      </c>
      <c r="JP5" s="90" t="e">
        <v>#VALUE!</v>
      </c>
      <c r="JQ5" s="90" t="e">
        <v>#VALUE!</v>
      </c>
      <c r="JR5" s="90" t="e">
        <v>#VALUE!</v>
      </c>
      <c r="JS5" s="90" t="e">
        <v>#VALUE!</v>
      </c>
      <c r="JT5" s="90" t="e">
        <v>#VALUE!</v>
      </c>
      <c r="JU5" s="90" t="e">
        <v>#VALUE!</v>
      </c>
      <c r="JV5" s="90" t="e">
        <v>#VALUE!</v>
      </c>
      <c r="JW5" s="90" t="e">
        <v>#VALUE!</v>
      </c>
      <c r="JX5" s="90" t="e">
        <v>#VALUE!</v>
      </c>
      <c r="JY5" s="90" t="e">
        <v>#VALUE!</v>
      </c>
      <c r="JZ5" s="90" t="e">
        <v>#VALUE!</v>
      </c>
      <c r="KA5" s="90" t="e">
        <v>#VALUE!</v>
      </c>
      <c r="KB5" s="90" t="e">
        <v>#VALUE!</v>
      </c>
      <c r="KC5" s="90" t="e">
        <v>#VALUE!</v>
      </c>
      <c r="KD5" s="90" t="e">
        <v>#VALUE!</v>
      </c>
      <c r="KE5" s="90" t="e">
        <v>#VALUE!</v>
      </c>
      <c r="KF5" s="90" t="e">
        <v>#VALUE!</v>
      </c>
      <c r="KG5" s="90" t="e">
        <v>#VALUE!</v>
      </c>
      <c r="KH5" s="90" t="e">
        <v>#VALUE!</v>
      </c>
      <c r="KI5" s="90" t="e">
        <v>#VALUE!</v>
      </c>
      <c r="KJ5" s="90" t="e">
        <v>#VALUE!</v>
      </c>
      <c r="KK5" s="90" t="e">
        <v>#VALUE!</v>
      </c>
      <c r="KL5" s="90" t="e">
        <v>#VALUE!</v>
      </c>
      <c r="KM5" s="90" t="e">
        <v>#VALUE!</v>
      </c>
      <c r="KN5" s="90" t="e">
        <v>#VALUE!</v>
      </c>
      <c r="KO5" s="90" t="e">
        <v>#VALUE!</v>
      </c>
      <c r="KP5" s="90" t="e">
        <v>#VALUE!</v>
      </c>
      <c r="KQ5" s="90" t="e">
        <v>#VALUE!</v>
      </c>
      <c r="KR5" s="90" t="e">
        <v>#VALUE!</v>
      </c>
      <c r="KS5" s="90" t="e">
        <v>#VALUE!</v>
      </c>
      <c r="KT5" s="90" t="e">
        <v>#VALUE!</v>
      </c>
      <c r="KU5" s="90" t="e">
        <v>#VALUE!</v>
      </c>
      <c r="KV5" s="90" t="e">
        <v>#VALUE!</v>
      </c>
      <c r="KW5" s="90" t="e">
        <v>#VALUE!</v>
      </c>
      <c r="KX5" s="90" t="e">
        <v>#VALUE!</v>
      </c>
      <c r="KY5" s="90" t="e">
        <v>#VALUE!</v>
      </c>
      <c r="KZ5" s="90" t="e">
        <v>#VALUE!</v>
      </c>
      <c r="LA5" s="90" t="e">
        <v>#VALUE!</v>
      </c>
      <c r="LB5" s="90" t="e">
        <v>#VALUE!</v>
      </c>
      <c r="LC5" s="90" t="e">
        <v>#VALUE!</v>
      </c>
      <c r="LD5" s="90" t="e">
        <v>#VALUE!</v>
      </c>
      <c r="LE5" s="90" t="e">
        <v>#VALUE!</v>
      </c>
      <c r="LF5" s="90" t="e">
        <v>#VALUE!</v>
      </c>
      <c r="LG5" s="90" t="e">
        <v>#VALUE!</v>
      </c>
      <c r="LH5" s="90" t="e">
        <v>#VALUE!</v>
      </c>
      <c r="LI5" s="90" t="e">
        <v>#VALUE!</v>
      </c>
      <c r="LJ5" s="90" t="e">
        <v>#VALUE!</v>
      </c>
      <c r="LK5" s="90" t="e">
        <v>#VALUE!</v>
      </c>
      <c r="LL5" s="90" t="e">
        <v>#VALUE!</v>
      </c>
      <c r="LM5" s="90" t="e">
        <v>#VALUE!</v>
      </c>
      <c r="LN5" s="90" t="e">
        <v>#VALUE!</v>
      </c>
      <c r="LO5" s="90" t="e">
        <v>#VALUE!</v>
      </c>
      <c r="LP5" s="90" t="e">
        <v>#VALUE!</v>
      </c>
      <c r="LQ5" s="90" t="e">
        <v>#VALUE!</v>
      </c>
      <c r="LR5" s="90" t="e">
        <v>#VALUE!</v>
      </c>
      <c r="LS5" s="90" t="e">
        <v>#VALUE!</v>
      </c>
      <c r="LT5" s="90" t="e">
        <v>#VALUE!</v>
      </c>
      <c r="LU5" s="90" t="e">
        <v>#VALUE!</v>
      </c>
      <c r="LV5" s="90" t="e">
        <v>#VALUE!</v>
      </c>
      <c r="LW5" s="90" t="e">
        <v>#VALUE!</v>
      </c>
      <c r="LX5" s="90" t="e">
        <v>#VALUE!</v>
      </c>
      <c r="LY5" s="90" t="e">
        <v>#VALUE!</v>
      </c>
      <c r="LZ5" s="90" t="e">
        <v>#VALUE!</v>
      </c>
      <c r="MA5" s="90" t="e">
        <v>#VALUE!</v>
      </c>
      <c r="MB5" s="90" t="e">
        <v>#VALUE!</v>
      </c>
      <c r="MC5" s="90" t="e">
        <v>#VALUE!</v>
      </c>
      <c r="MD5" s="90" t="e">
        <v>#VALUE!</v>
      </c>
      <c r="ME5" s="90" t="e">
        <v>#VALUE!</v>
      </c>
      <c r="MF5" s="90" t="e">
        <v>#VALUE!</v>
      </c>
      <c r="MG5" s="90" t="e">
        <v>#VALUE!</v>
      </c>
      <c r="MH5" s="90" t="e">
        <v>#VALUE!</v>
      </c>
      <c r="MI5" s="90" t="e">
        <v>#VALUE!</v>
      </c>
      <c r="MJ5" s="90" t="e">
        <v>#VALUE!</v>
      </c>
      <c r="MK5" s="90" t="e">
        <v>#VALUE!</v>
      </c>
      <c r="ML5" s="90" t="e">
        <v>#VALUE!</v>
      </c>
      <c r="MM5" s="90" t="e">
        <v>#VALUE!</v>
      </c>
      <c r="MN5" s="90" t="e">
        <v>#VALUE!</v>
      </c>
      <c r="MO5" s="90" t="e">
        <v>#VALUE!</v>
      </c>
      <c r="MP5" s="90" t="e">
        <v>#VALUE!</v>
      </c>
      <c r="MQ5" s="90" t="e">
        <v>#VALUE!</v>
      </c>
      <c r="MR5" s="90" t="e">
        <v>#VALUE!</v>
      </c>
      <c r="MS5" s="90" t="e">
        <v>#VALUE!</v>
      </c>
      <c r="MT5" s="90" t="e">
        <v>#VALUE!</v>
      </c>
      <c r="MU5" s="90" t="e">
        <v>#VALUE!</v>
      </c>
      <c r="MV5" s="90" t="e">
        <v>#VALUE!</v>
      </c>
      <c r="MW5" s="90" t="e">
        <v>#VALUE!</v>
      </c>
      <c r="MX5" s="90" t="e">
        <v>#VALUE!</v>
      </c>
      <c r="MY5" s="90" t="e">
        <v>#VALUE!</v>
      </c>
      <c r="MZ5" s="90" t="e">
        <v>#VALUE!</v>
      </c>
      <c r="NA5" s="90" t="e">
        <v>#VALUE!</v>
      </c>
      <c r="NB5" s="90" t="e">
        <v>#VALUE!</v>
      </c>
      <c r="NC5" s="90" t="e">
        <v>#VALUE!</v>
      </c>
      <c r="ND5" s="90" t="e">
        <v>#VALUE!</v>
      </c>
      <c r="NE5" s="90" t="e">
        <v>#VALUE!</v>
      </c>
      <c r="NF5" s="90" t="e">
        <v>#VALUE!</v>
      </c>
      <c r="NG5" s="90" t="e">
        <v>#VALUE!</v>
      </c>
    </row>
    <row r="6" spans="1:371" x14ac:dyDescent="0.25">
      <c r="A6" s="357" t="s">
        <v>393</v>
      </c>
      <c r="D6" s="90" t="e">
        <v>#VALUE!</v>
      </c>
      <c r="E6" s="90" t="e">
        <v>#VALUE!</v>
      </c>
      <c r="F6" s="90" t="e">
        <v>#VALUE!</v>
      </c>
      <c r="G6" s="90" t="e">
        <v>#VALUE!</v>
      </c>
      <c r="H6" s="90" t="e">
        <v>#VALUE!</v>
      </c>
      <c r="I6" s="90" t="e">
        <v>#VALUE!</v>
      </c>
      <c r="J6" s="90" t="e">
        <v>#VALUE!</v>
      </c>
      <c r="K6" s="90" t="e">
        <v>#VALUE!</v>
      </c>
      <c r="L6" s="90" t="e">
        <v>#VALUE!</v>
      </c>
      <c r="M6" s="90" t="e">
        <v>#VALUE!</v>
      </c>
      <c r="N6" s="90" t="e">
        <v>#VALUE!</v>
      </c>
      <c r="O6" s="90" t="e">
        <v>#VALUE!</v>
      </c>
      <c r="P6" s="90" t="e">
        <v>#VALUE!</v>
      </c>
      <c r="Q6" s="90" t="e">
        <v>#VALUE!</v>
      </c>
      <c r="R6" s="90" t="e">
        <v>#VALUE!</v>
      </c>
      <c r="S6" s="90" t="e">
        <v>#VALUE!</v>
      </c>
      <c r="T6" s="90" t="e">
        <v>#VALUE!</v>
      </c>
      <c r="U6" s="90" t="e">
        <v>#VALUE!</v>
      </c>
      <c r="V6" s="90" t="e">
        <v>#VALUE!</v>
      </c>
      <c r="W6" s="90" t="e">
        <v>#VALUE!</v>
      </c>
      <c r="X6" s="90" t="e">
        <v>#VALUE!</v>
      </c>
      <c r="Y6" s="90" t="e">
        <v>#VALUE!</v>
      </c>
      <c r="Z6" s="90" t="e">
        <v>#VALUE!</v>
      </c>
      <c r="AA6" s="90" t="e">
        <v>#VALUE!</v>
      </c>
      <c r="AB6" s="90" t="e">
        <v>#VALUE!</v>
      </c>
      <c r="AC6" s="90" t="e">
        <v>#VALUE!</v>
      </c>
      <c r="AD6" s="90" t="e">
        <v>#VALUE!</v>
      </c>
      <c r="AE6" s="90" t="e">
        <v>#VALUE!</v>
      </c>
      <c r="AF6" s="90" t="e">
        <v>#VALUE!</v>
      </c>
      <c r="AG6" s="90" t="e">
        <v>#VALUE!</v>
      </c>
      <c r="AH6" s="90" t="e">
        <v>#VALUE!</v>
      </c>
      <c r="AI6" s="90" t="e">
        <v>#VALUE!</v>
      </c>
      <c r="AJ6" s="90" t="e">
        <v>#VALUE!</v>
      </c>
      <c r="AK6" s="90" t="e">
        <v>#VALUE!</v>
      </c>
      <c r="AL6" s="90" t="e">
        <v>#VALUE!</v>
      </c>
      <c r="AM6" s="90" t="e">
        <v>#VALUE!</v>
      </c>
      <c r="AN6" s="90" t="e">
        <v>#VALUE!</v>
      </c>
      <c r="AO6" s="90" t="e">
        <v>#VALUE!</v>
      </c>
      <c r="AP6" s="90" t="e">
        <v>#VALUE!</v>
      </c>
      <c r="AQ6" s="90" t="e">
        <v>#VALUE!</v>
      </c>
      <c r="AR6" s="90" t="e">
        <v>#VALUE!</v>
      </c>
      <c r="AS6" s="90" t="e">
        <v>#VALUE!</v>
      </c>
      <c r="AT6" s="90" t="e">
        <v>#VALUE!</v>
      </c>
      <c r="AU6" s="90" t="e">
        <v>#VALUE!</v>
      </c>
      <c r="AV6" s="90" t="e">
        <v>#VALUE!</v>
      </c>
      <c r="AW6" s="90" t="e">
        <v>#VALUE!</v>
      </c>
      <c r="AX6" s="90" t="e">
        <v>#VALUE!</v>
      </c>
      <c r="AY6" s="90" t="e">
        <v>#VALUE!</v>
      </c>
      <c r="AZ6" s="90" t="e">
        <v>#VALUE!</v>
      </c>
      <c r="BA6" s="90" t="e">
        <v>#VALUE!</v>
      </c>
      <c r="BB6" s="90" t="e">
        <v>#VALUE!</v>
      </c>
      <c r="BC6" s="90" t="e">
        <v>#VALUE!</v>
      </c>
      <c r="BD6" s="90" t="e">
        <v>#VALUE!</v>
      </c>
      <c r="BE6" s="90" t="e">
        <v>#VALUE!</v>
      </c>
      <c r="BF6" s="90" t="e">
        <v>#VALUE!</v>
      </c>
      <c r="BG6" s="90" t="e">
        <v>#VALUE!</v>
      </c>
      <c r="BH6" s="90" t="e">
        <v>#VALUE!</v>
      </c>
      <c r="BI6" s="90" t="e">
        <v>#VALUE!</v>
      </c>
      <c r="BJ6" s="90" t="e">
        <v>#VALUE!</v>
      </c>
      <c r="BK6" s="90" t="e">
        <v>#VALUE!</v>
      </c>
      <c r="BL6" s="90" t="e">
        <v>#VALUE!</v>
      </c>
      <c r="BM6" s="90" t="e">
        <v>#VALUE!</v>
      </c>
      <c r="BN6" s="90" t="e">
        <v>#VALUE!</v>
      </c>
      <c r="BO6" s="90" t="e">
        <v>#VALUE!</v>
      </c>
      <c r="BP6" s="90" t="e">
        <v>#VALUE!</v>
      </c>
      <c r="BQ6" s="90" t="e">
        <v>#VALUE!</v>
      </c>
      <c r="BR6" s="90" t="e">
        <v>#VALUE!</v>
      </c>
      <c r="BS6" s="90" t="e">
        <v>#VALUE!</v>
      </c>
      <c r="BT6" s="90" t="e">
        <v>#VALUE!</v>
      </c>
      <c r="BU6" s="90" t="e">
        <v>#VALUE!</v>
      </c>
      <c r="BV6" s="90" t="e">
        <v>#VALUE!</v>
      </c>
      <c r="BW6" s="90" t="e">
        <v>#VALUE!</v>
      </c>
      <c r="BX6" s="90" t="e">
        <v>#VALUE!</v>
      </c>
      <c r="BY6" s="90" t="e">
        <v>#VALUE!</v>
      </c>
      <c r="BZ6" s="90" t="e">
        <v>#VALUE!</v>
      </c>
      <c r="CA6" s="90" t="e">
        <v>#VALUE!</v>
      </c>
      <c r="CB6" s="90" t="e">
        <v>#VALUE!</v>
      </c>
      <c r="CC6" s="90" t="e">
        <v>#VALUE!</v>
      </c>
      <c r="CD6" s="90" t="e">
        <v>#VALUE!</v>
      </c>
      <c r="CE6" s="90" t="e">
        <v>#VALUE!</v>
      </c>
      <c r="CF6" s="90" t="e">
        <v>#VALUE!</v>
      </c>
      <c r="CG6" s="90" t="e">
        <v>#VALUE!</v>
      </c>
      <c r="CH6" s="90" t="e">
        <v>#VALUE!</v>
      </c>
      <c r="CI6" s="90" t="e">
        <v>#VALUE!</v>
      </c>
      <c r="CJ6" s="90" t="e">
        <v>#VALUE!</v>
      </c>
      <c r="CK6" s="90" t="e">
        <v>#VALUE!</v>
      </c>
      <c r="CL6" s="90" t="e">
        <v>#VALUE!</v>
      </c>
      <c r="CM6" s="90" t="e">
        <v>#VALUE!</v>
      </c>
      <c r="CN6" s="90" t="e">
        <v>#VALUE!</v>
      </c>
      <c r="CO6" s="90" t="e">
        <v>#VALUE!</v>
      </c>
      <c r="CP6" s="90" t="e">
        <v>#VALUE!</v>
      </c>
      <c r="CQ6" s="90" t="e">
        <v>#VALUE!</v>
      </c>
      <c r="CR6" s="90" t="e">
        <v>#VALUE!</v>
      </c>
      <c r="CS6" s="90" t="e">
        <v>#VALUE!</v>
      </c>
      <c r="CT6" s="90" t="e">
        <v>#VALUE!</v>
      </c>
      <c r="CU6" s="90" t="e">
        <v>#VALUE!</v>
      </c>
      <c r="CV6" s="90" t="e">
        <v>#VALUE!</v>
      </c>
      <c r="CW6" s="90" t="e">
        <v>#VALUE!</v>
      </c>
      <c r="CX6" s="90" t="e">
        <v>#VALUE!</v>
      </c>
      <c r="CY6" s="90" t="e">
        <v>#VALUE!</v>
      </c>
      <c r="CZ6" s="90" t="e">
        <v>#VALUE!</v>
      </c>
      <c r="DA6" s="90" t="e">
        <v>#VALUE!</v>
      </c>
      <c r="DB6" s="90" t="e">
        <v>#VALUE!</v>
      </c>
      <c r="DC6" s="90" t="e">
        <v>#VALUE!</v>
      </c>
      <c r="DD6" s="90" t="e">
        <v>#VALUE!</v>
      </c>
      <c r="DE6" s="90" t="e">
        <v>#VALUE!</v>
      </c>
      <c r="DF6" s="90" t="e">
        <v>#VALUE!</v>
      </c>
      <c r="DG6" s="90" t="e">
        <v>#VALUE!</v>
      </c>
      <c r="DH6" s="90" t="e">
        <v>#VALUE!</v>
      </c>
      <c r="DI6" s="90" t="e">
        <v>#VALUE!</v>
      </c>
      <c r="DJ6" s="90" t="e">
        <v>#VALUE!</v>
      </c>
      <c r="DK6" s="90" t="e">
        <v>#VALUE!</v>
      </c>
      <c r="DL6" s="90" t="e">
        <v>#VALUE!</v>
      </c>
      <c r="DM6" s="90" t="e">
        <v>#VALUE!</v>
      </c>
      <c r="DN6" s="90" t="e">
        <v>#VALUE!</v>
      </c>
      <c r="DO6" s="90" t="e">
        <v>#VALUE!</v>
      </c>
      <c r="DP6" s="90" t="e">
        <v>#VALUE!</v>
      </c>
      <c r="DQ6" s="90" t="e">
        <v>#VALUE!</v>
      </c>
      <c r="DR6" s="90" t="e">
        <v>#VALUE!</v>
      </c>
      <c r="DS6" s="90" t="e">
        <v>#VALUE!</v>
      </c>
      <c r="DT6" s="90" t="e">
        <v>#VALUE!</v>
      </c>
      <c r="DU6" s="90" t="e">
        <v>#VALUE!</v>
      </c>
      <c r="DV6" s="90" t="e">
        <v>#VALUE!</v>
      </c>
      <c r="DW6" s="90" t="e">
        <v>#VALUE!</v>
      </c>
      <c r="DX6" s="90" t="e">
        <v>#VALUE!</v>
      </c>
      <c r="DY6" s="90" t="e">
        <v>#VALUE!</v>
      </c>
      <c r="DZ6" s="90" t="e">
        <v>#VALUE!</v>
      </c>
      <c r="EA6" s="90" t="e">
        <v>#VALUE!</v>
      </c>
      <c r="EB6" s="90" t="e">
        <v>#VALUE!</v>
      </c>
      <c r="EC6" s="90" t="e">
        <v>#VALUE!</v>
      </c>
      <c r="ED6" s="90" t="e">
        <v>#VALUE!</v>
      </c>
      <c r="EE6" s="90" t="e">
        <v>#VALUE!</v>
      </c>
      <c r="EF6" s="90" t="e">
        <v>#VALUE!</v>
      </c>
      <c r="EG6" s="90" t="e">
        <v>#VALUE!</v>
      </c>
      <c r="EH6" s="90" t="e">
        <v>#VALUE!</v>
      </c>
      <c r="EI6" s="90" t="e">
        <v>#VALUE!</v>
      </c>
      <c r="EJ6" s="90" t="e">
        <v>#VALUE!</v>
      </c>
      <c r="EK6" s="90" t="e">
        <v>#VALUE!</v>
      </c>
      <c r="EL6" s="90" t="e">
        <v>#VALUE!</v>
      </c>
      <c r="EM6" s="90" t="e">
        <v>#VALUE!</v>
      </c>
      <c r="EN6" s="90" t="e">
        <v>#VALUE!</v>
      </c>
      <c r="EO6" s="90" t="e">
        <v>#VALUE!</v>
      </c>
      <c r="EP6" s="90" t="e">
        <v>#VALUE!</v>
      </c>
      <c r="EQ6" s="90" t="e">
        <v>#VALUE!</v>
      </c>
      <c r="ER6" s="90" t="e">
        <v>#VALUE!</v>
      </c>
      <c r="ES6" s="90" t="e">
        <v>#VALUE!</v>
      </c>
      <c r="ET6" s="90" t="e">
        <v>#VALUE!</v>
      </c>
      <c r="EU6" s="90" t="e">
        <v>#VALUE!</v>
      </c>
      <c r="EV6" s="90" t="e">
        <v>#VALUE!</v>
      </c>
      <c r="EW6" s="90" t="e">
        <v>#VALUE!</v>
      </c>
      <c r="EX6" s="90" t="e">
        <v>#VALUE!</v>
      </c>
      <c r="EY6" s="90" t="e">
        <v>#VALUE!</v>
      </c>
      <c r="EZ6" s="90" t="e">
        <v>#VALUE!</v>
      </c>
      <c r="FA6" s="90" t="e">
        <v>#VALUE!</v>
      </c>
      <c r="FB6" s="90" t="e">
        <v>#VALUE!</v>
      </c>
      <c r="FC6" s="90" t="e">
        <v>#VALUE!</v>
      </c>
      <c r="FD6" s="90" t="e">
        <v>#VALUE!</v>
      </c>
      <c r="FE6" s="90" t="e">
        <v>#VALUE!</v>
      </c>
      <c r="FF6" s="90" t="e">
        <v>#VALUE!</v>
      </c>
      <c r="FG6" s="90" t="e">
        <v>#VALUE!</v>
      </c>
      <c r="FH6" s="90" t="e">
        <v>#VALUE!</v>
      </c>
      <c r="FI6" s="90" t="e">
        <v>#VALUE!</v>
      </c>
      <c r="FJ6" s="90" t="e">
        <v>#VALUE!</v>
      </c>
      <c r="FK6" s="90" t="e">
        <v>#VALUE!</v>
      </c>
      <c r="FL6" s="90" t="e">
        <v>#VALUE!</v>
      </c>
      <c r="FM6" s="90" t="e">
        <v>#VALUE!</v>
      </c>
      <c r="FN6" s="90" t="e">
        <v>#VALUE!</v>
      </c>
      <c r="FO6" s="90" t="e">
        <v>#VALUE!</v>
      </c>
      <c r="FP6" s="90" t="e">
        <v>#VALUE!</v>
      </c>
      <c r="FQ6" s="90" t="e">
        <v>#VALUE!</v>
      </c>
      <c r="FR6" s="90" t="e">
        <v>#VALUE!</v>
      </c>
      <c r="FS6" s="90" t="e">
        <v>#VALUE!</v>
      </c>
      <c r="FT6" s="90" t="e">
        <v>#VALUE!</v>
      </c>
      <c r="FU6" s="90" t="e">
        <v>#VALUE!</v>
      </c>
      <c r="FV6" s="90" t="e">
        <v>#VALUE!</v>
      </c>
      <c r="FW6" s="90" t="e">
        <v>#VALUE!</v>
      </c>
      <c r="FX6" s="90" t="e">
        <v>#VALUE!</v>
      </c>
      <c r="FY6" s="90" t="e">
        <v>#VALUE!</v>
      </c>
      <c r="FZ6" s="90" t="e">
        <v>#VALUE!</v>
      </c>
      <c r="GA6" s="90" t="e">
        <v>#VALUE!</v>
      </c>
      <c r="GB6" s="90" t="e">
        <v>#VALUE!</v>
      </c>
      <c r="GC6" s="90" t="e">
        <v>#VALUE!</v>
      </c>
      <c r="GD6" s="90" t="e">
        <v>#VALUE!</v>
      </c>
      <c r="GE6" s="90" t="e">
        <v>#VALUE!</v>
      </c>
      <c r="GF6" s="90" t="e">
        <v>#VALUE!</v>
      </c>
      <c r="GG6" s="90" t="e">
        <v>#VALUE!</v>
      </c>
      <c r="GH6" s="90" t="e">
        <v>#VALUE!</v>
      </c>
      <c r="GI6" s="90" t="e">
        <v>#VALUE!</v>
      </c>
      <c r="GJ6" s="90" t="e">
        <v>#VALUE!</v>
      </c>
      <c r="GK6" s="90" t="e">
        <v>#VALUE!</v>
      </c>
      <c r="GL6" s="90" t="e">
        <v>#VALUE!</v>
      </c>
      <c r="GM6" s="90" t="e">
        <v>#VALUE!</v>
      </c>
      <c r="GN6" s="90" t="e">
        <v>#VALUE!</v>
      </c>
      <c r="GO6" s="90" t="e">
        <v>#VALUE!</v>
      </c>
      <c r="GP6" s="90" t="e">
        <v>#VALUE!</v>
      </c>
      <c r="GQ6" s="90" t="e">
        <v>#VALUE!</v>
      </c>
      <c r="GR6" s="90" t="e">
        <v>#VALUE!</v>
      </c>
      <c r="GS6" s="90" t="e">
        <v>#VALUE!</v>
      </c>
      <c r="GT6" s="90" t="e">
        <v>#VALUE!</v>
      </c>
      <c r="GU6" s="90" t="e">
        <v>#VALUE!</v>
      </c>
      <c r="GV6" s="90" t="e">
        <v>#VALUE!</v>
      </c>
      <c r="GW6" s="90" t="e">
        <v>#VALUE!</v>
      </c>
      <c r="GX6" s="90" t="e">
        <v>#VALUE!</v>
      </c>
      <c r="GY6" s="90" t="e">
        <v>#VALUE!</v>
      </c>
      <c r="GZ6" s="90" t="e">
        <v>#VALUE!</v>
      </c>
      <c r="HA6" s="90" t="e">
        <v>#VALUE!</v>
      </c>
      <c r="HB6" s="90" t="e">
        <v>#VALUE!</v>
      </c>
      <c r="HC6" s="90" t="e">
        <v>#VALUE!</v>
      </c>
      <c r="HD6" s="90" t="e">
        <v>#VALUE!</v>
      </c>
      <c r="HE6" s="90" t="e">
        <v>#VALUE!</v>
      </c>
      <c r="HF6" s="90" t="e">
        <v>#VALUE!</v>
      </c>
      <c r="HG6" s="90" t="e">
        <v>#VALUE!</v>
      </c>
      <c r="HH6" s="90" t="e">
        <v>#VALUE!</v>
      </c>
      <c r="HI6" s="90" t="e">
        <v>#VALUE!</v>
      </c>
      <c r="HJ6" s="90" t="e">
        <v>#VALUE!</v>
      </c>
      <c r="HK6" s="90" t="e">
        <v>#VALUE!</v>
      </c>
      <c r="HL6" s="90" t="e">
        <v>#VALUE!</v>
      </c>
      <c r="HM6" s="90" t="e">
        <v>#VALUE!</v>
      </c>
      <c r="HN6" s="90" t="e">
        <v>#VALUE!</v>
      </c>
      <c r="HO6" s="90" t="e">
        <v>#VALUE!</v>
      </c>
      <c r="HP6" s="90" t="e">
        <v>#VALUE!</v>
      </c>
      <c r="HQ6" s="90" t="e">
        <v>#VALUE!</v>
      </c>
      <c r="HR6" s="90" t="e">
        <v>#VALUE!</v>
      </c>
      <c r="HS6" s="90" t="e">
        <v>#VALUE!</v>
      </c>
      <c r="HT6" s="90" t="e">
        <v>#VALUE!</v>
      </c>
      <c r="HU6" s="90" t="e">
        <v>#VALUE!</v>
      </c>
      <c r="HV6" s="90" t="e">
        <v>#VALUE!</v>
      </c>
      <c r="HW6" s="90" t="e">
        <v>#VALUE!</v>
      </c>
      <c r="HX6" s="90" t="e">
        <v>#VALUE!</v>
      </c>
      <c r="HY6" s="90" t="e">
        <v>#VALUE!</v>
      </c>
      <c r="HZ6" s="90" t="e">
        <v>#VALUE!</v>
      </c>
      <c r="IA6" s="90" t="e">
        <v>#VALUE!</v>
      </c>
      <c r="IB6" s="90" t="e">
        <v>#VALUE!</v>
      </c>
      <c r="IC6" s="90" t="e">
        <v>#VALUE!</v>
      </c>
      <c r="ID6" s="90" t="e">
        <v>#VALUE!</v>
      </c>
      <c r="IE6" s="90" t="e">
        <v>#VALUE!</v>
      </c>
      <c r="IF6" s="90" t="e">
        <v>#VALUE!</v>
      </c>
      <c r="IG6" s="90" t="e">
        <v>#VALUE!</v>
      </c>
      <c r="IH6" s="90" t="e">
        <v>#VALUE!</v>
      </c>
      <c r="II6" s="90" t="e">
        <v>#VALUE!</v>
      </c>
      <c r="IJ6" s="90" t="e">
        <v>#VALUE!</v>
      </c>
      <c r="IK6" s="90" t="e">
        <v>#VALUE!</v>
      </c>
      <c r="IL6" s="90" t="e">
        <v>#VALUE!</v>
      </c>
      <c r="IM6" s="90" t="e">
        <v>#VALUE!</v>
      </c>
      <c r="IN6" s="90" t="e">
        <v>#VALUE!</v>
      </c>
      <c r="IO6" s="90" t="e">
        <v>#VALUE!</v>
      </c>
      <c r="IP6" s="90" t="e">
        <v>#VALUE!</v>
      </c>
      <c r="IQ6" s="90" t="e">
        <v>#VALUE!</v>
      </c>
      <c r="IR6" s="90" t="e">
        <v>#VALUE!</v>
      </c>
      <c r="IS6" s="90" t="e">
        <v>#VALUE!</v>
      </c>
      <c r="IT6" s="90" t="e">
        <v>#VALUE!</v>
      </c>
      <c r="IU6" s="90" t="e">
        <v>#VALUE!</v>
      </c>
      <c r="IV6" s="90" t="e">
        <v>#VALUE!</v>
      </c>
      <c r="IW6" s="90" t="e">
        <v>#VALUE!</v>
      </c>
      <c r="IX6" s="90" t="e">
        <v>#VALUE!</v>
      </c>
      <c r="IY6" s="90" t="e">
        <v>#VALUE!</v>
      </c>
      <c r="IZ6" s="90" t="e">
        <v>#VALUE!</v>
      </c>
      <c r="JA6" s="90" t="e">
        <v>#VALUE!</v>
      </c>
      <c r="JB6" s="90" t="e">
        <v>#VALUE!</v>
      </c>
      <c r="JC6" s="90" t="e">
        <v>#VALUE!</v>
      </c>
      <c r="JD6" s="90" t="e">
        <v>#VALUE!</v>
      </c>
      <c r="JE6" s="90" t="e">
        <v>#VALUE!</v>
      </c>
      <c r="JF6" s="90" t="e">
        <v>#VALUE!</v>
      </c>
      <c r="JG6" s="90" t="e">
        <v>#VALUE!</v>
      </c>
      <c r="JH6" s="90" t="e">
        <v>#VALUE!</v>
      </c>
      <c r="JI6" s="90" t="e">
        <v>#VALUE!</v>
      </c>
      <c r="JJ6" s="90" t="e">
        <v>#VALUE!</v>
      </c>
      <c r="JK6" s="90" t="e">
        <v>#VALUE!</v>
      </c>
      <c r="JL6" s="90" t="e">
        <v>#VALUE!</v>
      </c>
      <c r="JM6" s="90" t="e">
        <v>#VALUE!</v>
      </c>
      <c r="JN6" s="90" t="e">
        <v>#VALUE!</v>
      </c>
      <c r="JO6" s="90" t="e">
        <v>#VALUE!</v>
      </c>
      <c r="JP6" s="90" t="e">
        <v>#VALUE!</v>
      </c>
      <c r="JQ6" s="90" t="e">
        <v>#VALUE!</v>
      </c>
      <c r="JR6" s="90" t="e">
        <v>#VALUE!</v>
      </c>
      <c r="JS6" s="90" t="e">
        <v>#VALUE!</v>
      </c>
      <c r="JT6" s="90" t="e">
        <v>#VALUE!</v>
      </c>
      <c r="JU6" s="90" t="e">
        <v>#VALUE!</v>
      </c>
      <c r="JV6" s="90" t="e">
        <v>#VALUE!</v>
      </c>
      <c r="JW6" s="90" t="e">
        <v>#VALUE!</v>
      </c>
      <c r="JX6" s="90" t="e">
        <v>#VALUE!</v>
      </c>
      <c r="JY6" s="90" t="e">
        <v>#VALUE!</v>
      </c>
      <c r="JZ6" s="90" t="e">
        <v>#VALUE!</v>
      </c>
      <c r="KA6" s="90" t="e">
        <v>#VALUE!</v>
      </c>
      <c r="KB6" s="90" t="e">
        <v>#VALUE!</v>
      </c>
      <c r="KC6" s="90" t="e">
        <v>#VALUE!</v>
      </c>
      <c r="KD6" s="90" t="e">
        <v>#VALUE!</v>
      </c>
      <c r="KE6" s="90" t="e">
        <v>#VALUE!</v>
      </c>
      <c r="KF6" s="90" t="e">
        <v>#VALUE!</v>
      </c>
      <c r="KG6" s="90" t="e">
        <v>#VALUE!</v>
      </c>
      <c r="KH6" s="90" t="e">
        <v>#VALUE!</v>
      </c>
      <c r="KI6" s="90" t="e">
        <v>#VALUE!</v>
      </c>
      <c r="KJ6" s="90" t="e">
        <v>#VALUE!</v>
      </c>
      <c r="KK6" s="90" t="e">
        <v>#VALUE!</v>
      </c>
      <c r="KL6" s="90" t="e">
        <v>#VALUE!</v>
      </c>
      <c r="KM6" s="90" t="e">
        <v>#VALUE!</v>
      </c>
      <c r="KN6" s="90" t="e">
        <v>#VALUE!</v>
      </c>
      <c r="KO6" s="90" t="e">
        <v>#VALUE!</v>
      </c>
      <c r="KP6" s="90" t="e">
        <v>#VALUE!</v>
      </c>
      <c r="KQ6" s="90" t="e">
        <v>#VALUE!</v>
      </c>
      <c r="KR6" s="90" t="e">
        <v>#VALUE!</v>
      </c>
      <c r="KS6" s="90" t="e">
        <v>#VALUE!</v>
      </c>
      <c r="KT6" s="90" t="e">
        <v>#VALUE!</v>
      </c>
      <c r="KU6" s="90" t="e">
        <v>#VALUE!</v>
      </c>
      <c r="KV6" s="90" t="e">
        <v>#VALUE!</v>
      </c>
      <c r="KW6" s="90" t="e">
        <v>#VALUE!</v>
      </c>
      <c r="KX6" s="90" t="e">
        <v>#VALUE!</v>
      </c>
      <c r="KY6" s="90" t="e">
        <v>#VALUE!</v>
      </c>
      <c r="KZ6" s="90" t="e">
        <v>#VALUE!</v>
      </c>
      <c r="LA6" s="90" t="e">
        <v>#VALUE!</v>
      </c>
      <c r="LB6" s="90" t="e">
        <v>#VALUE!</v>
      </c>
      <c r="LC6" s="90" t="e">
        <v>#VALUE!</v>
      </c>
      <c r="LD6" s="90" t="e">
        <v>#VALUE!</v>
      </c>
      <c r="LE6" s="90" t="e">
        <v>#VALUE!</v>
      </c>
      <c r="LF6" s="90" t="e">
        <v>#VALUE!</v>
      </c>
      <c r="LG6" s="90" t="e">
        <v>#VALUE!</v>
      </c>
      <c r="LH6" s="90" t="e">
        <v>#VALUE!</v>
      </c>
      <c r="LI6" s="90" t="e">
        <v>#VALUE!</v>
      </c>
      <c r="LJ6" s="90" t="e">
        <v>#VALUE!</v>
      </c>
      <c r="LK6" s="90" t="e">
        <v>#VALUE!</v>
      </c>
      <c r="LL6" s="90" t="e">
        <v>#VALUE!</v>
      </c>
      <c r="LM6" s="90" t="e">
        <v>#VALUE!</v>
      </c>
      <c r="LN6" s="90" t="e">
        <v>#VALUE!</v>
      </c>
      <c r="LO6" s="90" t="e">
        <v>#VALUE!</v>
      </c>
      <c r="LP6" s="90" t="e">
        <v>#VALUE!</v>
      </c>
      <c r="LQ6" s="90" t="e">
        <v>#VALUE!</v>
      </c>
      <c r="LR6" s="90" t="e">
        <v>#VALUE!</v>
      </c>
      <c r="LS6" s="90" t="e">
        <v>#VALUE!</v>
      </c>
      <c r="LT6" s="90" t="e">
        <v>#VALUE!</v>
      </c>
      <c r="LU6" s="90" t="e">
        <v>#VALUE!</v>
      </c>
      <c r="LV6" s="90" t="e">
        <v>#VALUE!</v>
      </c>
      <c r="LW6" s="90" t="e">
        <v>#VALUE!</v>
      </c>
      <c r="LX6" s="90" t="e">
        <v>#VALUE!</v>
      </c>
      <c r="LY6" s="90" t="e">
        <v>#VALUE!</v>
      </c>
      <c r="LZ6" s="90" t="e">
        <v>#VALUE!</v>
      </c>
      <c r="MA6" s="90" t="e">
        <v>#VALUE!</v>
      </c>
      <c r="MB6" s="90" t="e">
        <v>#VALUE!</v>
      </c>
      <c r="MC6" s="90" t="e">
        <v>#VALUE!</v>
      </c>
      <c r="MD6" s="90" t="e">
        <v>#VALUE!</v>
      </c>
      <c r="ME6" s="90" t="e">
        <v>#VALUE!</v>
      </c>
      <c r="MF6" s="90" t="e">
        <v>#VALUE!</v>
      </c>
      <c r="MG6" s="90" t="e">
        <v>#VALUE!</v>
      </c>
      <c r="MH6" s="90" t="e">
        <v>#VALUE!</v>
      </c>
      <c r="MI6" s="90" t="e">
        <v>#VALUE!</v>
      </c>
      <c r="MJ6" s="90" t="e">
        <v>#VALUE!</v>
      </c>
      <c r="MK6" s="90" t="e">
        <v>#VALUE!</v>
      </c>
      <c r="ML6" s="90" t="e">
        <v>#VALUE!</v>
      </c>
      <c r="MM6" s="90" t="e">
        <v>#VALUE!</v>
      </c>
      <c r="MN6" s="90" t="e">
        <v>#VALUE!</v>
      </c>
      <c r="MO6" s="90" t="e">
        <v>#VALUE!</v>
      </c>
      <c r="MP6" s="90" t="e">
        <v>#VALUE!</v>
      </c>
      <c r="MQ6" s="90" t="e">
        <v>#VALUE!</v>
      </c>
      <c r="MR6" s="90" t="e">
        <v>#VALUE!</v>
      </c>
      <c r="MS6" s="90" t="e">
        <v>#VALUE!</v>
      </c>
      <c r="MT6" s="90" t="e">
        <v>#VALUE!</v>
      </c>
      <c r="MU6" s="90" t="e">
        <v>#VALUE!</v>
      </c>
      <c r="MV6" s="90" t="e">
        <v>#VALUE!</v>
      </c>
      <c r="MW6" s="90" t="e">
        <v>#VALUE!</v>
      </c>
      <c r="MX6" s="90" t="e">
        <v>#VALUE!</v>
      </c>
      <c r="MY6" s="90" t="e">
        <v>#VALUE!</v>
      </c>
      <c r="MZ6" s="90" t="e">
        <v>#VALUE!</v>
      </c>
      <c r="NA6" s="90" t="e">
        <v>#VALUE!</v>
      </c>
      <c r="NB6" s="90" t="e">
        <v>#VALUE!</v>
      </c>
      <c r="NC6" s="90" t="e">
        <v>#VALUE!</v>
      </c>
      <c r="ND6" s="90" t="e">
        <v>#VALUE!</v>
      </c>
      <c r="NE6" s="90" t="e">
        <v>#VALUE!</v>
      </c>
      <c r="NF6" s="90" t="e">
        <v>#VALUE!</v>
      </c>
      <c r="NG6" s="90" t="e">
        <v>#VALUE!</v>
      </c>
    </row>
    <row r="7" spans="1:371" x14ac:dyDescent="0.25">
      <c r="A7" s="357" t="s">
        <v>394</v>
      </c>
      <c r="D7" s="90" t="e">
        <f t="shared" ref="D7:BO7" si="6">SUM(D5:D6)</f>
        <v>#VALUE!</v>
      </c>
      <c r="E7" s="90" t="e">
        <f t="shared" si="6"/>
        <v>#VALUE!</v>
      </c>
      <c r="F7" s="90" t="e">
        <f t="shared" si="6"/>
        <v>#VALUE!</v>
      </c>
      <c r="G7" s="90" t="e">
        <f t="shared" si="6"/>
        <v>#VALUE!</v>
      </c>
      <c r="H7" s="90" t="e">
        <f t="shared" si="6"/>
        <v>#VALUE!</v>
      </c>
      <c r="I7" s="90" t="e">
        <f t="shared" si="6"/>
        <v>#VALUE!</v>
      </c>
      <c r="J7" s="90" t="e">
        <f t="shared" si="6"/>
        <v>#VALUE!</v>
      </c>
      <c r="K7" s="90" t="e">
        <f t="shared" si="6"/>
        <v>#VALUE!</v>
      </c>
      <c r="L7" s="90" t="e">
        <f t="shared" si="6"/>
        <v>#VALUE!</v>
      </c>
      <c r="M7" s="90" t="e">
        <f t="shared" si="6"/>
        <v>#VALUE!</v>
      </c>
      <c r="N7" s="90" t="e">
        <f t="shared" si="6"/>
        <v>#VALUE!</v>
      </c>
      <c r="O7" s="90" t="e">
        <f t="shared" si="6"/>
        <v>#VALUE!</v>
      </c>
      <c r="P7" s="90" t="e">
        <f t="shared" si="6"/>
        <v>#VALUE!</v>
      </c>
      <c r="Q7" s="90" t="e">
        <f t="shared" si="6"/>
        <v>#VALUE!</v>
      </c>
      <c r="R7" s="90" t="e">
        <f t="shared" si="6"/>
        <v>#VALUE!</v>
      </c>
      <c r="S7" s="90" t="e">
        <f t="shared" si="6"/>
        <v>#VALUE!</v>
      </c>
      <c r="T7" s="90" t="e">
        <f t="shared" si="6"/>
        <v>#VALUE!</v>
      </c>
      <c r="U7" s="90" t="e">
        <f t="shared" si="6"/>
        <v>#VALUE!</v>
      </c>
      <c r="V7" s="90" t="e">
        <f t="shared" si="6"/>
        <v>#VALUE!</v>
      </c>
      <c r="W7" s="90" t="e">
        <f t="shared" si="6"/>
        <v>#VALUE!</v>
      </c>
      <c r="X7" s="90" t="e">
        <f t="shared" si="6"/>
        <v>#VALUE!</v>
      </c>
      <c r="Y7" s="90" t="e">
        <f t="shared" si="6"/>
        <v>#VALUE!</v>
      </c>
      <c r="Z7" s="90" t="e">
        <f t="shared" si="6"/>
        <v>#VALUE!</v>
      </c>
      <c r="AA7" s="90" t="e">
        <f t="shared" si="6"/>
        <v>#VALUE!</v>
      </c>
      <c r="AB7" s="90" t="e">
        <f t="shared" si="6"/>
        <v>#VALUE!</v>
      </c>
      <c r="AC7" s="90" t="e">
        <f t="shared" si="6"/>
        <v>#VALUE!</v>
      </c>
      <c r="AD7" s="90" t="e">
        <f t="shared" si="6"/>
        <v>#VALUE!</v>
      </c>
      <c r="AE7" s="90" t="e">
        <f t="shared" si="6"/>
        <v>#VALUE!</v>
      </c>
      <c r="AF7" s="90" t="e">
        <f t="shared" si="6"/>
        <v>#VALUE!</v>
      </c>
      <c r="AG7" s="90" t="e">
        <f t="shared" si="6"/>
        <v>#VALUE!</v>
      </c>
      <c r="AH7" s="90" t="e">
        <f t="shared" si="6"/>
        <v>#VALUE!</v>
      </c>
      <c r="AI7" s="90" t="e">
        <f t="shared" si="6"/>
        <v>#VALUE!</v>
      </c>
      <c r="AJ7" s="90" t="e">
        <f t="shared" si="6"/>
        <v>#VALUE!</v>
      </c>
      <c r="AK7" s="90" t="e">
        <f t="shared" si="6"/>
        <v>#VALUE!</v>
      </c>
      <c r="AL7" s="90" t="e">
        <f t="shared" si="6"/>
        <v>#VALUE!</v>
      </c>
      <c r="AM7" s="90" t="e">
        <f t="shared" si="6"/>
        <v>#VALUE!</v>
      </c>
      <c r="AN7" s="90" t="e">
        <f t="shared" si="6"/>
        <v>#VALUE!</v>
      </c>
      <c r="AO7" s="90" t="e">
        <f t="shared" si="6"/>
        <v>#VALUE!</v>
      </c>
      <c r="AP7" s="90" t="e">
        <f t="shared" si="6"/>
        <v>#VALUE!</v>
      </c>
      <c r="AQ7" s="90" t="e">
        <f t="shared" si="6"/>
        <v>#VALUE!</v>
      </c>
      <c r="AR7" s="90" t="e">
        <f t="shared" si="6"/>
        <v>#VALUE!</v>
      </c>
      <c r="AS7" s="90" t="e">
        <f t="shared" si="6"/>
        <v>#VALUE!</v>
      </c>
      <c r="AT7" s="90" t="e">
        <f t="shared" si="6"/>
        <v>#VALUE!</v>
      </c>
      <c r="AU7" s="90" t="e">
        <f t="shared" si="6"/>
        <v>#VALUE!</v>
      </c>
      <c r="AV7" s="90" t="e">
        <f t="shared" si="6"/>
        <v>#VALUE!</v>
      </c>
      <c r="AW7" s="90" t="e">
        <f t="shared" si="6"/>
        <v>#VALUE!</v>
      </c>
      <c r="AX7" s="90" t="e">
        <f t="shared" si="6"/>
        <v>#VALUE!</v>
      </c>
      <c r="AY7" s="90" t="e">
        <f t="shared" si="6"/>
        <v>#VALUE!</v>
      </c>
      <c r="AZ7" s="90" t="e">
        <f t="shared" si="6"/>
        <v>#VALUE!</v>
      </c>
      <c r="BA7" s="90" t="e">
        <f t="shared" si="6"/>
        <v>#VALUE!</v>
      </c>
      <c r="BB7" s="90" t="e">
        <f t="shared" si="6"/>
        <v>#VALUE!</v>
      </c>
      <c r="BC7" s="90" t="e">
        <f t="shared" si="6"/>
        <v>#VALUE!</v>
      </c>
      <c r="BD7" s="90" t="e">
        <f t="shared" si="6"/>
        <v>#VALUE!</v>
      </c>
      <c r="BE7" s="90" t="e">
        <f t="shared" si="6"/>
        <v>#VALUE!</v>
      </c>
      <c r="BF7" s="90" t="e">
        <f t="shared" si="6"/>
        <v>#VALUE!</v>
      </c>
      <c r="BG7" s="90" t="e">
        <f t="shared" si="6"/>
        <v>#VALUE!</v>
      </c>
      <c r="BH7" s="90" t="e">
        <f t="shared" si="6"/>
        <v>#VALUE!</v>
      </c>
      <c r="BI7" s="90" t="e">
        <f t="shared" si="6"/>
        <v>#VALUE!</v>
      </c>
      <c r="BJ7" s="90" t="e">
        <f t="shared" si="6"/>
        <v>#VALUE!</v>
      </c>
      <c r="BK7" s="90" t="e">
        <f t="shared" si="6"/>
        <v>#VALUE!</v>
      </c>
      <c r="BL7" s="90" t="e">
        <f t="shared" si="6"/>
        <v>#VALUE!</v>
      </c>
      <c r="BM7" s="90" t="e">
        <f t="shared" si="6"/>
        <v>#VALUE!</v>
      </c>
      <c r="BN7" s="90" t="e">
        <f t="shared" si="6"/>
        <v>#VALUE!</v>
      </c>
      <c r="BO7" s="90" t="e">
        <f t="shared" si="6"/>
        <v>#VALUE!</v>
      </c>
      <c r="BP7" s="90" t="e">
        <f t="shared" ref="BP7:EA7" si="7">SUM(BP5:BP6)</f>
        <v>#VALUE!</v>
      </c>
      <c r="BQ7" s="90" t="e">
        <f t="shared" si="7"/>
        <v>#VALUE!</v>
      </c>
      <c r="BR7" s="90" t="e">
        <f t="shared" si="7"/>
        <v>#VALUE!</v>
      </c>
      <c r="BS7" s="90" t="e">
        <f t="shared" si="7"/>
        <v>#VALUE!</v>
      </c>
      <c r="BT7" s="90" t="e">
        <f t="shared" si="7"/>
        <v>#VALUE!</v>
      </c>
      <c r="BU7" s="90" t="e">
        <f t="shared" si="7"/>
        <v>#VALUE!</v>
      </c>
      <c r="BV7" s="90" t="e">
        <f t="shared" si="7"/>
        <v>#VALUE!</v>
      </c>
      <c r="BW7" s="90" t="e">
        <f t="shared" si="7"/>
        <v>#VALUE!</v>
      </c>
      <c r="BX7" s="90" t="e">
        <f t="shared" si="7"/>
        <v>#VALUE!</v>
      </c>
      <c r="BY7" s="90" t="e">
        <f t="shared" si="7"/>
        <v>#VALUE!</v>
      </c>
      <c r="BZ7" s="90" t="e">
        <f t="shared" si="7"/>
        <v>#VALUE!</v>
      </c>
      <c r="CA7" s="90" t="e">
        <f t="shared" si="7"/>
        <v>#VALUE!</v>
      </c>
      <c r="CB7" s="90" t="e">
        <f t="shared" si="7"/>
        <v>#VALUE!</v>
      </c>
      <c r="CC7" s="90" t="e">
        <f t="shared" si="7"/>
        <v>#VALUE!</v>
      </c>
      <c r="CD7" s="90" t="e">
        <f t="shared" si="7"/>
        <v>#VALUE!</v>
      </c>
      <c r="CE7" s="90" t="e">
        <f t="shared" si="7"/>
        <v>#VALUE!</v>
      </c>
      <c r="CF7" s="90" t="e">
        <f t="shared" si="7"/>
        <v>#VALUE!</v>
      </c>
      <c r="CG7" s="90" t="e">
        <f t="shared" si="7"/>
        <v>#VALUE!</v>
      </c>
      <c r="CH7" s="90" t="e">
        <f t="shared" si="7"/>
        <v>#VALUE!</v>
      </c>
      <c r="CI7" s="90" t="e">
        <f t="shared" si="7"/>
        <v>#VALUE!</v>
      </c>
      <c r="CJ7" s="90" t="e">
        <f t="shared" si="7"/>
        <v>#VALUE!</v>
      </c>
      <c r="CK7" s="90" t="e">
        <f t="shared" si="7"/>
        <v>#VALUE!</v>
      </c>
      <c r="CL7" s="90" t="e">
        <f t="shared" si="7"/>
        <v>#VALUE!</v>
      </c>
      <c r="CM7" s="90" t="e">
        <f t="shared" si="7"/>
        <v>#VALUE!</v>
      </c>
      <c r="CN7" s="90" t="e">
        <f t="shared" si="7"/>
        <v>#VALUE!</v>
      </c>
      <c r="CO7" s="90" t="e">
        <f t="shared" si="7"/>
        <v>#VALUE!</v>
      </c>
      <c r="CP7" s="90" t="e">
        <f t="shared" si="7"/>
        <v>#VALUE!</v>
      </c>
      <c r="CQ7" s="90" t="e">
        <f t="shared" si="7"/>
        <v>#VALUE!</v>
      </c>
      <c r="CR7" s="90" t="e">
        <f t="shared" si="7"/>
        <v>#VALUE!</v>
      </c>
      <c r="CS7" s="90" t="e">
        <f t="shared" si="7"/>
        <v>#VALUE!</v>
      </c>
      <c r="CT7" s="90" t="e">
        <f t="shared" si="7"/>
        <v>#VALUE!</v>
      </c>
      <c r="CU7" s="90" t="e">
        <f t="shared" si="7"/>
        <v>#VALUE!</v>
      </c>
      <c r="CV7" s="90" t="e">
        <f t="shared" si="7"/>
        <v>#VALUE!</v>
      </c>
      <c r="CW7" s="90" t="e">
        <f t="shared" si="7"/>
        <v>#VALUE!</v>
      </c>
      <c r="CX7" s="90" t="e">
        <f t="shared" si="7"/>
        <v>#VALUE!</v>
      </c>
      <c r="CY7" s="90" t="e">
        <f t="shared" si="7"/>
        <v>#VALUE!</v>
      </c>
      <c r="CZ7" s="90" t="e">
        <f t="shared" si="7"/>
        <v>#VALUE!</v>
      </c>
      <c r="DA7" s="90" t="e">
        <f t="shared" si="7"/>
        <v>#VALUE!</v>
      </c>
      <c r="DB7" s="90" t="e">
        <f t="shared" si="7"/>
        <v>#VALUE!</v>
      </c>
      <c r="DC7" s="90" t="e">
        <f t="shared" si="7"/>
        <v>#VALUE!</v>
      </c>
      <c r="DD7" s="90" t="e">
        <f t="shared" si="7"/>
        <v>#VALUE!</v>
      </c>
      <c r="DE7" s="90" t="e">
        <f t="shared" si="7"/>
        <v>#VALUE!</v>
      </c>
      <c r="DF7" s="90" t="e">
        <f t="shared" si="7"/>
        <v>#VALUE!</v>
      </c>
      <c r="DG7" s="90" t="e">
        <f t="shared" si="7"/>
        <v>#VALUE!</v>
      </c>
      <c r="DH7" s="90" t="e">
        <f t="shared" si="7"/>
        <v>#VALUE!</v>
      </c>
      <c r="DI7" s="90" t="e">
        <f t="shared" si="7"/>
        <v>#VALUE!</v>
      </c>
      <c r="DJ7" s="90" t="e">
        <f t="shared" si="7"/>
        <v>#VALUE!</v>
      </c>
      <c r="DK7" s="90" t="e">
        <f t="shared" si="7"/>
        <v>#VALUE!</v>
      </c>
      <c r="DL7" s="90" t="e">
        <f t="shared" si="7"/>
        <v>#VALUE!</v>
      </c>
      <c r="DM7" s="90" t="e">
        <f t="shared" si="7"/>
        <v>#VALUE!</v>
      </c>
      <c r="DN7" s="90" t="e">
        <f t="shared" si="7"/>
        <v>#VALUE!</v>
      </c>
      <c r="DO7" s="90" t="e">
        <f t="shared" si="7"/>
        <v>#VALUE!</v>
      </c>
      <c r="DP7" s="90" t="e">
        <f t="shared" si="7"/>
        <v>#VALUE!</v>
      </c>
      <c r="DQ7" s="90" t="e">
        <f t="shared" si="7"/>
        <v>#VALUE!</v>
      </c>
      <c r="DR7" s="90" t="e">
        <f t="shared" si="7"/>
        <v>#VALUE!</v>
      </c>
      <c r="DS7" s="90" t="e">
        <f t="shared" si="7"/>
        <v>#VALUE!</v>
      </c>
      <c r="DT7" s="90" t="e">
        <f t="shared" si="7"/>
        <v>#VALUE!</v>
      </c>
      <c r="DU7" s="90" t="e">
        <f t="shared" si="7"/>
        <v>#VALUE!</v>
      </c>
      <c r="DV7" s="90" t="e">
        <f t="shared" si="7"/>
        <v>#VALUE!</v>
      </c>
      <c r="DW7" s="90" t="e">
        <f t="shared" si="7"/>
        <v>#VALUE!</v>
      </c>
      <c r="DX7" s="90" t="e">
        <f t="shared" si="7"/>
        <v>#VALUE!</v>
      </c>
      <c r="DY7" s="90" t="e">
        <f t="shared" si="7"/>
        <v>#VALUE!</v>
      </c>
      <c r="DZ7" s="90" t="e">
        <f t="shared" si="7"/>
        <v>#VALUE!</v>
      </c>
      <c r="EA7" s="90" t="e">
        <f t="shared" si="7"/>
        <v>#VALUE!</v>
      </c>
      <c r="EB7" s="90" t="e">
        <f t="shared" ref="EB7:GM7" si="8">SUM(EB5:EB6)</f>
        <v>#VALUE!</v>
      </c>
      <c r="EC7" s="90" t="e">
        <f t="shared" si="8"/>
        <v>#VALUE!</v>
      </c>
      <c r="ED7" s="90" t="e">
        <f t="shared" si="8"/>
        <v>#VALUE!</v>
      </c>
      <c r="EE7" s="90" t="e">
        <f t="shared" si="8"/>
        <v>#VALUE!</v>
      </c>
      <c r="EF7" s="90" t="e">
        <f t="shared" si="8"/>
        <v>#VALUE!</v>
      </c>
      <c r="EG7" s="90" t="e">
        <f t="shared" si="8"/>
        <v>#VALUE!</v>
      </c>
      <c r="EH7" s="90" t="e">
        <f t="shared" si="8"/>
        <v>#VALUE!</v>
      </c>
      <c r="EI7" s="90" t="e">
        <f t="shared" si="8"/>
        <v>#VALUE!</v>
      </c>
      <c r="EJ7" s="90" t="e">
        <f t="shared" si="8"/>
        <v>#VALUE!</v>
      </c>
      <c r="EK7" s="90" t="e">
        <f t="shared" si="8"/>
        <v>#VALUE!</v>
      </c>
      <c r="EL7" s="90" t="e">
        <f t="shared" si="8"/>
        <v>#VALUE!</v>
      </c>
      <c r="EM7" s="90" t="e">
        <f t="shared" si="8"/>
        <v>#VALUE!</v>
      </c>
      <c r="EN7" s="90" t="e">
        <f t="shared" si="8"/>
        <v>#VALUE!</v>
      </c>
      <c r="EO7" s="90" t="e">
        <f t="shared" si="8"/>
        <v>#VALUE!</v>
      </c>
      <c r="EP7" s="90" t="e">
        <f t="shared" si="8"/>
        <v>#VALUE!</v>
      </c>
      <c r="EQ7" s="90" t="e">
        <f t="shared" si="8"/>
        <v>#VALUE!</v>
      </c>
      <c r="ER7" s="90" t="e">
        <f t="shared" si="8"/>
        <v>#VALUE!</v>
      </c>
      <c r="ES7" s="90" t="e">
        <f t="shared" si="8"/>
        <v>#VALUE!</v>
      </c>
      <c r="ET7" s="90" t="e">
        <f t="shared" si="8"/>
        <v>#VALUE!</v>
      </c>
      <c r="EU7" s="90" t="e">
        <f t="shared" si="8"/>
        <v>#VALUE!</v>
      </c>
      <c r="EV7" s="90" t="e">
        <f t="shared" si="8"/>
        <v>#VALUE!</v>
      </c>
      <c r="EW7" s="90" t="e">
        <f t="shared" si="8"/>
        <v>#VALUE!</v>
      </c>
      <c r="EX7" s="90" t="e">
        <f t="shared" si="8"/>
        <v>#VALUE!</v>
      </c>
      <c r="EY7" s="90" t="e">
        <f t="shared" si="8"/>
        <v>#VALUE!</v>
      </c>
      <c r="EZ7" s="90" t="e">
        <f t="shared" si="8"/>
        <v>#VALUE!</v>
      </c>
      <c r="FA7" s="90" t="e">
        <f t="shared" si="8"/>
        <v>#VALUE!</v>
      </c>
      <c r="FB7" s="90" t="e">
        <f t="shared" si="8"/>
        <v>#VALUE!</v>
      </c>
      <c r="FC7" s="90" t="e">
        <f t="shared" si="8"/>
        <v>#VALUE!</v>
      </c>
      <c r="FD7" s="90" t="e">
        <f t="shared" si="8"/>
        <v>#VALUE!</v>
      </c>
      <c r="FE7" s="90" t="e">
        <f t="shared" si="8"/>
        <v>#VALUE!</v>
      </c>
      <c r="FF7" s="90" t="e">
        <f t="shared" si="8"/>
        <v>#VALUE!</v>
      </c>
      <c r="FG7" s="90" t="e">
        <f t="shared" si="8"/>
        <v>#VALUE!</v>
      </c>
      <c r="FH7" s="90" t="e">
        <f t="shared" si="8"/>
        <v>#VALUE!</v>
      </c>
      <c r="FI7" s="90" t="e">
        <f t="shared" si="8"/>
        <v>#VALUE!</v>
      </c>
      <c r="FJ7" s="90" t="e">
        <f t="shared" si="8"/>
        <v>#VALUE!</v>
      </c>
      <c r="FK7" s="90" t="e">
        <f t="shared" si="8"/>
        <v>#VALUE!</v>
      </c>
      <c r="FL7" s="90" t="e">
        <f t="shared" si="8"/>
        <v>#VALUE!</v>
      </c>
      <c r="FM7" s="90" t="e">
        <f t="shared" si="8"/>
        <v>#VALUE!</v>
      </c>
      <c r="FN7" s="90" t="e">
        <f t="shared" si="8"/>
        <v>#VALUE!</v>
      </c>
      <c r="FO7" s="90" t="e">
        <f t="shared" si="8"/>
        <v>#VALUE!</v>
      </c>
      <c r="FP7" s="90" t="e">
        <f t="shared" si="8"/>
        <v>#VALUE!</v>
      </c>
      <c r="FQ7" s="90" t="e">
        <f t="shared" si="8"/>
        <v>#VALUE!</v>
      </c>
      <c r="FR7" s="90" t="e">
        <f t="shared" si="8"/>
        <v>#VALUE!</v>
      </c>
      <c r="FS7" s="90" t="e">
        <f t="shared" si="8"/>
        <v>#VALUE!</v>
      </c>
      <c r="FT7" s="90" t="e">
        <f t="shared" si="8"/>
        <v>#VALUE!</v>
      </c>
      <c r="FU7" s="90" t="e">
        <f t="shared" si="8"/>
        <v>#VALUE!</v>
      </c>
      <c r="FV7" s="90" t="e">
        <f t="shared" si="8"/>
        <v>#VALUE!</v>
      </c>
      <c r="FW7" s="90" t="e">
        <f t="shared" si="8"/>
        <v>#VALUE!</v>
      </c>
      <c r="FX7" s="90" t="e">
        <f t="shared" si="8"/>
        <v>#VALUE!</v>
      </c>
      <c r="FY7" s="90" t="e">
        <f t="shared" si="8"/>
        <v>#VALUE!</v>
      </c>
      <c r="FZ7" s="90" t="e">
        <f t="shared" si="8"/>
        <v>#VALUE!</v>
      </c>
      <c r="GA7" s="90" t="e">
        <f t="shared" si="8"/>
        <v>#VALUE!</v>
      </c>
      <c r="GB7" s="90" t="e">
        <f t="shared" si="8"/>
        <v>#VALUE!</v>
      </c>
      <c r="GC7" s="90" t="e">
        <f t="shared" si="8"/>
        <v>#VALUE!</v>
      </c>
      <c r="GD7" s="90" t="e">
        <f t="shared" si="8"/>
        <v>#VALUE!</v>
      </c>
      <c r="GE7" s="90" t="e">
        <f t="shared" si="8"/>
        <v>#VALUE!</v>
      </c>
      <c r="GF7" s="90" t="e">
        <f t="shared" si="8"/>
        <v>#VALUE!</v>
      </c>
      <c r="GG7" s="90" t="e">
        <f t="shared" si="8"/>
        <v>#VALUE!</v>
      </c>
      <c r="GH7" s="90" t="e">
        <f t="shared" si="8"/>
        <v>#VALUE!</v>
      </c>
      <c r="GI7" s="90" t="e">
        <f t="shared" si="8"/>
        <v>#VALUE!</v>
      </c>
      <c r="GJ7" s="90" t="e">
        <f t="shared" si="8"/>
        <v>#VALUE!</v>
      </c>
      <c r="GK7" s="90" t="e">
        <f t="shared" si="8"/>
        <v>#VALUE!</v>
      </c>
      <c r="GL7" s="90" t="e">
        <f t="shared" si="8"/>
        <v>#VALUE!</v>
      </c>
      <c r="GM7" s="90" t="e">
        <f t="shared" si="8"/>
        <v>#VALUE!</v>
      </c>
      <c r="GN7" s="90" t="e">
        <f t="shared" ref="GN7:IY7" si="9">SUM(GN5:GN6)</f>
        <v>#VALUE!</v>
      </c>
      <c r="GO7" s="90" t="e">
        <f t="shared" si="9"/>
        <v>#VALUE!</v>
      </c>
      <c r="GP7" s="90" t="e">
        <f t="shared" si="9"/>
        <v>#VALUE!</v>
      </c>
      <c r="GQ7" s="90" t="e">
        <f t="shared" si="9"/>
        <v>#VALUE!</v>
      </c>
      <c r="GR7" s="90" t="e">
        <f t="shared" si="9"/>
        <v>#VALUE!</v>
      </c>
      <c r="GS7" s="90" t="e">
        <f t="shared" si="9"/>
        <v>#VALUE!</v>
      </c>
      <c r="GT7" s="90" t="e">
        <f t="shared" si="9"/>
        <v>#VALUE!</v>
      </c>
      <c r="GU7" s="90" t="e">
        <f t="shared" si="9"/>
        <v>#VALUE!</v>
      </c>
      <c r="GV7" s="90" t="e">
        <f t="shared" si="9"/>
        <v>#VALUE!</v>
      </c>
      <c r="GW7" s="90" t="e">
        <f t="shared" si="9"/>
        <v>#VALUE!</v>
      </c>
      <c r="GX7" s="90" t="e">
        <f t="shared" si="9"/>
        <v>#VALUE!</v>
      </c>
      <c r="GY7" s="90" t="e">
        <f t="shared" si="9"/>
        <v>#VALUE!</v>
      </c>
      <c r="GZ7" s="90" t="e">
        <f t="shared" si="9"/>
        <v>#VALUE!</v>
      </c>
      <c r="HA7" s="90" t="e">
        <f t="shared" si="9"/>
        <v>#VALUE!</v>
      </c>
      <c r="HB7" s="90" t="e">
        <f t="shared" si="9"/>
        <v>#VALUE!</v>
      </c>
      <c r="HC7" s="90" t="e">
        <f t="shared" si="9"/>
        <v>#VALUE!</v>
      </c>
      <c r="HD7" s="90" t="e">
        <f t="shared" si="9"/>
        <v>#VALUE!</v>
      </c>
      <c r="HE7" s="90" t="e">
        <f t="shared" si="9"/>
        <v>#VALUE!</v>
      </c>
      <c r="HF7" s="90" t="e">
        <f t="shared" si="9"/>
        <v>#VALUE!</v>
      </c>
      <c r="HG7" s="90" t="e">
        <f t="shared" si="9"/>
        <v>#VALUE!</v>
      </c>
      <c r="HH7" s="90" t="e">
        <f t="shared" si="9"/>
        <v>#VALUE!</v>
      </c>
      <c r="HI7" s="90" t="e">
        <f t="shared" si="9"/>
        <v>#VALUE!</v>
      </c>
      <c r="HJ7" s="90" t="e">
        <f t="shared" si="9"/>
        <v>#VALUE!</v>
      </c>
      <c r="HK7" s="90" t="e">
        <f t="shared" si="9"/>
        <v>#VALUE!</v>
      </c>
      <c r="HL7" s="90" t="e">
        <f t="shared" si="9"/>
        <v>#VALUE!</v>
      </c>
      <c r="HM7" s="90" t="e">
        <f t="shared" si="9"/>
        <v>#VALUE!</v>
      </c>
      <c r="HN7" s="90" t="e">
        <f t="shared" si="9"/>
        <v>#VALUE!</v>
      </c>
      <c r="HO7" s="90" t="e">
        <f t="shared" si="9"/>
        <v>#VALUE!</v>
      </c>
      <c r="HP7" s="90" t="e">
        <f t="shared" si="9"/>
        <v>#VALUE!</v>
      </c>
      <c r="HQ7" s="90" t="e">
        <f t="shared" si="9"/>
        <v>#VALUE!</v>
      </c>
      <c r="HR7" s="90" t="e">
        <f t="shared" si="9"/>
        <v>#VALUE!</v>
      </c>
      <c r="HS7" s="90" t="e">
        <f t="shared" si="9"/>
        <v>#VALUE!</v>
      </c>
      <c r="HT7" s="90" t="e">
        <f t="shared" si="9"/>
        <v>#VALUE!</v>
      </c>
      <c r="HU7" s="90" t="e">
        <f t="shared" si="9"/>
        <v>#VALUE!</v>
      </c>
      <c r="HV7" s="90" t="e">
        <f t="shared" si="9"/>
        <v>#VALUE!</v>
      </c>
      <c r="HW7" s="90" t="e">
        <f t="shared" si="9"/>
        <v>#VALUE!</v>
      </c>
      <c r="HX7" s="90" t="e">
        <f t="shared" si="9"/>
        <v>#VALUE!</v>
      </c>
      <c r="HY7" s="90" t="e">
        <f t="shared" si="9"/>
        <v>#VALUE!</v>
      </c>
      <c r="HZ7" s="90" t="e">
        <f t="shared" si="9"/>
        <v>#VALUE!</v>
      </c>
      <c r="IA7" s="90" t="e">
        <f t="shared" si="9"/>
        <v>#VALUE!</v>
      </c>
      <c r="IB7" s="90" t="e">
        <f t="shared" si="9"/>
        <v>#VALUE!</v>
      </c>
      <c r="IC7" s="90" t="e">
        <f t="shared" si="9"/>
        <v>#VALUE!</v>
      </c>
      <c r="ID7" s="90" t="e">
        <f t="shared" si="9"/>
        <v>#VALUE!</v>
      </c>
      <c r="IE7" s="90" t="e">
        <f t="shared" si="9"/>
        <v>#VALUE!</v>
      </c>
      <c r="IF7" s="90" t="e">
        <f t="shared" si="9"/>
        <v>#VALUE!</v>
      </c>
      <c r="IG7" s="90" t="e">
        <f t="shared" si="9"/>
        <v>#VALUE!</v>
      </c>
      <c r="IH7" s="90" t="e">
        <f t="shared" si="9"/>
        <v>#VALUE!</v>
      </c>
      <c r="II7" s="90" t="e">
        <f t="shared" si="9"/>
        <v>#VALUE!</v>
      </c>
      <c r="IJ7" s="90" t="e">
        <f t="shared" si="9"/>
        <v>#VALUE!</v>
      </c>
      <c r="IK7" s="90" t="e">
        <f t="shared" si="9"/>
        <v>#VALUE!</v>
      </c>
      <c r="IL7" s="90" t="e">
        <f t="shared" si="9"/>
        <v>#VALUE!</v>
      </c>
      <c r="IM7" s="90" t="e">
        <f t="shared" si="9"/>
        <v>#VALUE!</v>
      </c>
      <c r="IN7" s="90" t="e">
        <f t="shared" si="9"/>
        <v>#VALUE!</v>
      </c>
      <c r="IO7" s="90" t="e">
        <f t="shared" si="9"/>
        <v>#VALUE!</v>
      </c>
      <c r="IP7" s="90" t="e">
        <f t="shared" si="9"/>
        <v>#VALUE!</v>
      </c>
      <c r="IQ7" s="90" t="e">
        <f t="shared" si="9"/>
        <v>#VALUE!</v>
      </c>
      <c r="IR7" s="90" t="e">
        <f t="shared" si="9"/>
        <v>#VALUE!</v>
      </c>
      <c r="IS7" s="90" t="e">
        <f t="shared" si="9"/>
        <v>#VALUE!</v>
      </c>
      <c r="IT7" s="90" t="e">
        <f t="shared" si="9"/>
        <v>#VALUE!</v>
      </c>
      <c r="IU7" s="90" t="e">
        <f t="shared" si="9"/>
        <v>#VALUE!</v>
      </c>
      <c r="IV7" s="90" t="e">
        <f t="shared" si="9"/>
        <v>#VALUE!</v>
      </c>
      <c r="IW7" s="90" t="e">
        <f t="shared" si="9"/>
        <v>#VALUE!</v>
      </c>
      <c r="IX7" s="90" t="e">
        <f t="shared" si="9"/>
        <v>#VALUE!</v>
      </c>
      <c r="IY7" s="90" t="e">
        <f t="shared" si="9"/>
        <v>#VALUE!</v>
      </c>
      <c r="IZ7" s="90" t="e">
        <f t="shared" ref="IZ7:LK7" si="10">SUM(IZ5:IZ6)</f>
        <v>#VALUE!</v>
      </c>
      <c r="JA7" s="90" t="e">
        <f t="shared" si="10"/>
        <v>#VALUE!</v>
      </c>
      <c r="JB7" s="90" t="e">
        <f t="shared" si="10"/>
        <v>#VALUE!</v>
      </c>
      <c r="JC7" s="90" t="e">
        <f t="shared" si="10"/>
        <v>#VALUE!</v>
      </c>
      <c r="JD7" s="90" t="e">
        <f t="shared" si="10"/>
        <v>#VALUE!</v>
      </c>
      <c r="JE7" s="90" t="e">
        <f t="shared" si="10"/>
        <v>#VALUE!</v>
      </c>
      <c r="JF7" s="90" t="e">
        <f t="shared" si="10"/>
        <v>#VALUE!</v>
      </c>
      <c r="JG7" s="90" t="e">
        <f t="shared" si="10"/>
        <v>#VALUE!</v>
      </c>
      <c r="JH7" s="90" t="e">
        <f t="shared" si="10"/>
        <v>#VALUE!</v>
      </c>
      <c r="JI7" s="90" t="e">
        <f t="shared" si="10"/>
        <v>#VALUE!</v>
      </c>
      <c r="JJ7" s="90" t="e">
        <f t="shared" si="10"/>
        <v>#VALUE!</v>
      </c>
      <c r="JK7" s="90" t="e">
        <f t="shared" si="10"/>
        <v>#VALUE!</v>
      </c>
      <c r="JL7" s="90" t="e">
        <f t="shared" si="10"/>
        <v>#VALUE!</v>
      </c>
      <c r="JM7" s="90" t="e">
        <f t="shared" si="10"/>
        <v>#VALUE!</v>
      </c>
      <c r="JN7" s="90" t="e">
        <f t="shared" si="10"/>
        <v>#VALUE!</v>
      </c>
      <c r="JO7" s="90" t="e">
        <f t="shared" si="10"/>
        <v>#VALUE!</v>
      </c>
      <c r="JP7" s="90" t="e">
        <f t="shared" si="10"/>
        <v>#VALUE!</v>
      </c>
      <c r="JQ7" s="90" t="e">
        <f t="shared" si="10"/>
        <v>#VALUE!</v>
      </c>
      <c r="JR7" s="90" t="e">
        <f t="shared" si="10"/>
        <v>#VALUE!</v>
      </c>
      <c r="JS7" s="90" t="e">
        <f t="shared" si="10"/>
        <v>#VALUE!</v>
      </c>
      <c r="JT7" s="90" t="e">
        <f t="shared" si="10"/>
        <v>#VALUE!</v>
      </c>
      <c r="JU7" s="90" t="e">
        <f t="shared" si="10"/>
        <v>#VALUE!</v>
      </c>
      <c r="JV7" s="90" t="e">
        <f t="shared" si="10"/>
        <v>#VALUE!</v>
      </c>
      <c r="JW7" s="90" t="e">
        <f t="shared" si="10"/>
        <v>#VALUE!</v>
      </c>
      <c r="JX7" s="90" t="e">
        <f t="shared" si="10"/>
        <v>#VALUE!</v>
      </c>
      <c r="JY7" s="90" t="e">
        <f t="shared" si="10"/>
        <v>#VALUE!</v>
      </c>
      <c r="JZ7" s="90" t="e">
        <f t="shared" si="10"/>
        <v>#VALUE!</v>
      </c>
      <c r="KA7" s="90" t="e">
        <f t="shared" si="10"/>
        <v>#VALUE!</v>
      </c>
      <c r="KB7" s="90" t="e">
        <f t="shared" si="10"/>
        <v>#VALUE!</v>
      </c>
      <c r="KC7" s="90" t="e">
        <f t="shared" si="10"/>
        <v>#VALUE!</v>
      </c>
      <c r="KD7" s="90" t="e">
        <f t="shared" si="10"/>
        <v>#VALUE!</v>
      </c>
      <c r="KE7" s="90" t="e">
        <f t="shared" si="10"/>
        <v>#VALUE!</v>
      </c>
      <c r="KF7" s="90" t="e">
        <f t="shared" si="10"/>
        <v>#VALUE!</v>
      </c>
      <c r="KG7" s="90" t="e">
        <f t="shared" si="10"/>
        <v>#VALUE!</v>
      </c>
      <c r="KH7" s="90" t="e">
        <f t="shared" si="10"/>
        <v>#VALUE!</v>
      </c>
      <c r="KI7" s="90" t="e">
        <f t="shared" si="10"/>
        <v>#VALUE!</v>
      </c>
      <c r="KJ7" s="90" t="e">
        <f t="shared" si="10"/>
        <v>#VALUE!</v>
      </c>
      <c r="KK7" s="90" t="e">
        <f t="shared" si="10"/>
        <v>#VALUE!</v>
      </c>
      <c r="KL7" s="90" t="e">
        <f t="shared" si="10"/>
        <v>#VALUE!</v>
      </c>
      <c r="KM7" s="90" t="e">
        <f t="shared" si="10"/>
        <v>#VALUE!</v>
      </c>
      <c r="KN7" s="90" t="e">
        <f t="shared" si="10"/>
        <v>#VALUE!</v>
      </c>
      <c r="KO7" s="90" t="e">
        <f t="shared" si="10"/>
        <v>#VALUE!</v>
      </c>
      <c r="KP7" s="90" t="e">
        <f t="shared" si="10"/>
        <v>#VALUE!</v>
      </c>
      <c r="KQ7" s="90" t="e">
        <f t="shared" si="10"/>
        <v>#VALUE!</v>
      </c>
      <c r="KR7" s="90" t="e">
        <f t="shared" si="10"/>
        <v>#VALUE!</v>
      </c>
      <c r="KS7" s="90" t="e">
        <f t="shared" si="10"/>
        <v>#VALUE!</v>
      </c>
      <c r="KT7" s="90" t="e">
        <f t="shared" si="10"/>
        <v>#VALUE!</v>
      </c>
      <c r="KU7" s="90" t="e">
        <f t="shared" si="10"/>
        <v>#VALUE!</v>
      </c>
      <c r="KV7" s="90" t="e">
        <f t="shared" si="10"/>
        <v>#VALUE!</v>
      </c>
      <c r="KW7" s="90" t="e">
        <f t="shared" si="10"/>
        <v>#VALUE!</v>
      </c>
      <c r="KX7" s="90" t="e">
        <f t="shared" si="10"/>
        <v>#VALUE!</v>
      </c>
      <c r="KY7" s="90" t="e">
        <f t="shared" si="10"/>
        <v>#VALUE!</v>
      </c>
      <c r="KZ7" s="90" t="e">
        <f t="shared" si="10"/>
        <v>#VALUE!</v>
      </c>
      <c r="LA7" s="90" t="e">
        <f t="shared" si="10"/>
        <v>#VALUE!</v>
      </c>
      <c r="LB7" s="90" t="e">
        <f t="shared" si="10"/>
        <v>#VALUE!</v>
      </c>
      <c r="LC7" s="90" t="e">
        <f t="shared" si="10"/>
        <v>#VALUE!</v>
      </c>
      <c r="LD7" s="90" t="e">
        <f t="shared" si="10"/>
        <v>#VALUE!</v>
      </c>
      <c r="LE7" s="90" t="e">
        <f t="shared" si="10"/>
        <v>#VALUE!</v>
      </c>
      <c r="LF7" s="90" t="e">
        <f t="shared" si="10"/>
        <v>#VALUE!</v>
      </c>
      <c r="LG7" s="90" t="e">
        <f t="shared" si="10"/>
        <v>#VALUE!</v>
      </c>
      <c r="LH7" s="90" t="e">
        <f t="shared" si="10"/>
        <v>#VALUE!</v>
      </c>
      <c r="LI7" s="90" t="e">
        <f t="shared" si="10"/>
        <v>#VALUE!</v>
      </c>
      <c r="LJ7" s="90" t="e">
        <f t="shared" si="10"/>
        <v>#VALUE!</v>
      </c>
      <c r="LK7" s="90" t="e">
        <f t="shared" si="10"/>
        <v>#VALUE!</v>
      </c>
      <c r="LL7" s="90" t="e">
        <f t="shared" ref="LL7:NG7" si="11">SUM(LL5:LL6)</f>
        <v>#VALUE!</v>
      </c>
      <c r="LM7" s="90" t="e">
        <f t="shared" si="11"/>
        <v>#VALUE!</v>
      </c>
      <c r="LN7" s="90" t="e">
        <f t="shared" si="11"/>
        <v>#VALUE!</v>
      </c>
      <c r="LO7" s="90" t="e">
        <f t="shared" si="11"/>
        <v>#VALUE!</v>
      </c>
      <c r="LP7" s="90" t="e">
        <f t="shared" si="11"/>
        <v>#VALUE!</v>
      </c>
      <c r="LQ7" s="90" t="e">
        <f t="shared" si="11"/>
        <v>#VALUE!</v>
      </c>
      <c r="LR7" s="90" t="e">
        <f t="shared" si="11"/>
        <v>#VALUE!</v>
      </c>
      <c r="LS7" s="90" t="e">
        <f t="shared" si="11"/>
        <v>#VALUE!</v>
      </c>
      <c r="LT7" s="90" t="e">
        <f t="shared" si="11"/>
        <v>#VALUE!</v>
      </c>
      <c r="LU7" s="90" t="e">
        <f t="shared" si="11"/>
        <v>#VALUE!</v>
      </c>
      <c r="LV7" s="90" t="e">
        <f t="shared" si="11"/>
        <v>#VALUE!</v>
      </c>
      <c r="LW7" s="90" t="e">
        <f t="shared" si="11"/>
        <v>#VALUE!</v>
      </c>
      <c r="LX7" s="90" t="e">
        <f t="shared" si="11"/>
        <v>#VALUE!</v>
      </c>
      <c r="LY7" s="90" t="e">
        <f t="shared" si="11"/>
        <v>#VALUE!</v>
      </c>
      <c r="LZ7" s="90" t="e">
        <f t="shared" si="11"/>
        <v>#VALUE!</v>
      </c>
      <c r="MA7" s="90" t="e">
        <f t="shared" si="11"/>
        <v>#VALUE!</v>
      </c>
      <c r="MB7" s="90" t="e">
        <f t="shared" si="11"/>
        <v>#VALUE!</v>
      </c>
      <c r="MC7" s="90" t="e">
        <f t="shared" si="11"/>
        <v>#VALUE!</v>
      </c>
      <c r="MD7" s="90" t="e">
        <f t="shared" si="11"/>
        <v>#VALUE!</v>
      </c>
      <c r="ME7" s="90" t="e">
        <f t="shared" si="11"/>
        <v>#VALUE!</v>
      </c>
      <c r="MF7" s="90" t="e">
        <f t="shared" si="11"/>
        <v>#VALUE!</v>
      </c>
      <c r="MG7" s="90" t="e">
        <f t="shared" si="11"/>
        <v>#VALUE!</v>
      </c>
      <c r="MH7" s="90" t="e">
        <f t="shared" si="11"/>
        <v>#VALUE!</v>
      </c>
      <c r="MI7" s="90" t="e">
        <f t="shared" si="11"/>
        <v>#VALUE!</v>
      </c>
      <c r="MJ7" s="90" t="e">
        <f t="shared" si="11"/>
        <v>#VALUE!</v>
      </c>
      <c r="MK7" s="90" t="e">
        <f t="shared" si="11"/>
        <v>#VALUE!</v>
      </c>
      <c r="ML7" s="90" t="e">
        <f t="shared" si="11"/>
        <v>#VALUE!</v>
      </c>
      <c r="MM7" s="90" t="e">
        <f t="shared" si="11"/>
        <v>#VALUE!</v>
      </c>
      <c r="MN7" s="90" t="e">
        <f t="shared" si="11"/>
        <v>#VALUE!</v>
      </c>
      <c r="MO7" s="90" t="e">
        <f t="shared" si="11"/>
        <v>#VALUE!</v>
      </c>
      <c r="MP7" s="90" t="e">
        <f t="shared" si="11"/>
        <v>#VALUE!</v>
      </c>
      <c r="MQ7" s="90" t="e">
        <f t="shared" si="11"/>
        <v>#VALUE!</v>
      </c>
      <c r="MR7" s="90" t="e">
        <f t="shared" si="11"/>
        <v>#VALUE!</v>
      </c>
      <c r="MS7" s="90" t="e">
        <f t="shared" si="11"/>
        <v>#VALUE!</v>
      </c>
      <c r="MT7" s="90" t="e">
        <f t="shared" si="11"/>
        <v>#VALUE!</v>
      </c>
      <c r="MU7" s="90" t="e">
        <f t="shared" si="11"/>
        <v>#VALUE!</v>
      </c>
      <c r="MV7" s="90" t="e">
        <f t="shared" si="11"/>
        <v>#VALUE!</v>
      </c>
      <c r="MW7" s="90" t="e">
        <f t="shared" si="11"/>
        <v>#VALUE!</v>
      </c>
      <c r="MX7" s="90" t="e">
        <f t="shared" si="11"/>
        <v>#VALUE!</v>
      </c>
      <c r="MY7" s="90" t="e">
        <f t="shared" si="11"/>
        <v>#VALUE!</v>
      </c>
      <c r="MZ7" s="90" t="e">
        <f t="shared" si="11"/>
        <v>#VALUE!</v>
      </c>
      <c r="NA7" s="90" t="e">
        <f t="shared" si="11"/>
        <v>#VALUE!</v>
      </c>
      <c r="NB7" s="90" t="e">
        <f t="shared" si="11"/>
        <v>#VALUE!</v>
      </c>
      <c r="NC7" s="90" t="e">
        <f t="shared" si="11"/>
        <v>#VALUE!</v>
      </c>
      <c r="ND7" s="90" t="e">
        <f t="shared" si="11"/>
        <v>#VALUE!</v>
      </c>
      <c r="NE7" s="90" t="e">
        <f t="shared" si="11"/>
        <v>#VALUE!</v>
      </c>
      <c r="NF7" s="90" t="e">
        <f t="shared" si="11"/>
        <v>#VALUE!</v>
      </c>
      <c r="NG7" s="90" t="e">
        <f t="shared" si="11"/>
        <v>#VALUE!</v>
      </c>
    </row>
    <row r="8" spans="1:371" x14ac:dyDescent="0.25">
      <c r="A8" s="357" t="s">
        <v>395</v>
      </c>
      <c r="D8" s="90" t="e">
        <v>#VALUE!</v>
      </c>
      <c r="E8" s="90" t="e">
        <v>#VALUE!</v>
      </c>
      <c r="F8" s="90" t="e">
        <v>#VALUE!</v>
      </c>
      <c r="G8" s="90" t="e">
        <v>#VALUE!</v>
      </c>
      <c r="H8" s="90" t="e">
        <v>#VALUE!</v>
      </c>
      <c r="I8" s="90" t="e">
        <v>#VALUE!</v>
      </c>
      <c r="J8" s="90" t="e">
        <v>#VALUE!</v>
      </c>
      <c r="K8" s="90" t="e">
        <v>#VALUE!</v>
      </c>
      <c r="L8" s="90" t="e">
        <v>#VALUE!</v>
      </c>
      <c r="M8" s="90" t="e">
        <v>#VALUE!</v>
      </c>
      <c r="N8" s="90" t="e">
        <v>#VALUE!</v>
      </c>
      <c r="O8" s="90" t="e">
        <v>#VALUE!</v>
      </c>
      <c r="P8" s="90" t="e">
        <v>#VALUE!</v>
      </c>
      <c r="Q8" s="90" t="e">
        <v>#VALUE!</v>
      </c>
      <c r="R8" s="90" t="e">
        <v>#VALUE!</v>
      </c>
      <c r="S8" s="90" t="e">
        <v>#VALUE!</v>
      </c>
      <c r="T8" s="90" t="e">
        <v>#VALUE!</v>
      </c>
      <c r="U8" s="90" t="e">
        <v>#VALUE!</v>
      </c>
      <c r="V8" s="90" t="e">
        <v>#VALUE!</v>
      </c>
      <c r="W8" s="90" t="e">
        <v>#VALUE!</v>
      </c>
      <c r="X8" s="90" t="e">
        <v>#VALUE!</v>
      </c>
      <c r="Y8" s="90" t="e">
        <v>#VALUE!</v>
      </c>
      <c r="Z8" s="90" t="e">
        <v>#VALUE!</v>
      </c>
      <c r="AA8" s="90" t="e">
        <v>#VALUE!</v>
      </c>
      <c r="AB8" s="90" t="e">
        <v>#VALUE!</v>
      </c>
      <c r="AC8" s="90" t="e">
        <v>#VALUE!</v>
      </c>
      <c r="AD8" s="90" t="e">
        <v>#VALUE!</v>
      </c>
      <c r="AE8" s="90" t="e">
        <v>#VALUE!</v>
      </c>
      <c r="AF8" s="90" t="e">
        <v>#VALUE!</v>
      </c>
      <c r="AG8" s="90" t="e">
        <v>#VALUE!</v>
      </c>
      <c r="AH8" s="90" t="e">
        <v>#VALUE!</v>
      </c>
      <c r="AI8" s="90" t="e">
        <v>#VALUE!</v>
      </c>
      <c r="AJ8" s="90" t="e">
        <v>#VALUE!</v>
      </c>
      <c r="AK8" s="90" t="e">
        <v>#VALUE!</v>
      </c>
      <c r="AL8" s="90" t="e">
        <v>#VALUE!</v>
      </c>
      <c r="AM8" s="90" t="e">
        <v>#VALUE!</v>
      </c>
      <c r="AN8" s="90" t="e">
        <v>#VALUE!</v>
      </c>
      <c r="AO8" s="90" t="e">
        <v>#VALUE!</v>
      </c>
      <c r="AP8" s="90" t="e">
        <v>#VALUE!</v>
      </c>
      <c r="AQ8" s="90" t="e">
        <v>#VALUE!</v>
      </c>
      <c r="AR8" s="90" t="e">
        <v>#VALUE!</v>
      </c>
      <c r="AS8" s="90" t="e">
        <v>#VALUE!</v>
      </c>
      <c r="AT8" s="90" t="e">
        <v>#VALUE!</v>
      </c>
      <c r="AU8" s="90" t="e">
        <v>#VALUE!</v>
      </c>
      <c r="AV8" s="90" t="e">
        <v>#VALUE!</v>
      </c>
      <c r="AW8" s="90" t="e">
        <v>#VALUE!</v>
      </c>
      <c r="AX8" s="90" t="e">
        <v>#VALUE!</v>
      </c>
      <c r="AY8" s="90" t="e">
        <v>#VALUE!</v>
      </c>
      <c r="AZ8" s="90" t="e">
        <v>#VALUE!</v>
      </c>
      <c r="BA8" s="90" t="e">
        <v>#VALUE!</v>
      </c>
      <c r="BB8" s="90" t="e">
        <v>#VALUE!</v>
      </c>
      <c r="BC8" s="90" t="e">
        <v>#VALUE!</v>
      </c>
      <c r="BD8" s="90" t="e">
        <v>#VALUE!</v>
      </c>
      <c r="BE8" s="90" t="e">
        <v>#VALUE!</v>
      </c>
      <c r="BF8" s="90" t="e">
        <v>#VALUE!</v>
      </c>
      <c r="BG8" s="90" t="e">
        <v>#VALUE!</v>
      </c>
      <c r="BH8" s="90" t="e">
        <v>#VALUE!</v>
      </c>
      <c r="BI8" s="90" t="e">
        <v>#VALUE!</v>
      </c>
      <c r="BJ8" s="90" t="e">
        <v>#VALUE!</v>
      </c>
      <c r="BK8" s="90" t="e">
        <v>#VALUE!</v>
      </c>
      <c r="BL8" s="90" t="e">
        <v>#VALUE!</v>
      </c>
      <c r="BM8" s="90" t="e">
        <v>#VALUE!</v>
      </c>
      <c r="BN8" s="90" t="e">
        <v>#VALUE!</v>
      </c>
      <c r="BO8" s="90" t="e">
        <v>#VALUE!</v>
      </c>
      <c r="BP8" s="90" t="e">
        <v>#VALUE!</v>
      </c>
      <c r="BQ8" s="90" t="e">
        <v>#VALUE!</v>
      </c>
      <c r="BR8" s="90" t="e">
        <v>#VALUE!</v>
      </c>
      <c r="BS8" s="90" t="e">
        <v>#VALUE!</v>
      </c>
      <c r="BT8" s="90" t="e">
        <v>#VALUE!</v>
      </c>
      <c r="BU8" s="90" t="e">
        <v>#VALUE!</v>
      </c>
      <c r="BV8" s="90" t="e">
        <v>#VALUE!</v>
      </c>
      <c r="BW8" s="90" t="e">
        <v>#VALUE!</v>
      </c>
      <c r="BX8" s="90" t="e">
        <v>#VALUE!</v>
      </c>
      <c r="BY8" s="90" t="e">
        <v>#VALUE!</v>
      </c>
      <c r="BZ8" s="90" t="e">
        <v>#VALUE!</v>
      </c>
      <c r="CA8" s="90" t="e">
        <v>#VALUE!</v>
      </c>
      <c r="CB8" s="90" t="e">
        <v>#VALUE!</v>
      </c>
      <c r="CC8" s="90" t="e">
        <v>#VALUE!</v>
      </c>
      <c r="CD8" s="90" t="e">
        <v>#VALUE!</v>
      </c>
      <c r="CE8" s="90" t="e">
        <v>#VALUE!</v>
      </c>
      <c r="CF8" s="90" t="e">
        <v>#VALUE!</v>
      </c>
      <c r="CG8" s="90" t="e">
        <v>#VALUE!</v>
      </c>
      <c r="CH8" s="90" t="e">
        <v>#VALUE!</v>
      </c>
      <c r="CI8" s="90" t="e">
        <v>#VALUE!</v>
      </c>
      <c r="CJ8" s="90" t="e">
        <v>#VALUE!</v>
      </c>
      <c r="CK8" s="90" t="e">
        <v>#VALUE!</v>
      </c>
      <c r="CL8" s="90" t="e">
        <v>#VALUE!</v>
      </c>
      <c r="CM8" s="90" t="e">
        <v>#VALUE!</v>
      </c>
      <c r="CN8" s="90" t="e">
        <v>#VALUE!</v>
      </c>
      <c r="CO8" s="90" t="e">
        <v>#VALUE!</v>
      </c>
      <c r="CP8" s="90" t="e">
        <v>#VALUE!</v>
      </c>
      <c r="CQ8" s="90" t="e">
        <v>#VALUE!</v>
      </c>
      <c r="CR8" s="90" t="e">
        <v>#VALUE!</v>
      </c>
      <c r="CS8" s="90" t="e">
        <v>#VALUE!</v>
      </c>
      <c r="CT8" s="90" t="e">
        <v>#VALUE!</v>
      </c>
      <c r="CU8" s="90" t="e">
        <v>#VALUE!</v>
      </c>
      <c r="CV8" s="90" t="e">
        <v>#VALUE!</v>
      </c>
      <c r="CW8" s="90" t="e">
        <v>#VALUE!</v>
      </c>
      <c r="CX8" s="90" t="e">
        <v>#VALUE!</v>
      </c>
      <c r="CY8" s="90" t="e">
        <v>#VALUE!</v>
      </c>
      <c r="CZ8" s="90" t="e">
        <v>#VALUE!</v>
      </c>
      <c r="DA8" s="90" t="e">
        <v>#VALUE!</v>
      </c>
      <c r="DB8" s="90" t="e">
        <v>#VALUE!</v>
      </c>
      <c r="DC8" s="90" t="e">
        <v>#VALUE!</v>
      </c>
      <c r="DD8" s="90" t="e">
        <v>#VALUE!</v>
      </c>
      <c r="DE8" s="90" t="e">
        <v>#VALUE!</v>
      </c>
      <c r="DF8" s="90" t="e">
        <v>#VALUE!</v>
      </c>
      <c r="DG8" s="90" t="e">
        <v>#VALUE!</v>
      </c>
      <c r="DH8" s="90" t="e">
        <v>#VALUE!</v>
      </c>
      <c r="DI8" s="90" t="e">
        <v>#VALUE!</v>
      </c>
      <c r="DJ8" s="90" t="e">
        <v>#VALUE!</v>
      </c>
      <c r="DK8" s="90" t="e">
        <v>#VALUE!</v>
      </c>
      <c r="DL8" s="90" t="e">
        <v>#VALUE!</v>
      </c>
      <c r="DM8" s="90" t="e">
        <v>#VALUE!</v>
      </c>
      <c r="DN8" s="90" t="e">
        <v>#VALUE!</v>
      </c>
      <c r="DO8" s="90" t="e">
        <v>#VALUE!</v>
      </c>
      <c r="DP8" s="90" t="e">
        <v>#VALUE!</v>
      </c>
      <c r="DQ8" s="90" t="e">
        <v>#VALUE!</v>
      </c>
      <c r="DR8" s="90" t="e">
        <v>#VALUE!</v>
      </c>
      <c r="DS8" s="90" t="e">
        <v>#VALUE!</v>
      </c>
      <c r="DT8" s="90" t="e">
        <v>#VALUE!</v>
      </c>
      <c r="DU8" s="90" t="e">
        <v>#VALUE!</v>
      </c>
      <c r="DV8" s="90" t="e">
        <v>#VALUE!</v>
      </c>
      <c r="DW8" s="90" t="e">
        <v>#VALUE!</v>
      </c>
      <c r="DX8" s="90" t="e">
        <v>#VALUE!</v>
      </c>
      <c r="DY8" s="90" t="e">
        <v>#VALUE!</v>
      </c>
      <c r="DZ8" s="90" t="e">
        <v>#VALUE!</v>
      </c>
      <c r="EA8" s="90" t="e">
        <v>#VALUE!</v>
      </c>
      <c r="EB8" s="90" t="e">
        <v>#VALUE!</v>
      </c>
      <c r="EC8" s="90" t="e">
        <v>#VALUE!</v>
      </c>
      <c r="ED8" s="90" t="e">
        <v>#VALUE!</v>
      </c>
      <c r="EE8" s="90" t="e">
        <v>#VALUE!</v>
      </c>
      <c r="EF8" s="90" t="e">
        <v>#VALUE!</v>
      </c>
      <c r="EG8" s="90" t="e">
        <v>#VALUE!</v>
      </c>
      <c r="EH8" s="90" t="e">
        <v>#VALUE!</v>
      </c>
      <c r="EI8" s="90" t="e">
        <v>#VALUE!</v>
      </c>
      <c r="EJ8" s="90" t="e">
        <v>#VALUE!</v>
      </c>
      <c r="EK8" s="90" t="e">
        <v>#VALUE!</v>
      </c>
      <c r="EL8" s="90" t="e">
        <v>#VALUE!</v>
      </c>
      <c r="EM8" s="90" t="e">
        <v>#VALUE!</v>
      </c>
      <c r="EN8" s="90" t="e">
        <v>#VALUE!</v>
      </c>
      <c r="EO8" s="90" t="e">
        <v>#VALUE!</v>
      </c>
      <c r="EP8" s="90" t="e">
        <v>#VALUE!</v>
      </c>
      <c r="EQ8" s="90" t="e">
        <v>#VALUE!</v>
      </c>
      <c r="ER8" s="90" t="e">
        <v>#VALUE!</v>
      </c>
      <c r="ES8" s="90" t="e">
        <v>#VALUE!</v>
      </c>
      <c r="ET8" s="90" t="e">
        <v>#VALUE!</v>
      </c>
      <c r="EU8" s="90" t="e">
        <v>#VALUE!</v>
      </c>
      <c r="EV8" s="90" t="e">
        <v>#VALUE!</v>
      </c>
      <c r="EW8" s="90" t="e">
        <v>#VALUE!</v>
      </c>
      <c r="EX8" s="90" t="e">
        <v>#VALUE!</v>
      </c>
      <c r="EY8" s="90" t="e">
        <v>#VALUE!</v>
      </c>
      <c r="EZ8" s="90" t="e">
        <v>#VALUE!</v>
      </c>
      <c r="FA8" s="90" t="e">
        <v>#VALUE!</v>
      </c>
      <c r="FB8" s="90" t="e">
        <v>#VALUE!</v>
      </c>
      <c r="FC8" s="90" t="e">
        <v>#VALUE!</v>
      </c>
      <c r="FD8" s="90" t="e">
        <v>#VALUE!</v>
      </c>
      <c r="FE8" s="90" t="e">
        <v>#VALUE!</v>
      </c>
      <c r="FF8" s="90" t="e">
        <v>#VALUE!</v>
      </c>
      <c r="FG8" s="90" t="e">
        <v>#VALUE!</v>
      </c>
      <c r="FH8" s="90" t="e">
        <v>#VALUE!</v>
      </c>
      <c r="FI8" s="90" t="e">
        <v>#VALUE!</v>
      </c>
      <c r="FJ8" s="90" t="e">
        <v>#VALUE!</v>
      </c>
      <c r="FK8" s="90" t="e">
        <v>#VALUE!</v>
      </c>
      <c r="FL8" s="90" t="e">
        <v>#VALUE!</v>
      </c>
      <c r="FM8" s="90" t="e">
        <v>#VALUE!</v>
      </c>
      <c r="FN8" s="90" t="e">
        <v>#VALUE!</v>
      </c>
      <c r="FO8" s="90" t="e">
        <v>#VALUE!</v>
      </c>
      <c r="FP8" s="90" t="e">
        <v>#VALUE!</v>
      </c>
      <c r="FQ8" s="90" t="e">
        <v>#VALUE!</v>
      </c>
      <c r="FR8" s="90" t="e">
        <v>#VALUE!</v>
      </c>
      <c r="FS8" s="90" t="e">
        <v>#VALUE!</v>
      </c>
      <c r="FT8" s="90" t="e">
        <v>#VALUE!</v>
      </c>
      <c r="FU8" s="90" t="e">
        <v>#VALUE!</v>
      </c>
      <c r="FV8" s="90" t="e">
        <v>#VALUE!</v>
      </c>
      <c r="FW8" s="90" t="e">
        <v>#VALUE!</v>
      </c>
      <c r="FX8" s="90" t="e">
        <v>#VALUE!</v>
      </c>
      <c r="FY8" s="90" t="e">
        <v>#VALUE!</v>
      </c>
      <c r="FZ8" s="90" t="e">
        <v>#VALUE!</v>
      </c>
      <c r="GA8" s="90" t="e">
        <v>#VALUE!</v>
      </c>
      <c r="GB8" s="90" t="e">
        <v>#VALUE!</v>
      </c>
      <c r="GC8" s="90" t="e">
        <v>#VALUE!</v>
      </c>
      <c r="GD8" s="90" t="e">
        <v>#VALUE!</v>
      </c>
      <c r="GE8" s="90" t="e">
        <v>#VALUE!</v>
      </c>
      <c r="GF8" s="90" t="e">
        <v>#VALUE!</v>
      </c>
      <c r="GG8" s="90" t="e">
        <v>#VALUE!</v>
      </c>
      <c r="GH8" s="90" t="e">
        <v>#VALUE!</v>
      </c>
      <c r="GI8" s="90" t="e">
        <v>#VALUE!</v>
      </c>
      <c r="GJ8" s="90" t="e">
        <v>#VALUE!</v>
      </c>
      <c r="GK8" s="90" t="e">
        <v>#VALUE!</v>
      </c>
      <c r="GL8" s="90" t="e">
        <v>#VALUE!</v>
      </c>
      <c r="GM8" s="90" t="e">
        <v>#VALUE!</v>
      </c>
      <c r="GN8" s="90" t="e">
        <v>#VALUE!</v>
      </c>
      <c r="GO8" s="90" t="e">
        <v>#VALUE!</v>
      </c>
      <c r="GP8" s="90" t="e">
        <v>#VALUE!</v>
      </c>
      <c r="GQ8" s="90" t="e">
        <v>#VALUE!</v>
      </c>
      <c r="GR8" s="90" t="e">
        <v>#VALUE!</v>
      </c>
      <c r="GS8" s="90" t="e">
        <v>#VALUE!</v>
      </c>
      <c r="GT8" s="90" t="e">
        <v>#VALUE!</v>
      </c>
      <c r="GU8" s="90" t="e">
        <v>#VALUE!</v>
      </c>
      <c r="GV8" s="90" t="e">
        <v>#VALUE!</v>
      </c>
      <c r="GW8" s="90" t="e">
        <v>#VALUE!</v>
      </c>
      <c r="GX8" s="90" t="e">
        <v>#VALUE!</v>
      </c>
      <c r="GY8" s="90" t="e">
        <v>#VALUE!</v>
      </c>
      <c r="GZ8" s="90" t="e">
        <v>#VALUE!</v>
      </c>
      <c r="HA8" s="90" t="e">
        <v>#VALUE!</v>
      </c>
      <c r="HB8" s="90" t="e">
        <v>#VALUE!</v>
      </c>
      <c r="HC8" s="90" t="e">
        <v>#VALUE!</v>
      </c>
      <c r="HD8" s="90" t="e">
        <v>#VALUE!</v>
      </c>
      <c r="HE8" s="90" t="e">
        <v>#VALUE!</v>
      </c>
      <c r="HF8" s="90" t="e">
        <v>#VALUE!</v>
      </c>
      <c r="HG8" s="90" t="e">
        <v>#VALUE!</v>
      </c>
      <c r="HH8" s="90" t="e">
        <v>#VALUE!</v>
      </c>
      <c r="HI8" s="90" t="e">
        <v>#VALUE!</v>
      </c>
      <c r="HJ8" s="90" t="e">
        <v>#VALUE!</v>
      </c>
      <c r="HK8" s="90" t="e">
        <v>#VALUE!</v>
      </c>
      <c r="HL8" s="90" t="e">
        <v>#VALUE!</v>
      </c>
      <c r="HM8" s="90" t="e">
        <v>#VALUE!</v>
      </c>
      <c r="HN8" s="90" t="e">
        <v>#VALUE!</v>
      </c>
      <c r="HO8" s="90" t="e">
        <v>#VALUE!</v>
      </c>
      <c r="HP8" s="90" t="e">
        <v>#VALUE!</v>
      </c>
      <c r="HQ8" s="90" t="e">
        <v>#VALUE!</v>
      </c>
      <c r="HR8" s="90" t="e">
        <v>#VALUE!</v>
      </c>
      <c r="HS8" s="90" t="e">
        <v>#VALUE!</v>
      </c>
      <c r="HT8" s="90" t="e">
        <v>#VALUE!</v>
      </c>
      <c r="HU8" s="90" t="e">
        <v>#VALUE!</v>
      </c>
      <c r="HV8" s="90" t="e">
        <v>#VALUE!</v>
      </c>
      <c r="HW8" s="90" t="e">
        <v>#VALUE!</v>
      </c>
      <c r="HX8" s="90" t="e">
        <v>#VALUE!</v>
      </c>
      <c r="HY8" s="90" t="e">
        <v>#VALUE!</v>
      </c>
      <c r="HZ8" s="90" t="e">
        <v>#VALUE!</v>
      </c>
      <c r="IA8" s="90" t="e">
        <v>#VALUE!</v>
      </c>
      <c r="IB8" s="90" t="e">
        <v>#VALUE!</v>
      </c>
      <c r="IC8" s="90" t="e">
        <v>#VALUE!</v>
      </c>
      <c r="ID8" s="90" t="e">
        <v>#VALUE!</v>
      </c>
      <c r="IE8" s="90" t="e">
        <v>#VALUE!</v>
      </c>
      <c r="IF8" s="90" t="e">
        <v>#VALUE!</v>
      </c>
      <c r="IG8" s="90" t="e">
        <v>#VALUE!</v>
      </c>
      <c r="IH8" s="90" t="e">
        <v>#VALUE!</v>
      </c>
      <c r="II8" s="90" t="e">
        <v>#VALUE!</v>
      </c>
      <c r="IJ8" s="90" t="e">
        <v>#VALUE!</v>
      </c>
      <c r="IK8" s="90" t="e">
        <v>#VALUE!</v>
      </c>
      <c r="IL8" s="90" t="e">
        <v>#VALUE!</v>
      </c>
      <c r="IM8" s="90" t="e">
        <v>#VALUE!</v>
      </c>
      <c r="IN8" s="90" t="e">
        <v>#VALUE!</v>
      </c>
      <c r="IO8" s="90" t="e">
        <v>#VALUE!</v>
      </c>
      <c r="IP8" s="90" t="e">
        <v>#VALUE!</v>
      </c>
      <c r="IQ8" s="90" t="e">
        <v>#VALUE!</v>
      </c>
      <c r="IR8" s="90" t="e">
        <v>#VALUE!</v>
      </c>
      <c r="IS8" s="90" t="e">
        <v>#VALUE!</v>
      </c>
      <c r="IT8" s="90" t="e">
        <v>#VALUE!</v>
      </c>
      <c r="IU8" s="90" t="e">
        <v>#VALUE!</v>
      </c>
      <c r="IV8" s="90" t="e">
        <v>#VALUE!</v>
      </c>
      <c r="IW8" s="90" t="e">
        <v>#VALUE!</v>
      </c>
      <c r="IX8" s="90" t="e">
        <v>#VALUE!</v>
      </c>
      <c r="IY8" s="90" t="e">
        <v>#VALUE!</v>
      </c>
      <c r="IZ8" s="90" t="e">
        <v>#VALUE!</v>
      </c>
      <c r="JA8" s="90" t="e">
        <v>#VALUE!</v>
      </c>
      <c r="JB8" s="90" t="e">
        <v>#VALUE!</v>
      </c>
      <c r="JC8" s="90" t="e">
        <v>#VALUE!</v>
      </c>
      <c r="JD8" s="90" t="e">
        <v>#VALUE!</v>
      </c>
      <c r="JE8" s="90" t="e">
        <v>#VALUE!</v>
      </c>
      <c r="JF8" s="90" t="e">
        <v>#VALUE!</v>
      </c>
      <c r="JG8" s="90" t="e">
        <v>#VALUE!</v>
      </c>
      <c r="JH8" s="90" t="e">
        <v>#VALUE!</v>
      </c>
      <c r="JI8" s="90" t="e">
        <v>#VALUE!</v>
      </c>
      <c r="JJ8" s="90" t="e">
        <v>#VALUE!</v>
      </c>
      <c r="JK8" s="90" t="e">
        <v>#VALUE!</v>
      </c>
      <c r="JL8" s="90" t="e">
        <v>#VALUE!</v>
      </c>
      <c r="JM8" s="90" t="e">
        <v>#VALUE!</v>
      </c>
      <c r="JN8" s="90" t="e">
        <v>#VALUE!</v>
      </c>
      <c r="JO8" s="90" t="e">
        <v>#VALUE!</v>
      </c>
      <c r="JP8" s="90" t="e">
        <v>#VALUE!</v>
      </c>
      <c r="JQ8" s="90" t="e">
        <v>#VALUE!</v>
      </c>
      <c r="JR8" s="90" t="e">
        <v>#VALUE!</v>
      </c>
      <c r="JS8" s="90" t="e">
        <v>#VALUE!</v>
      </c>
      <c r="JT8" s="90" t="e">
        <v>#VALUE!</v>
      </c>
      <c r="JU8" s="90" t="e">
        <v>#VALUE!</v>
      </c>
      <c r="JV8" s="90" t="e">
        <v>#VALUE!</v>
      </c>
      <c r="JW8" s="90" t="e">
        <v>#VALUE!</v>
      </c>
      <c r="JX8" s="90" t="e">
        <v>#VALUE!</v>
      </c>
      <c r="JY8" s="90" t="e">
        <v>#VALUE!</v>
      </c>
      <c r="JZ8" s="90" t="e">
        <v>#VALUE!</v>
      </c>
      <c r="KA8" s="90" t="e">
        <v>#VALUE!</v>
      </c>
      <c r="KB8" s="90" t="e">
        <v>#VALUE!</v>
      </c>
      <c r="KC8" s="90" t="e">
        <v>#VALUE!</v>
      </c>
      <c r="KD8" s="90" t="e">
        <v>#VALUE!</v>
      </c>
      <c r="KE8" s="90" t="e">
        <v>#VALUE!</v>
      </c>
      <c r="KF8" s="90" t="e">
        <v>#VALUE!</v>
      </c>
      <c r="KG8" s="90" t="e">
        <v>#VALUE!</v>
      </c>
      <c r="KH8" s="90" t="e">
        <v>#VALUE!</v>
      </c>
      <c r="KI8" s="90" t="e">
        <v>#VALUE!</v>
      </c>
      <c r="KJ8" s="90" t="e">
        <v>#VALUE!</v>
      </c>
      <c r="KK8" s="90" t="e">
        <v>#VALUE!</v>
      </c>
      <c r="KL8" s="90" t="e">
        <v>#VALUE!</v>
      </c>
      <c r="KM8" s="90" t="e">
        <v>#VALUE!</v>
      </c>
      <c r="KN8" s="90" t="e">
        <v>#VALUE!</v>
      </c>
      <c r="KO8" s="90" t="e">
        <v>#VALUE!</v>
      </c>
      <c r="KP8" s="90" t="e">
        <v>#VALUE!</v>
      </c>
      <c r="KQ8" s="90" t="e">
        <v>#VALUE!</v>
      </c>
      <c r="KR8" s="90" t="e">
        <v>#VALUE!</v>
      </c>
      <c r="KS8" s="90" t="e">
        <v>#VALUE!</v>
      </c>
      <c r="KT8" s="90" t="e">
        <v>#VALUE!</v>
      </c>
      <c r="KU8" s="90" t="e">
        <v>#VALUE!</v>
      </c>
      <c r="KV8" s="90" t="e">
        <v>#VALUE!</v>
      </c>
      <c r="KW8" s="90" t="e">
        <v>#VALUE!</v>
      </c>
      <c r="KX8" s="90" t="e">
        <v>#VALUE!</v>
      </c>
      <c r="KY8" s="90" t="e">
        <v>#VALUE!</v>
      </c>
      <c r="KZ8" s="90" t="e">
        <v>#VALUE!</v>
      </c>
      <c r="LA8" s="90" t="e">
        <v>#VALUE!</v>
      </c>
      <c r="LB8" s="90" t="e">
        <v>#VALUE!</v>
      </c>
      <c r="LC8" s="90" t="e">
        <v>#VALUE!</v>
      </c>
      <c r="LD8" s="90" t="e">
        <v>#VALUE!</v>
      </c>
      <c r="LE8" s="90" t="e">
        <v>#VALUE!</v>
      </c>
      <c r="LF8" s="90" t="e">
        <v>#VALUE!</v>
      </c>
      <c r="LG8" s="90" t="e">
        <v>#VALUE!</v>
      </c>
      <c r="LH8" s="90" t="e">
        <v>#VALUE!</v>
      </c>
      <c r="LI8" s="90" t="e">
        <v>#VALUE!</v>
      </c>
      <c r="LJ8" s="90" t="e">
        <v>#VALUE!</v>
      </c>
      <c r="LK8" s="90" t="e">
        <v>#VALUE!</v>
      </c>
      <c r="LL8" s="90" t="e">
        <v>#VALUE!</v>
      </c>
      <c r="LM8" s="90" t="e">
        <v>#VALUE!</v>
      </c>
      <c r="LN8" s="90" t="e">
        <v>#VALUE!</v>
      </c>
      <c r="LO8" s="90" t="e">
        <v>#VALUE!</v>
      </c>
      <c r="LP8" s="90" t="e">
        <v>#VALUE!</v>
      </c>
      <c r="LQ8" s="90" t="e">
        <v>#VALUE!</v>
      </c>
      <c r="LR8" s="90" t="e">
        <v>#VALUE!</v>
      </c>
      <c r="LS8" s="90" t="e">
        <v>#VALUE!</v>
      </c>
      <c r="LT8" s="90" t="e">
        <v>#VALUE!</v>
      </c>
      <c r="LU8" s="90" t="e">
        <v>#VALUE!</v>
      </c>
      <c r="LV8" s="90" t="e">
        <v>#VALUE!</v>
      </c>
      <c r="LW8" s="90" t="e">
        <v>#VALUE!</v>
      </c>
      <c r="LX8" s="90" t="e">
        <v>#VALUE!</v>
      </c>
      <c r="LY8" s="90" t="e">
        <v>#VALUE!</v>
      </c>
      <c r="LZ8" s="90" t="e">
        <v>#VALUE!</v>
      </c>
      <c r="MA8" s="90" t="e">
        <v>#VALUE!</v>
      </c>
      <c r="MB8" s="90" t="e">
        <v>#VALUE!</v>
      </c>
      <c r="MC8" s="90" t="e">
        <v>#VALUE!</v>
      </c>
      <c r="MD8" s="90" t="e">
        <v>#VALUE!</v>
      </c>
      <c r="ME8" s="90" t="e">
        <v>#VALUE!</v>
      </c>
      <c r="MF8" s="90" t="e">
        <v>#VALUE!</v>
      </c>
      <c r="MG8" s="90" t="e">
        <v>#VALUE!</v>
      </c>
      <c r="MH8" s="90" t="e">
        <v>#VALUE!</v>
      </c>
      <c r="MI8" s="90" t="e">
        <v>#VALUE!</v>
      </c>
      <c r="MJ8" s="90" t="e">
        <v>#VALUE!</v>
      </c>
      <c r="MK8" s="90" t="e">
        <v>#VALUE!</v>
      </c>
      <c r="ML8" s="90" t="e">
        <v>#VALUE!</v>
      </c>
      <c r="MM8" s="90" t="e">
        <v>#VALUE!</v>
      </c>
      <c r="MN8" s="90" t="e">
        <v>#VALUE!</v>
      </c>
      <c r="MO8" s="90" t="e">
        <v>#VALUE!</v>
      </c>
      <c r="MP8" s="90" t="e">
        <v>#VALUE!</v>
      </c>
      <c r="MQ8" s="90" t="e">
        <v>#VALUE!</v>
      </c>
      <c r="MR8" s="90" t="e">
        <v>#VALUE!</v>
      </c>
      <c r="MS8" s="90" t="e">
        <v>#VALUE!</v>
      </c>
      <c r="MT8" s="90" t="e">
        <v>#VALUE!</v>
      </c>
      <c r="MU8" s="90" t="e">
        <v>#VALUE!</v>
      </c>
      <c r="MV8" s="90" t="e">
        <v>#VALUE!</v>
      </c>
      <c r="MW8" s="90" t="e">
        <v>#VALUE!</v>
      </c>
      <c r="MX8" s="90" t="e">
        <v>#VALUE!</v>
      </c>
      <c r="MY8" s="90" t="e">
        <v>#VALUE!</v>
      </c>
      <c r="MZ8" s="90" t="e">
        <v>#VALUE!</v>
      </c>
      <c r="NA8" s="90" t="e">
        <v>#VALUE!</v>
      </c>
      <c r="NB8" s="90" t="e">
        <v>#VALUE!</v>
      </c>
      <c r="NC8" s="90" t="e">
        <v>#VALUE!</v>
      </c>
      <c r="ND8" s="90" t="e">
        <v>#VALUE!</v>
      </c>
      <c r="NE8" s="90" t="e">
        <v>#VALUE!</v>
      </c>
      <c r="NF8" s="90" t="e">
        <v>#VALUE!</v>
      </c>
      <c r="NG8" s="90" t="e">
        <v>#VALUE!</v>
      </c>
    </row>
    <row r="9" spans="1:371" x14ac:dyDescent="0.25">
      <c r="A9" s="358" t="s">
        <v>396</v>
      </c>
      <c r="B9" s="3"/>
      <c r="C9" s="3"/>
      <c r="D9" s="359" t="e">
        <f t="shared" ref="D9:AI9" si="12">SUM(D7:D8)</f>
        <v>#VALUE!</v>
      </c>
      <c r="E9" s="359" t="e">
        <f t="shared" si="12"/>
        <v>#VALUE!</v>
      </c>
      <c r="F9" s="359" t="e">
        <f t="shared" si="12"/>
        <v>#VALUE!</v>
      </c>
      <c r="G9" s="359" t="e">
        <f t="shared" si="12"/>
        <v>#VALUE!</v>
      </c>
      <c r="H9" s="359" t="e">
        <f t="shared" si="12"/>
        <v>#VALUE!</v>
      </c>
      <c r="I9" s="359" t="e">
        <f t="shared" si="12"/>
        <v>#VALUE!</v>
      </c>
      <c r="J9" s="359" t="e">
        <f t="shared" si="12"/>
        <v>#VALUE!</v>
      </c>
      <c r="K9" s="359" t="e">
        <f t="shared" si="12"/>
        <v>#VALUE!</v>
      </c>
      <c r="L9" s="359" t="e">
        <f t="shared" si="12"/>
        <v>#VALUE!</v>
      </c>
      <c r="M9" s="359" t="e">
        <f t="shared" si="12"/>
        <v>#VALUE!</v>
      </c>
      <c r="N9" s="359" t="e">
        <f t="shared" si="12"/>
        <v>#VALUE!</v>
      </c>
      <c r="O9" s="359" t="e">
        <f t="shared" si="12"/>
        <v>#VALUE!</v>
      </c>
      <c r="P9" s="359" t="e">
        <f t="shared" si="12"/>
        <v>#VALUE!</v>
      </c>
      <c r="Q9" s="359" t="e">
        <f t="shared" si="12"/>
        <v>#VALUE!</v>
      </c>
      <c r="R9" s="359" t="e">
        <f t="shared" si="12"/>
        <v>#VALUE!</v>
      </c>
      <c r="S9" s="359" t="e">
        <f t="shared" si="12"/>
        <v>#VALUE!</v>
      </c>
      <c r="T9" s="359" t="e">
        <f t="shared" si="12"/>
        <v>#VALUE!</v>
      </c>
      <c r="U9" s="359" t="e">
        <f t="shared" si="12"/>
        <v>#VALUE!</v>
      </c>
      <c r="V9" s="359" t="e">
        <f t="shared" si="12"/>
        <v>#VALUE!</v>
      </c>
      <c r="W9" s="359" t="e">
        <f t="shared" si="12"/>
        <v>#VALUE!</v>
      </c>
      <c r="X9" s="359" t="e">
        <f t="shared" si="12"/>
        <v>#VALUE!</v>
      </c>
      <c r="Y9" s="359" t="e">
        <f t="shared" si="12"/>
        <v>#VALUE!</v>
      </c>
      <c r="Z9" s="359" t="e">
        <f t="shared" si="12"/>
        <v>#VALUE!</v>
      </c>
      <c r="AA9" s="359" t="e">
        <f t="shared" si="12"/>
        <v>#VALUE!</v>
      </c>
      <c r="AB9" s="359" t="e">
        <f t="shared" si="12"/>
        <v>#VALUE!</v>
      </c>
      <c r="AC9" s="359" t="e">
        <f t="shared" si="12"/>
        <v>#VALUE!</v>
      </c>
      <c r="AD9" s="359" t="e">
        <f t="shared" si="12"/>
        <v>#VALUE!</v>
      </c>
      <c r="AE9" s="359" t="e">
        <f t="shared" si="12"/>
        <v>#VALUE!</v>
      </c>
      <c r="AF9" s="359" t="e">
        <f t="shared" si="12"/>
        <v>#VALUE!</v>
      </c>
      <c r="AG9" s="359" t="e">
        <f t="shared" si="12"/>
        <v>#VALUE!</v>
      </c>
      <c r="AH9" s="359" t="e">
        <f t="shared" si="12"/>
        <v>#VALUE!</v>
      </c>
      <c r="AI9" s="359" t="e">
        <f t="shared" si="12"/>
        <v>#VALUE!</v>
      </c>
      <c r="AJ9" s="359" t="e">
        <f t="shared" ref="AJ9:CU9" si="13">SUM(AJ7:AJ8)</f>
        <v>#VALUE!</v>
      </c>
      <c r="AK9" s="359" t="e">
        <f t="shared" si="13"/>
        <v>#VALUE!</v>
      </c>
      <c r="AL9" s="359" t="e">
        <f t="shared" si="13"/>
        <v>#VALUE!</v>
      </c>
      <c r="AM9" s="359" t="e">
        <f t="shared" si="13"/>
        <v>#VALUE!</v>
      </c>
      <c r="AN9" s="359" t="e">
        <f t="shared" si="13"/>
        <v>#VALUE!</v>
      </c>
      <c r="AO9" s="359" t="e">
        <f t="shared" si="13"/>
        <v>#VALUE!</v>
      </c>
      <c r="AP9" s="359" t="e">
        <f t="shared" si="13"/>
        <v>#VALUE!</v>
      </c>
      <c r="AQ9" s="359" t="e">
        <f t="shared" si="13"/>
        <v>#VALUE!</v>
      </c>
      <c r="AR9" s="359" t="e">
        <f t="shared" si="13"/>
        <v>#VALUE!</v>
      </c>
      <c r="AS9" s="359" t="e">
        <f t="shared" si="13"/>
        <v>#VALUE!</v>
      </c>
      <c r="AT9" s="359" t="e">
        <f t="shared" si="13"/>
        <v>#VALUE!</v>
      </c>
      <c r="AU9" s="359" t="e">
        <f t="shared" si="13"/>
        <v>#VALUE!</v>
      </c>
      <c r="AV9" s="359" t="e">
        <f t="shared" si="13"/>
        <v>#VALUE!</v>
      </c>
      <c r="AW9" s="359" t="e">
        <f t="shared" si="13"/>
        <v>#VALUE!</v>
      </c>
      <c r="AX9" s="359" t="e">
        <f t="shared" si="13"/>
        <v>#VALUE!</v>
      </c>
      <c r="AY9" s="359" t="e">
        <f t="shared" si="13"/>
        <v>#VALUE!</v>
      </c>
      <c r="AZ9" s="359" t="e">
        <f t="shared" si="13"/>
        <v>#VALUE!</v>
      </c>
      <c r="BA9" s="359" t="e">
        <f t="shared" si="13"/>
        <v>#VALUE!</v>
      </c>
      <c r="BB9" s="359" t="e">
        <f t="shared" si="13"/>
        <v>#VALUE!</v>
      </c>
      <c r="BC9" s="359" t="e">
        <f t="shared" si="13"/>
        <v>#VALUE!</v>
      </c>
      <c r="BD9" s="359" t="e">
        <f t="shared" si="13"/>
        <v>#VALUE!</v>
      </c>
      <c r="BE9" s="359" t="e">
        <f t="shared" si="13"/>
        <v>#VALUE!</v>
      </c>
      <c r="BF9" s="359" t="e">
        <f t="shared" si="13"/>
        <v>#VALUE!</v>
      </c>
      <c r="BG9" s="359" t="e">
        <f t="shared" si="13"/>
        <v>#VALUE!</v>
      </c>
      <c r="BH9" s="359" t="e">
        <f t="shared" si="13"/>
        <v>#VALUE!</v>
      </c>
      <c r="BI9" s="359" t="e">
        <f t="shared" si="13"/>
        <v>#VALUE!</v>
      </c>
      <c r="BJ9" s="359" t="e">
        <f t="shared" si="13"/>
        <v>#VALUE!</v>
      </c>
      <c r="BK9" s="359" t="e">
        <f t="shared" si="13"/>
        <v>#VALUE!</v>
      </c>
      <c r="BL9" s="359" t="e">
        <f t="shared" si="13"/>
        <v>#VALUE!</v>
      </c>
      <c r="BM9" s="359" t="e">
        <f t="shared" si="13"/>
        <v>#VALUE!</v>
      </c>
      <c r="BN9" s="359" t="e">
        <f t="shared" si="13"/>
        <v>#VALUE!</v>
      </c>
      <c r="BO9" s="359" t="e">
        <f t="shared" si="13"/>
        <v>#VALUE!</v>
      </c>
      <c r="BP9" s="359" t="e">
        <f t="shared" si="13"/>
        <v>#VALUE!</v>
      </c>
      <c r="BQ9" s="359" t="e">
        <f t="shared" si="13"/>
        <v>#VALUE!</v>
      </c>
      <c r="BR9" s="359" t="e">
        <f t="shared" si="13"/>
        <v>#VALUE!</v>
      </c>
      <c r="BS9" s="359" t="e">
        <f t="shared" si="13"/>
        <v>#VALUE!</v>
      </c>
      <c r="BT9" s="359" t="e">
        <f t="shared" si="13"/>
        <v>#VALUE!</v>
      </c>
      <c r="BU9" s="359" t="e">
        <f t="shared" si="13"/>
        <v>#VALUE!</v>
      </c>
      <c r="BV9" s="359" t="e">
        <f t="shared" si="13"/>
        <v>#VALUE!</v>
      </c>
      <c r="BW9" s="359" t="e">
        <f t="shared" si="13"/>
        <v>#VALUE!</v>
      </c>
      <c r="BX9" s="359" t="e">
        <f t="shared" si="13"/>
        <v>#VALUE!</v>
      </c>
      <c r="BY9" s="359" t="e">
        <f t="shared" si="13"/>
        <v>#VALUE!</v>
      </c>
      <c r="BZ9" s="359" t="e">
        <f t="shared" si="13"/>
        <v>#VALUE!</v>
      </c>
      <c r="CA9" s="359" t="e">
        <f t="shared" si="13"/>
        <v>#VALUE!</v>
      </c>
      <c r="CB9" s="359" t="e">
        <f t="shared" si="13"/>
        <v>#VALUE!</v>
      </c>
      <c r="CC9" s="359" t="e">
        <f t="shared" si="13"/>
        <v>#VALUE!</v>
      </c>
      <c r="CD9" s="359" t="e">
        <f t="shared" si="13"/>
        <v>#VALUE!</v>
      </c>
      <c r="CE9" s="359" t="e">
        <f t="shared" si="13"/>
        <v>#VALUE!</v>
      </c>
      <c r="CF9" s="359" t="e">
        <f t="shared" si="13"/>
        <v>#VALUE!</v>
      </c>
      <c r="CG9" s="359" t="e">
        <f t="shared" si="13"/>
        <v>#VALUE!</v>
      </c>
      <c r="CH9" s="359" t="e">
        <f t="shared" si="13"/>
        <v>#VALUE!</v>
      </c>
      <c r="CI9" s="359" t="e">
        <f t="shared" si="13"/>
        <v>#VALUE!</v>
      </c>
      <c r="CJ9" s="359" t="e">
        <f t="shared" si="13"/>
        <v>#VALUE!</v>
      </c>
      <c r="CK9" s="359" t="e">
        <f t="shared" si="13"/>
        <v>#VALUE!</v>
      </c>
      <c r="CL9" s="359" t="e">
        <f t="shared" si="13"/>
        <v>#VALUE!</v>
      </c>
      <c r="CM9" s="359" t="e">
        <f t="shared" si="13"/>
        <v>#VALUE!</v>
      </c>
      <c r="CN9" s="359" t="e">
        <f t="shared" si="13"/>
        <v>#VALUE!</v>
      </c>
      <c r="CO9" s="359" t="e">
        <f t="shared" si="13"/>
        <v>#VALUE!</v>
      </c>
      <c r="CP9" s="359" t="e">
        <f t="shared" si="13"/>
        <v>#VALUE!</v>
      </c>
      <c r="CQ9" s="359" t="e">
        <f t="shared" si="13"/>
        <v>#VALUE!</v>
      </c>
      <c r="CR9" s="359" t="e">
        <f t="shared" si="13"/>
        <v>#VALUE!</v>
      </c>
      <c r="CS9" s="359" t="e">
        <f t="shared" si="13"/>
        <v>#VALUE!</v>
      </c>
      <c r="CT9" s="359" t="e">
        <f t="shared" si="13"/>
        <v>#VALUE!</v>
      </c>
      <c r="CU9" s="359" t="e">
        <f t="shared" si="13"/>
        <v>#VALUE!</v>
      </c>
      <c r="CV9" s="359" t="e">
        <f t="shared" ref="CV9:FG9" si="14">SUM(CV7:CV8)</f>
        <v>#VALUE!</v>
      </c>
      <c r="CW9" s="359" t="e">
        <f t="shared" si="14"/>
        <v>#VALUE!</v>
      </c>
      <c r="CX9" s="359" t="e">
        <f t="shared" si="14"/>
        <v>#VALUE!</v>
      </c>
      <c r="CY9" s="359" t="e">
        <f t="shared" si="14"/>
        <v>#VALUE!</v>
      </c>
      <c r="CZ9" s="359" t="e">
        <f t="shared" si="14"/>
        <v>#VALUE!</v>
      </c>
      <c r="DA9" s="359" t="e">
        <f t="shared" si="14"/>
        <v>#VALUE!</v>
      </c>
      <c r="DB9" s="359" t="e">
        <f t="shared" si="14"/>
        <v>#VALUE!</v>
      </c>
      <c r="DC9" s="359" t="e">
        <f t="shared" si="14"/>
        <v>#VALUE!</v>
      </c>
      <c r="DD9" s="359" t="e">
        <f t="shared" si="14"/>
        <v>#VALUE!</v>
      </c>
      <c r="DE9" s="359" t="e">
        <f t="shared" si="14"/>
        <v>#VALUE!</v>
      </c>
      <c r="DF9" s="359" t="e">
        <f t="shared" si="14"/>
        <v>#VALUE!</v>
      </c>
      <c r="DG9" s="359" t="e">
        <f t="shared" si="14"/>
        <v>#VALUE!</v>
      </c>
      <c r="DH9" s="359" t="e">
        <f t="shared" si="14"/>
        <v>#VALUE!</v>
      </c>
      <c r="DI9" s="359" t="e">
        <f t="shared" si="14"/>
        <v>#VALUE!</v>
      </c>
      <c r="DJ9" s="359" t="e">
        <f t="shared" si="14"/>
        <v>#VALUE!</v>
      </c>
      <c r="DK9" s="359" t="e">
        <f t="shared" si="14"/>
        <v>#VALUE!</v>
      </c>
      <c r="DL9" s="359" t="e">
        <f t="shared" si="14"/>
        <v>#VALUE!</v>
      </c>
      <c r="DM9" s="359" t="e">
        <f t="shared" si="14"/>
        <v>#VALUE!</v>
      </c>
      <c r="DN9" s="359" t="e">
        <f t="shared" si="14"/>
        <v>#VALUE!</v>
      </c>
      <c r="DO9" s="359" t="e">
        <f t="shared" si="14"/>
        <v>#VALUE!</v>
      </c>
      <c r="DP9" s="359" t="e">
        <f t="shared" si="14"/>
        <v>#VALUE!</v>
      </c>
      <c r="DQ9" s="359" t="e">
        <f t="shared" si="14"/>
        <v>#VALUE!</v>
      </c>
      <c r="DR9" s="359" t="e">
        <f t="shared" si="14"/>
        <v>#VALUE!</v>
      </c>
      <c r="DS9" s="359" t="e">
        <f t="shared" si="14"/>
        <v>#VALUE!</v>
      </c>
      <c r="DT9" s="359" t="e">
        <f t="shared" si="14"/>
        <v>#VALUE!</v>
      </c>
      <c r="DU9" s="359" t="e">
        <f t="shared" si="14"/>
        <v>#VALUE!</v>
      </c>
      <c r="DV9" s="359" t="e">
        <f t="shared" si="14"/>
        <v>#VALUE!</v>
      </c>
      <c r="DW9" s="359" t="e">
        <f t="shared" si="14"/>
        <v>#VALUE!</v>
      </c>
      <c r="DX9" s="359" t="e">
        <f t="shared" si="14"/>
        <v>#VALUE!</v>
      </c>
      <c r="DY9" s="359" t="e">
        <f t="shared" si="14"/>
        <v>#VALUE!</v>
      </c>
      <c r="DZ9" s="359" t="e">
        <f t="shared" si="14"/>
        <v>#VALUE!</v>
      </c>
      <c r="EA9" s="359" t="e">
        <f t="shared" si="14"/>
        <v>#VALUE!</v>
      </c>
      <c r="EB9" s="359" t="e">
        <f t="shared" si="14"/>
        <v>#VALUE!</v>
      </c>
      <c r="EC9" s="359" t="e">
        <f t="shared" si="14"/>
        <v>#VALUE!</v>
      </c>
      <c r="ED9" s="359" t="e">
        <f t="shared" si="14"/>
        <v>#VALUE!</v>
      </c>
      <c r="EE9" s="359" t="e">
        <f t="shared" si="14"/>
        <v>#VALUE!</v>
      </c>
      <c r="EF9" s="359" t="e">
        <f t="shared" si="14"/>
        <v>#VALUE!</v>
      </c>
      <c r="EG9" s="359" t="e">
        <f t="shared" si="14"/>
        <v>#VALUE!</v>
      </c>
      <c r="EH9" s="359" t="e">
        <f t="shared" si="14"/>
        <v>#VALUE!</v>
      </c>
      <c r="EI9" s="359" t="e">
        <f t="shared" si="14"/>
        <v>#VALUE!</v>
      </c>
      <c r="EJ9" s="359" t="e">
        <f t="shared" si="14"/>
        <v>#VALUE!</v>
      </c>
      <c r="EK9" s="359" t="e">
        <f t="shared" si="14"/>
        <v>#VALUE!</v>
      </c>
      <c r="EL9" s="359" t="e">
        <f t="shared" si="14"/>
        <v>#VALUE!</v>
      </c>
      <c r="EM9" s="359" t="e">
        <f t="shared" si="14"/>
        <v>#VALUE!</v>
      </c>
      <c r="EN9" s="359" t="e">
        <f t="shared" si="14"/>
        <v>#VALUE!</v>
      </c>
      <c r="EO9" s="359" t="e">
        <f t="shared" si="14"/>
        <v>#VALUE!</v>
      </c>
      <c r="EP9" s="359" t="e">
        <f t="shared" si="14"/>
        <v>#VALUE!</v>
      </c>
      <c r="EQ9" s="359" t="e">
        <f t="shared" si="14"/>
        <v>#VALUE!</v>
      </c>
      <c r="ER9" s="359" t="e">
        <f t="shared" si="14"/>
        <v>#VALUE!</v>
      </c>
      <c r="ES9" s="359" t="e">
        <f t="shared" si="14"/>
        <v>#VALUE!</v>
      </c>
      <c r="ET9" s="359" t="e">
        <f t="shared" si="14"/>
        <v>#VALUE!</v>
      </c>
      <c r="EU9" s="359" t="e">
        <f t="shared" si="14"/>
        <v>#VALUE!</v>
      </c>
      <c r="EV9" s="359" t="e">
        <f t="shared" si="14"/>
        <v>#VALUE!</v>
      </c>
      <c r="EW9" s="359" t="e">
        <f t="shared" si="14"/>
        <v>#VALUE!</v>
      </c>
      <c r="EX9" s="359" t="e">
        <f t="shared" si="14"/>
        <v>#VALUE!</v>
      </c>
      <c r="EY9" s="359" t="e">
        <f t="shared" si="14"/>
        <v>#VALUE!</v>
      </c>
      <c r="EZ9" s="359" t="e">
        <f t="shared" si="14"/>
        <v>#VALUE!</v>
      </c>
      <c r="FA9" s="359" t="e">
        <f t="shared" si="14"/>
        <v>#VALUE!</v>
      </c>
      <c r="FB9" s="359" t="e">
        <f t="shared" si="14"/>
        <v>#VALUE!</v>
      </c>
      <c r="FC9" s="359" t="e">
        <f t="shared" si="14"/>
        <v>#VALUE!</v>
      </c>
      <c r="FD9" s="359" t="e">
        <f t="shared" si="14"/>
        <v>#VALUE!</v>
      </c>
      <c r="FE9" s="359" t="e">
        <f t="shared" si="14"/>
        <v>#VALUE!</v>
      </c>
      <c r="FF9" s="359" t="e">
        <f t="shared" si="14"/>
        <v>#VALUE!</v>
      </c>
      <c r="FG9" s="359" t="e">
        <f t="shared" si="14"/>
        <v>#VALUE!</v>
      </c>
      <c r="FH9" s="359" t="e">
        <f t="shared" ref="FH9:HS9" si="15">SUM(FH7:FH8)</f>
        <v>#VALUE!</v>
      </c>
      <c r="FI9" s="359" t="e">
        <f t="shared" si="15"/>
        <v>#VALUE!</v>
      </c>
      <c r="FJ9" s="359" t="e">
        <f t="shared" si="15"/>
        <v>#VALUE!</v>
      </c>
      <c r="FK9" s="359" t="e">
        <f t="shared" si="15"/>
        <v>#VALUE!</v>
      </c>
      <c r="FL9" s="359" t="e">
        <f t="shared" si="15"/>
        <v>#VALUE!</v>
      </c>
      <c r="FM9" s="359" t="e">
        <f t="shared" si="15"/>
        <v>#VALUE!</v>
      </c>
      <c r="FN9" s="359" t="e">
        <f t="shared" si="15"/>
        <v>#VALUE!</v>
      </c>
      <c r="FO9" s="359" t="e">
        <f t="shared" si="15"/>
        <v>#VALUE!</v>
      </c>
      <c r="FP9" s="359" t="e">
        <f t="shared" si="15"/>
        <v>#VALUE!</v>
      </c>
      <c r="FQ9" s="359" t="e">
        <f t="shared" si="15"/>
        <v>#VALUE!</v>
      </c>
      <c r="FR9" s="359" t="e">
        <f t="shared" si="15"/>
        <v>#VALUE!</v>
      </c>
      <c r="FS9" s="359" t="e">
        <f t="shared" si="15"/>
        <v>#VALUE!</v>
      </c>
      <c r="FT9" s="359" t="e">
        <f t="shared" si="15"/>
        <v>#VALUE!</v>
      </c>
      <c r="FU9" s="359" t="e">
        <f t="shared" si="15"/>
        <v>#VALUE!</v>
      </c>
      <c r="FV9" s="359" t="e">
        <f t="shared" si="15"/>
        <v>#VALUE!</v>
      </c>
      <c r="FW9" s="359" t="e">
        <f t="shared" si="15"/>
        <v>#VALUE!</v>
      </c>
      <c r="FX9" s="359" t="e">
        <f t="shared" si="15"/>
        <v>#VALUE!</v>
      </c>
      <c r="FY9" s="359" t="e">
        <f t="shared" si="15"/>
        <v>#VALUE!</v>
      </c>
      <c r="FZ9" s="359" t="e">
        <f t="shared" si="15"/>
        <v>#VALUE!</v>
      </c>
      <c r="GA9" s="359" t="e">
        <f t="shared" si="15"/>
        <v>#VALUE!</v>
      </c>
      <c r="GB9" s="359" t="e">
        <f t="shared" si="15"/>
        <v>#VALUE!</v>
      </c>
      <c r="GC9" s="359" t="e">
        <f t="shared" si="15"/>
        <v>#VALUE!</v>
      </c>
      <c r="GD9" s="359" t="e">
        <f t="shared" si="15"/>
        <v>#VALUE!</v>
      </c>
      <c r="GE9" s="359" t="e">
        <f t="shared" si="15"/>
        <v>#VALUE!</v>
      </c>
      <c r="GF9" s="359" t="e">
        <f t="shared" si="15"/>
        <v>#VALUE!</v>
      </c>
      <c r="GG9" s="359" t="e">
        <f t="shared" si="15"/>
        <v>#VALUE!</v>
      </c>
      <c r="GH9" s="359" t="e">
        <f t="shared" si="15"/>
        <v>#VALUE!</v>
      </c>
      <c r="GI9" s="359" t="e">
        <f t="shared" si="15"/>
        <v>#VALUE!</v>
      </c>
      <c r="GJ9" s="359" t="e">
        <f t="shared" si="15"/>
        <v>#VALUE!</v>
      </c>
      <c r="GK9" s="359" t="e">
        <f t="shared" si="15"/>
        <v>#VALUE!</v>
      </c>
      <c r="GL9" s="359" t="e">
        <f t="shared" si="15"/>
        <v>#VALUE!</v>
      </c>
      <c r="GM9" s="359" t="e">
        <f t="shared" si="15"/>
        <v>#VALUE!</v>
      </c>
      <c r="GN9" s="359" t="e">
        <f t="shared" si="15"/>
        <v>#VALUE!</v>
      </c>
      <c r="GO9" s="359" t="e">
        <f t="shared" si="15"/>
        <v>#VALUE!</v>
      </c>
      <c r="GP9" s="359" t="e">
        <f t="shared" si="15"/>
        <v>#VALUE!</v>
      </c>
      <c r="GQ9" s="359" t="e">
        <f t="shared" si="15"/>
        <v>#VALUE!</v>
      </c>
      <c r="GR9" s="359" t="e">
        <f t="shared" si="15"/>
        <v>#VALUE!</v>
      </c>
      <c r="GS9" s="359" t="e">
        <f t="shared" si="15"/>
        <v>#VALUE!</v>
      </c>
      <c r="GT9" s="359" t="e">
        <f t="shared" si="15"/>
        <v>#VALUE!</v>
      </c>
      <c r="GU9" s="359" t="e">
        <f t="shared" si="15"/>
        <v>#VALUE!</v>
      </c>
      <c r="GV9" s="359" t="e">
        <f t="shared" si="15"/>
        <v>#VALUE!</v>
      </c>
      <c r="GW9" s="359" t="e">
        <f t="shared" si="15"/>
        <v>#VALUE!</v>
      </c>
      <c r="GX9" s="359" t="e">
        <f t="shared" si="15"/>
        <v>#VALUE!</v>
      </c>
      <c r="GY9" s="359" t="e">
        <f t="shared" si="15"/>
        <v>#VALUE!</v>
      </c>
      <c r="GZ9" s="359" t="e">
        <f t="shared" si="15"/>
        <v>#VALUE!</v>
      </c>
      <c r="HA9" s="359" t="e">
        <f t="shared" si="15"/>
        <v>#VALUE!</v>
      </c>
      <c r="HB9" s="359" t="e">
        <f t="shared" si="15"/>
        <v>#VALUE!</v>
      </c>
      <c r="HC9" s="359" t="e">
        <f t="shared" si="15"/>
        <v>#VALUE!</v>
      </c>
      <c r="HD9" s="359" t="e">
        <f t="shared" si="15"/>
        <v>#VALUE!</v>
      </c>
      <c r="HE9" s="359" t="e">
        <f t="shared" si="15"/>
        <v>#VALUE!</v>
      </c>
      <c r="HF9" s="359" t="e">
        <f t="shared" si="15"/>
        <v>#VALUE!</v>
      </c>
      <c r="HG9" s="359" t="e">
        <f t="shared" si="15"/>
        <v>#VALUE!</v>
      </c>
      <c r="HH9" s="359" t="e">
        <f t="shared" si="15"/>
        <v>#VALUE!</v>
      </c>
      <c r="HI9" s="359" t="e">
        <f t="shared" si="15"/>
        <v>#VALUE!</v>
      </c>
      <c r="HJ9" s="359" t="e">
        <f t="shared" si="15"/>
        <v>#VALUE!</v>
      </c>
      <c r="HK9" s="359" t="e">
        <f t="shared" si="15"/>
        <v>#VALUE!</v>
      </c>
      <c r="HL9" s="359" t="e">
        <f t="shared" si="15"/>
        <v>#VALUE!</v>
      </c>
      <c r="HM9" s="359" t="e">
        <f t="shared" si="15"/>
        <v>#VALUE!</v>
      </c>
      <c r="HN9" s="359" t="e">
        <f t="shared" si="15"/>
        <v>#VALUE!</v>
      </c>
      <c r="HO9" s="359" t="e">
        <f t="shared" si="15"/>
        <v>#VALUE!</v>
      </c>
      <c r="HP9" s="359" t="e">
        <f t="shared" si="15"/>
        <v>#VALUE!</v>
      </c>
      <c r="HQ9" s="359" t="e">
        <f t="shared" si="15"/>
        <v>#VALUE!</v>
      </c>
      <c r="HR9" s="359" t="e">
        <f t="shared" si="15"/>
        <v>#VALUE!</v>
      </c>
      <c r="HS9" s="359" t="e">
        <f t="shared" si="15"/>
        <v>#VALUE!</v>
      </c>
      <c r="HT9" s="359" t="e">
        <f t="shared" ref="HT9:KE9" si="16">SUM(HT7:HT8)</f>
        <v>#VALUE!</v>
      </c>
      <c r="HU9" s="359" t="e">
        <f t="shared" si="16"/>
        <v>#VALUE!</v>
      </c>
      <c r="HV9" s="359" t="e">
        <f t="shared" si="16"/>
        <v>#VALUE!</v>
      </c>
      <c r="HW9" s="359" t="e">
        <f t="shared" si="16"/>
        <v>#VALUE!</v>
      </c>
      <c r="HX9" s="359" t="e">
        <f t="shared" si="16"/>
        <v>#VALUE!</v>
      </c>
      <c r="HY9" s="359" t="e">
        <f t="shared" si="16"/>
        <v>#VALUE!</v>
      </c>
      <c r="HZ9" s="359" t="e">
        <f t="shared" si="16"/>
        <v>#VALUE!</v>
      </c>
      <c r="IA9" s="359" t="e">
        <f t="shared" si="16"/>
        <v>#VALUE!</v>
      </c>
      <c r="IB9" s="359" t="e">
        <f t="shared" si="16"/>
        <v>#VALUE!</v>
      </c>
      <c r="IC9" s="359" t="e">
        <f t="shared" si="16"/>
        <v>#VALUE!</v>
      </c>
      <c r="ID9" s="359" t="e">
        <f t="shared" si="16"/>
        <v>#VALUE!</v>
      </c>
      <c r="IE9" s="359" t="e">
        <f t="shared" si="16"/>
        <v>#VALUE!</v>
      </c>
      <c r="IF9" s="359" t="e">
        <f t="shared" si="16"/>
        <v>#VALUE!</v>
      </c>
      <c r="IG9" s="359" t="e">
        <f t="shared" si="16"/>
        <v>#VALUE!</v>
      </c>
      <c r="IH9" s="359" t="e">
        <f t="shared" si="16"/>
        <v>#VALUE!</v>
      </c>
      <c r="II9" s="359" t="e">
        <f t="shared" si="16"/>
        <v>#VALUE!</v>
      </c>
      <c r="IJ9" s="359" t="e">
        <f t="shared" si="16"/>
        <v>#VALUE!</v>
      </c>
      <c r="IK9" s="359" t="e">
        <f t="shared" si="16"/>
        <v>#VALUE!</v>
      </c>
      <c r="IL9" s="359" t="e">
        <f t="shared" si="16"/>
        <v>#VALUE!</v>
      </c>
      <c r="IM9" s="359" t="e">
        <f t="shared" si="16"/>
        <v>#VALUE!</v>
      </c>
      <c r="IN9" s="359" t="e">
        <f t="shared" si="16"/>
        <v>#VALUE!</v>
      </c>
      <c r="IO9" s="359" t="e">
        <f t="shared" si="16"/>
        <v>#VALUE!</v>
      </c>
      <c r="IP9" s="359" t="e">
        <f t="shared" si="16"/>
        <v>#VALUE!</v>
      </c>
      <c r="IQ9" s="359" t="e">
        <f t="shared" si="16"/>
        <v>#VALUE!</v>
      </c>
      <c r="IR9" s="359" t="e">
        <f t="shared" si="16"/>
        <v>#VALUE!</v>
      </c>
      <c r="IS9" s="359" t="e">
        <f t="shared" si="16"/>
        <v>#VALUE!</v>
      </c>
      <c r="IT9" s="359" t="e">
        <f t="shared" si="16"/>
        <v>#VALUE!</v>
      </c>
      <c r="IU9" s="359" t="e">
        <f t="shared" si="16"/>
        <v>#VALUE!</v>
      </c>
      <c r="IV9" s="359" t="e">
        <f t="shared" si="16"/>
        <v>#VALUE!</v>
      </c>
      <c r="IW9" s="359" t="e">
        <f t="shared" si="16"/>
        <v>#VALUE!</v>
      </c>
      <c r="IX9" s="359" t="e">
        <f t="shared" si="16"/>
        <v>#VALUE!</v>
      </c>
      <c r="IY9" s="359" t="e">
        <f t="shared" si="16"/>
        <v>#VALUE!</v>
      </c>
      <c r="IZ9" s="359" t="e">
        <f t="shared" si="16"/>
        <v>#VALUE!</v>
      </c>
      <c r="JA9" s="359" t="e">
        <f t="shared" si="16"/>
        <v>#VALUE!</v>
      </c>
      <c r="JB9" s="359" t="e">
        <f t="shared" si="16"/>
        <v>#VALUE!</v>
      </c>
      <c r="JC9" s="359" t="e">
        <f t="shared" si="16"/>
        <v>#VALUE!</v>
      </c>
      <c r="JD9" s="359" t="e">
        <f t="shared" si="16"/>
        <v>#VALUE!</v>
      </c>
      <c r="JE9" s="359" t="e">
        <f t="shared" si="16"/>
        <v>#VALUE!</v>
      </c>
      <c r="JF9" s="359" t="e">
        <f t="shared" si="16"/>
        <v>#VALUE!</v>
      </c>
      <c r="JG9" s="359" t="e">
        <f t="shared" si="16"/>
        <v>#VALUE!</v>
      </c>
      <c r="JH9" s="359" t="e">
        <f t="shared" si="16"/>
        <v>#VALUE!</v>
      </c>
      <c r="JI9" s="359" t="e">
        <f t="shared" si="16"/>
        <v>#VALUE!</v>
      </c>
      <c r="JJ9" s="359" t="e">
        <f t="shared" si="16"/>
        <v>#VALUE!</v>
      </c>
      <c r="JK9" s="359" t="e">
        <f t="shared" si="16"/>
        <v>#VALUE!</v>
      </c>
      <c r="JL9" s="359" t="e">
        <f t="shared" si="16"/>
        <v>#VALUE!</v>
      </c>
      <c r="JM9" s="359" t="e">
        <f t="shared" si="16"/>
        <v>#VALUE!</v>
      </c>
      <c r="JN9" s="359" t="e">
        <f t="shared" si="16"/>
        <v>#VALUE!</v>
      </c>
      <c r="JO9" s="359" t="e">
        <f t="shared" si="16"/>
        <v>#VALUE!</v>
      </c>
      <c r="JP9" s="359" t="e">
        <f t="shared" si="16"/>
        <v>#VALUE!</v>
      </c>
      <c r="JQ9" s="359" t="e">
        <f t="shared" si="16"/>
        <v>#VALUE!</v>
      </c>
      <c r="JR9" s="359" t="e">
        <f t="shared" si="16"/>
        <v>#VALUE!</v>
      </c>
      <c r="JS9" s="359" t="e">
        <f t="shared" si="16"/>
        <v>#VALUE!</v>
      </c>
      <c r="JT9" s="359" t="e">
        <f t="shared" si="16"/>
        <v>#VALUE!</v>
      </c>
      <c r="JU9" s="359" t="e">
        <f t="shared" si="16"/>
        <v>#VALUE!</v>
      </c>
      <c r="JV9" s="359" t="e">
        <f t="shared" si="16"/>
        <v>#VALUE!</v>
      </c>
      <c r="JW9" s="359" t="e">
        <f t="shared" si="16"/>
        <v>#VALUE!</v>
      </c>
      <c r="JX9" s="359" t="e">
        <f t="shared" si="16"/>
        <v>#VALUE!</v>
      </c>
      <c r="JY9" s="359" t="e">
        <f t="shared" si="16"/>
        <v>#VALUE!</v>
      </c>
      <c r="JZ9" s="359" t="e">
        <f t="shared" si="16"/>
        <v>#VALUE!</v>
      </c>
      <c r="KA9" s="359" t="e">
        <f t="shared" si="16"/>
        <v>#VALUE!</v>
      </c>
      <c r="KB9" s="359" t="e">
        <f t="shared" si="16"/>
        <v>#VALUE!</v>
      </c>
      <c r="KC9" s="359" t="e">
        <f t="shared" si="16"/>
        <v>#VALUE!</v>
      </c>
      <c r="KD9" s="359" t="e">
        <f t="shared" si="16"/>
        <v>#VALUE!</v>
      </c>
      <c r="KE9" s="359" t="e">
        <f t="shared" si="16"/>
        <v>#VALUE!</v>
      </c>
      <c r="KF9" s="359" t="e">
        <f t="shared" ref="KF9:MQ9" si="17">SUM(KF7:KF8)</f>
        <v>#VALUE!</v>
      </c>
      <c r="KG9" s="359" t="e">
        <f t="shared" si="17"/>
        <v>#VALUE!</v>
      </c>
      <c r="KH9" s="359" t="e">
        <f t="shared" si="17"/>
        <v>#VALUE!</v>
      </c>
      <c r="KI9" s="359" t="e">
        <f t="shared" si="17"/>
        <v>#VALUE!</v>
      </c>
      <c r="KJ9" s="359" t="e">
        <f t="shared" si="17"/>
        <v>#VALUE!</v>
      </c>
      <c r="KK9" s="359" t="e">
        <f t="shared" si="17"/>
        <v>#VALUE!</v>
      </c>
      <c r="KL9" s="359" t="e">
        <f t="shared" si="17"/>
        <v>#VALUE!</v>
      </c>
      <c r="KM9" s="359" t="e">
        <f t="shared" si="17"/>
        <v>#VALUE!</v>
      </c>
      <c r="KN9" s="359" t="e">
        <f t="shared" si="17"/>
        <v>#VALUE!</v>
      </c>
      <c r="KO9" s="359" t="e">
        <f t="shared" si="17"/>
        <v>#VALUE!</v>
      </c>
      <c r="KP9" s="359" t="e">
        <f t="shared" si="17"/>
        <v>#VALUE!</v>
      </c>
      <c r="KQ9" s="359" t="e">
        <f t="shared" si="17"/>
        <v>#VALUE!</v>
      </c>
      <c r="KR9" s="359" t="e">
        <f t="shared" si="17"/>
        <v>#VALUE!</v>
      </c>
      <c r="KS9" s="359" t="e">
        <f t="shared" si="17"/>
        <v>#VALUE!</v>
      </c>
      <c r="KT9" s="359" t="e">
        <f t="shared" si="17"/>
        <v>#VALUE!</v>
      </c>
      <c r="KU9" s="359" t="e">
        <f t="shared" si="17"/>
        <v>#VALUE!</v>
      </c>
      <c r="KV9" s="359" t="e">
        <f t="shared" si="17"/>
        <v>#VALUE!</v>
      </c>
      <c r="KW9" s="359" t="e">
        <f t="shared" si="17"/>
        <v>#VALUE!</v>
      </c>
      <c r="KX9" s="359" t="e">
        <f t="shared" si="17"/>
        <v>#VALUE!</v>
      </c>
      <c r="KY9" s="359" t="e">
        <f t="shared" si="17"/>
        <v>#VALUE!</v>
      </c>
      <c r="KZ9" s="359" t="e">
        <f t="shared" si="17"/>
        <v>#VALUE!</v>
      </c>
      <c r="LA9" s="359" t="e">
        <f t="shared" si="17"/>
        <v>#VALUE!</v>
      </c>
      <c r="LB9" s="359" t="e">
        <f t="shared" si="17"/>
        <v>#VALUE!</v>
      </c>
      <c r="LC9" s="359" t="e">
        <f t="shared" si="17"/>
        <v>#VALUE!</v>
      </c>
      <c r="LD9" s="359" t="e">
        <f t="shared" si="17"/>
        <v>#VALUE!</v>
      </c>
      <c r="LE9" s="359" t="e">
        <f t="shared" si="17"/>
        <v>#VALUE!</v>
      </c>
      <c r="LF9" s="359" t="e">
        <f t="shared" si="17"/>
        <v>#VALUE!</v>
      </c>
      <c r="LG9" s="359" t="e">
        <f t="shared" si="17"/>
        <v>#VALUE!</v>
      </c>
      <c r="LH9" s="359" t="e">
        <f t="shared" si="17"/>
        <v>#VALUE!</v>
      </c>
      <c r="LI9" s="359" t="e">
        <f t="shared" si="17"/>
        <v>#VALUE!</v>
      </c>
      <c r="LJ9" s="359" t="e">
        <f t="shared" si="17"/>
        <v>#VALUE!</v>
      </c>
      <c r="LK9" s="359" t="e">
        <f t="shared" si="17"/>
        <v>#VALUE!</v>
      </c>
      <c r="LL9" s="359" t="e">
        <f t="shared" si="17"/>
        <v>#VALUE!</v>
      </c>
      <c r="LM9" s="359" t="e">
        <f t="shared" si="17"/>
        <v>#VALUE!</v>
      </c>
      <c r="LN9" s="359" t="e">
        <f t="shared" si="17"/>
        <v>#VALUE!</v>
      </c>
      <c r="LO9" s="359" t="e">
        <f t="shared" si="17"/>
        <v>#VALUE!</v>
      </c>
      <c r="LP9" s="359" t="e">
        <f t="shared" si="17"/>
        <v>#VALUE!</v>
      </c>
      <c r="LQ9" s="359" t="e">
        <f t="shared" si="17"/>
        <v>#VALUE!</v>
      </c>
      <c r="LR9" s="359" t="e">
        <f t="shared" si="17"/>
        <v>#VALUE!</v>
      </c>
      <c r="LS9" s="359" t="e">
        <f t="shared" si="17"/>
        <v>#VALUE!</v>
      </c>
      <c r="LT9" s="359" t="e">
        <f t="shared" si="17"/>
        <v>#VALUE!</v>
      </c>
      <c r="LU9" s="359" t="e">
        <f t="shared" si="17"/>
        <v>#VALUE!</v>
      </c>
      <c r="LV9" s="359" t="e">
        <f t="shared" si="17"/>
        <v>#VALUE!</v>
      </c>
      <c r="LW9" s="359" t="e">
        <f t="shared" si="17"/>
        <v>#VALUE!</v>
      </c>
      <c r="LX9" s="359" t="e">
        <f t="shared" si="17"/>
        <v>#VALUE!</v>
      </c>
      <c r="LY9" s="359" t="e">
        <f t="shared" si="17"/>
        <v>#VALUE!</v>
      </c>
      <c r="LZ9" s="359" t="e">
        <f t="shared" si="17"/>
        <v>#VALUE!</v>
      </c>
      <c r="MA9" s="359" t="e">
        <f t="shared" si="17"/>
        <v>#VALUE!</v>
      </c>
      <c r="MB9" s="359" t="e">
        <f t="shared" si="17"/>
        <v>#VALUE!</v>
      </c>
      <c r="MC9" s="359" t="e">
        <f t="shared" si="17"/>
        <v>#VALUE!</v>
      </c>
      <c r="MD9" s="359" t="e">
        <f t="shared" si="17"/>
        <v>#VALUE!</v>
      </c>
      <c r="ME9" s="359" t="e">
        <f t="shared" si="17"/>
        <v>#VALUE!</v>
      </c>
      <c r="MF9" s="359" t="e">
        <f t="shared" si="17"/>
        <v>#VALUE!</v>
      </c>
      <c r="MG9" s="359" t="e">
        <f t="shared" si="17"/>
        <v>#VALUE!</v>
      </c>
      <c r="MH9" s="359" t="e">
        <f t="shared" si="17"/>
        <v>#VALUE!</v>
      </c>
      <c r="MI9" s="359" t="e">
        <f t="shared" si="17"/>
        <v>#VALUE!</v>
      </c>
      <c r="MJ9" s="359" t="e">
        <f t="shared" si="17"/>
        <v>#VALUE!</v>
      </c>
      <c r="MK9" s="359" t="e">
        <f t="shared" si="17"/>
        <v>#VALUE!</v>
      </c>
      <c r="ML9" s="359" t="e">
        <f t="shared" si="17"/>
        <v>#VALUE!</v>
      </c>
      <c r="MM9" s="359" t="e">
        <f t="shared" si="17"/>
        <v>#VALUE!</v>
      </c>
      <c r="MN9" s="359" t="e">
        <f t="shared" si="17"/>
        <v>#VALUE!</v>
      </c>
      <c r="MO9" s="359" t="e">
        <f t="shared" si="17"/>
        <v>#VALUE!</v>
      </c>
      <c r="MP9" s="359" t="e">
        <f t="shared" si="17"/>
        <v>#VALUE!</v>
      </c>
      <c r="MQ9" s="359" t="e">
        <f t="shared" si="17"/>
        <v>#VALUE!</v>
      </c>
      <c r="MR9" s="359" t="e">
        <f t="shared" ref="MR9:NG9" si="18">SUM(MR7:MR8)</f>
        <v>#VALUE!</v>
      </c>
      <c r="MS9" s="359" t="e">
        <f t="shared" si="18"/>
        <v>#VALUE!</v>
      </c>
      <c r="MT9" s="359" t="e">
        <f t="shared" si="18"/>
        <v>#VALUE!</v>
      </c>
      <c r="MU9" s="359" t="e">
        <f t="shared" si="18"/>
        <v>#VALUE!</v>
      </c>
      <c r="MV9" s="359" t="e">
        <f t="shared" si="18"/>
        <v>#VALUE!</v>
      </c>
      <c r="MW9" s="359" t="e">
        <f t="shared" si="18"/>
        <v>#VALUE!</v>
      </c>
      <c r="MX9" s="359" t="e">
        <f t="shared" si="18"/>
        <v>#VALUE!</v>
      </c>
      <c r="MY9" s="359" t="e">
        <f t="shared" si="18"/>
        <v>#VALUE!</v>
      </c>
      <c r="MZ9" s="359" t="e">
        <f t="shared" si="18"/>
        <v>#VALUE!</v>
      </c>
      <c r="NA9" s="359" t="e">
        <f t="shared" si="18"/>
        <v>#VALUE!</v>
      </c>
      <c r="NB9" s="359" t="e">
        <f t="shared" si="18"/>
        <v>#VALUE!</v>
      </c>
      <c r="NC9" s="359" t="e">
        <f t="shared" si="18"/>
        <v>#VALUE!</v>
      </c>
      <c r="ND9" s="359" t="e">
        <f t="shared" si="18"/>
        <v>#VALUE!</v>
      </c>
      <c r="NE9" s="359" t="e">
        <f t="shared" si="18"/>
        <v>#VALUE!</v>
      </c>
      <c r="NF9" s="359" t="e">
        <f t="shared" si="18"/>
        <v>#VALUE!</v>
      </c>
      <c r="NG9" s="359" t="e">
        <f t="shared" si="18"/>
        <v>#VALUE!</v>
      </c>
    </row>
    <row r="10" spans="1:371" x14ac:dyDescent="0.25">
      <c r="A10" s="360"/>
    </row>
    <row r="11" spans="1:371" x14ac:dyDescent="0.25">
      <c r="A11" s="357" t="s">
        <v>397</v>
      </c>
      <c r="D11" s="90" t="e">
        <v>#VALUE!</v>
      </c>
      <c r="E11" s="90" t="e">
        <v>#VALUE!</v>
      </c>
      <c r="F11" s="90" t="e">
        <v>#VALUE!</v>
      </c>
      <c r="G11" s="90" t="e">
        <v>#VALUE!</v>
      </c>
      <c r="H11" s="90" t="e">
        <v>#VALUE!</v>
      </c>
      <c r="I11" s="90" t="e">
        <v>#VALUE!</v>
      </c>
      <c r="J11" s="90" t="e">
        <v>#VALUE!</v>
      </c>
      <c r="K11" s="90" t="e">
        <v>#VALUE!</v>
      </c>
      <c r="L11" s="90" t="e">
        <v>#VALUE!</v>
      </c>
      <c r="M11" s="90" t="e">
        <v>#VALUE!</v>
      </c>
      <c r="N11" s="90" t="e">
        <v>#VALUE!</v>
      </c>
      <c r="O11" s="90" t="e">
        <v>#VALUE!</v>
      </c>
      <c r="P11" s="90" t="e">
        <v>#VALUE!</v>
      </c>
      <c r="Q11" s="90" t="e">
        <v>#VALUE!</v>
      </c>
      <c r="R11" s="90" t="e">
        <v>#VALUE!</v>
      </c>
      <c r="S11" s="90" t="e">
        <v>#VALUE!</v>
      </c>
      <c r="T11" s="90" t="e">
        <v>#VALUE!</v>
      </c>
      <c r="U11" s="90" t="e">
        <v>#VALUE!</v>
      </c>
      <c r="V11" s="90" t="e">
        <v>#VALUE!</v>
      </c>
      <c r="W11" s="90" t="e">
        <v>#VALUE!</v>
      </c>
      <c r="X11" s="90" t="e">
        <v>#VALUE!</v>
      </c>
      <c r="Y11" s="90" t="e">
        <v>#VALUE!</v>
      </c>
      <c r="Z11" s="90" t="e">
        <v>#VALUE!</v>
      </c>
      <c r="AA11" s="90" t="e">
        <v>#VALUE!</v>
      </c>
      <c r="AB11" s="90" t="e">
        <v>#VALUE!</v>
      </c>
      <c r="AC11" s="90" t="e">
        <v>#VALUE!</v>
      </c>
      <c r="AD11" s="90" t="e">
        <v>#VALUE!</v>
      </c>
      <c r="AE11" s="90" t="e">
        <v>#VALUE!</v>
      </c>
      <c r="AF11" s="90" t="e">
        <v>#VALUE!</v>
      </c>
      <c r="AG11" s="90" t="e">
        <v>#VALUE!</v>
      </c>
      <c r="AH11" s="90" t="e">
        <v>#VALUE!</v>
      </c>
      <c r="AI11" s="90" t="e">
        <v>#VALUE!</v>
      </c>
      <c r="AJ11" s="90" t="e">
        <v>#VALUE!</v>
      </c>
      <c r="AK11" s="90" t="e">
        <v>#VALUE!</v>
      </c>
      <c r="AL11" s="90" t="e">
        <v>#VALUE!</v>
      </c>
      <c r="AM11" s="90" t="e">
        <v>#VALUE!</v>
      </c>
      <c r="AN11" s="90" t="e">
        <v>#VALUE!</v>
      </c>
      <c r="AO11" s="90" t="e">
        <v>#VALUE!</v>
      </c>
      <c r="AP11" s="90" t="e">
        <v>#VALUE!</v>
      </c>
      <c r="AQ11" s="90" t="e">
        <v>#VALUE!</v>
      </c>
      <c r="AR11" s="90" t="e">
        <v>#VALUE!</v>
      </c>
      <c r="AS11" s="90" t="e">
        <v>#VALUE!</v>
      </c>
      <c r="AT11" s="90" t="e">
        <v>#VALUE!</v>
      </c>
      <c r="AU11" s="90" t="e">
        <v>#VALUE!</v>
      </c>
      <c r="AV11" s="90" t="e">
        <v>#VALUE!</v>
      </c>
      <c r="AW11" s="90" t="e">
        <v>#VALUE!</v>
      </c>
      <c r="AX11" s="90" t="e">
        <v>#VALUE!</v>
      </c>
      <c r="AY11" s="90" t="e">
        <v>#VALUE!</v>
      </c>
      <c r="AZ11" s="90" t="e">
        <v>#VALUE!</v>
      </c>
      <c r="BA11" s="90" t="e">
        <v>#VALUE!</v>
      </c>
      <c r="BB11" s="90" t="e">
        <v>#VALUE!</v>
      </c>
      <c r="BC11" s="90" t="e">
        <v>#VALUE!</v>
      </c>
      <c r="BD11" s="90" t="e">
        <v>#VALUE!</v>
      </c>
      <c r="BE11" s="90" t="e">
        <v>#VALUE!</v>
      </c>
      <c r="BF11" s="90" t="e">
        <v>#VALUE!</v>
      </c>
      <c r="BG11" s="90" t="e">
        <v>#VALUE!</v>
      </c>
      <c r="BH11" s="90" t="e">
        <v>#VALUE!</v>
      </c>
      <c r="BI11" s="90" t="e">
        <v>#VALUE!</v>
      </c>
      <c r="BJ11" s="90" t="e">
        <v>#VALUE!</v>
      </c>
      <c r="BK11" s="90" t="e">
        <v>#VALUE!</v>
      </c>
      <c r="BL11" s="90" t="e">
        <v>#VALUE!</v>
      </c>
      <c r="BM11" s="90" t="e">
        <v>#VALUE!</v>
      </c>
      <c r="BN11" s="90" t="e">
        <v>#VALUE!</v>
      </c>
      <c r="BO11" s="90" t="e">
        <v>#VALUE!</v>
      </c>
      <c r="BP11" s="90" t="e">
        <v>#VALUE!</v>
      </c>
      <c r="BQ11" s="90" t="e">
        <v>#VALUE!</v>
      </c>
      <c r="BR11" s="90" t="e">
        <v>#VALUE!</v>
      </c>
      <c r="BS11" s="90" t="e">
        <v>#VALUE!</v>
      </c>
      <c r="BT11" s="90" t="e">
        <v>#VALUE!</v>
      </c>
      <c r="BU11" s="90" t="e">
        <v>#VALUE!</v>
      </c>
      <c r="BV11" s="90" t="e">
        <v>#VALUE!</v>
      </c>
      <c r="BW11" s="90" t="e">
        <v>#VALUE!</v>
      </c>
      <c r="BX11" s="90" t="e">
        <v>#VALUE!</v>
      </c>
      <c r="BY11" s="90" t="e">
        <v>#VALUE!</v>
      </c>
      <c r="BZ11" s="90" t="e">
        <v>#VALUE!</v>
      </c>
      <c r="CA11" s="90" t="e">
        <v>#VALUE!</v>
      </c>
      <c r="CB11" s="90" t="e">
        <v>#VALUE!</v>
      </c>
      <c r="CC11" s="90" t="e">
        <v>#VALUE!</v>
      </c>
      <c r="CD11" s="90" t="e">
        <v>#VALUE!</v>
      </c>
      <c r="CE11" s="90" t="e">
        <v>#VALUE!</v>
      </c>
      <c r="CF11" s="90" t="e">
        <v>#VALUE!</v>
      </c>
      <c r="CG11" s="90" t="e">
        <v>#VALUE!</v>
      </c>
      <c r="CH11" s="90" t="e">
        <v>#VALUE!</v>
      </c>
      <c r="CI11" s="90" t="e">
        <v>#VALUE!</v>
      </c>
      <c r="CJ11" s="90" t="e">
        <v>#VALUE!</v>
      </c>
      <c r="CK11" s="90" t="e">
        <v>#VALUE!</v>
      </c>
      <c r="CL11" s="90" t="e">
        <v>#VALUE!</v>
      </c>
      <c r="CM11" s="90" t="e">
        <v>#VALUE!</v>
      </c>
      <c r="CN11" s="90" t="e">
        <v>#VALUE!</v>
      </c>
      <c r="CO11" s="90" t="e">
        <v>#VALUE!</v>
      </c>
      <c r="CP11" s="90" t="e">
        <v>#VALUE!</v>
      </c>
      <c r="CQ11" s="90" t="e">
        <v>#VALUE!</v>
      </c>
      <c r="CR11" s="90" t="e">
        <v>#VALUE!</v>
      </c>
      <c r="CS11" s="90" t="e">
        <v>#VALUE!</v>
      </c>
      <c r="CT11" s="90" t="e">
        <v>#VALUE!</v>
      </c>
      <c r="CU11" s="90" t="e">
        <v>#VALUE!</v>
      </c>
      <c r="CV11" s="90" t="e">
        <v>#VALUE!</v>
      </c>
      <c r="CW11" s="90" t="e">
        <v>#VALUE!</v>
      </c>
      <c r="CX11" s="90" t="e">
        <v>#VALUE!</v>
      </c>
      <c r="CY11" s="90" t="e">
        <v>#VALUE!</v>
      </c>
      <c r="CZ11" s="90" t="e">
        <v>#VALUE!</v>
      </c>
      <c r="DA11" s="90" t="e">
        <v>#VALUE!</v>
      </c>
      <c r="DB11" s="90" t="e">
        <v>#VALUE!</v>
      </c>
      <c r="DC11" s="90" t="e">
        <v>#VALUE!</v>
      </c>
      <c r="DD11" s="90" t="e">
        <v>#VALUE!</v>
      </c>
      <c r="DE11" s="90" t="e">
        <v>#VALUE!</v>
      </c>
      <c r="DF11" s="90" t="e">
        <v>#VALUE!</v>
      </c>
      <c r="DG11" s="90" t="e">
        <v>#VALUE!</v>
      </c>
      <c r="DH11" s="90" t="e">
        <v>#VALUE!</v>
      </c>
      <c r="DI11" s="90" t="e">
        <v>#VALUE!</v>
      </c>
      <c r="DJ11" s="90" t="e">
        <v>#VALUE!</v>
      </c>
      <c r="DK11" s="90" t="e">
        <v>#VALUE!</v>
      </c>
      <c r="DL11" s="90" t="e">
        <v>#VALUE!</v>
      </c>
      <c r="DM11" s="90" t="e">
        <v>#VALUE!</v>
      </c>
      <c r="DN11" s="90" t="e">
        <v>#VALUE!</v>
      </c>
      <c r="DO11" s="90" t="e">
        <v>#VALUE!</v>
      </c>
      <c r="DP11" s="90" t="e">
        <v>#VALUE!</v>
      </c>
      <c r="DQ11" s="90" t="e">
        <v>#VALUE!</v>
      </c>
      <c r="DR11" s="90" t="e">
        <v>#VALUE!</v>
      </c>
      <c r="DS11" s="90" t="e">
        <v>#VALUE!</v>
      </c>
      <c r="DT11" s="90" t="e">
        <v>#VALUE!</v>
      </c>
      <c r="DU11" s="90" t="e">
        <v>#VALUE!</v>
      </c>
      <c r="DV11" s="90" t="e">
        <v>#VALUE!</v>
      </c>
      <c r="DW11" s="90" t="e">
        <v>#VALUE!</v>
      </c>
      <c r="DX11" s="90" t="e">
        <v>#VALUE!</v>
      </c>
      <c r="DY11" s="90" t="e">
        <v>#VALUE!</v>
      </c>
      <c r="DZ11" s="90" t="e">
        <v>#VALUE!</v>
      </c>
      <c r="EA11" s="90" t="e">
        <v>#VALUE!</v>
      </c>
      <c r="EB11" s="90" t="e">
        <v>#VALUE!</v>
      </c>
      <c r="EC11" s="90" t="e">
        <v>#VALUE!</v>
      </c>
      <c r="ED11" s="90" t="e">
        <v>#VALUE!</v>
      </c>
      <c r="EE11" s="90" t="e">
        <v>#VALUE!</v>
      </c>
      <c r="EF11" s="90" t="e">
        <v>#VALUE!</v>
      </c>
      <c r="EG11" s="90" t="e">
        <v>#VALUE!</v>
      </c>
      <c r="EH11" s="90" t="e">
        <v>#VALUE!</v>
      </c>
      <c r="EI11" s="90" t="e">
        <v>#VALUE!</v>
      </c>
      <c r="EJ11" s="90" t="e">
        <v>#VALUE!</v>
      </c>
      <c r="EK11" s="90" t="e">
        <v>#VALUE!</v>
      </c>
      <c r="EL11" s="90" t="e">
        <v>#VALUE!</v>
      </c>
      <c r="EM11" s="90" t="e">
        <v>#VALUE!</v>
      </c>
      <c r="EN11" s="90" t="e">
        <v>#VALUE!</v>
      </c>
      <c r="EO11" s="90" t="e">
        <v>#VALUE!</v>
      </c>
      <c r="EP11" s="90" t="e">
        <v>#VALUE!</v>
      </c>
      <c r="EQ11" s="90" t="e">
        <v>#VALUE!</v>
      </c>
      <c r="ER11" s="90" t="e">
        <v>#VALUE!</v>
      </c>
      <c r="ES11" s="90" t="e">
        <v>#VALUE!</v>
      </c>
      <c r="ET11" s="90" t="e">
        <v>#VALUE!</v>
      </c>
      <c r="EU11" s="90" t="e">
        <v>#VALUE!</v>
      </c>
      <c r="EV11" s="90" t="e">
        <v>#VALUE!</v>
      </c>
      <c r="EW11" s="90" t="e">
        <v>#VALUE!</v>
      </c>
      <c r="EX11" s="90" t="e">
        <v>#VALUE!</v>
      </c>
      <c r="EY11" s="90" t="e">
        <v>#VALUE!</v>
      </c>
      <c r="EZ11" s="90" t="e">
        <v>#VALUE!</v>
      </c>
      <c r="FA11" s="90" t="e">
        <v>#VALUE!</v>
      </c>
      <c r="FB11" s="90" t="e">
        <v>#VALUE!</v>
      </c>
      <c r="FC11" s="90" t="e">
        <v>#VALUE!</v>
      </c>
      <c r="FD11" s="90" t="e">
        <v>#VALUE!</v>
      </c>
      <c r="FE11" s="90" t="e">
        <v>#VALUE!</v>
      </c>
      <c r="FF11" s="90" t="e">
        <v>#VALUE!</v>
      </c>
      <c r="FG11" s="90" t="e">
        <v>#VALUE!</v>
      </c>
      <c r="FH11" s="90" t="e">
        <v>#VALUE!</v>
      </c>
      <c r="FI11" s="90" t="e">
        <v>#VALUE!</v>
      </c>
      <c r="FJ11" s="90" t="e">
        <v>#VALUE!</v>
      </c>
      <c r="FK11" s="90" t="e">
        <v>#VALUE!</v>
      </c>
      <c r="FL11" s="90" t="e">
        <v>#VALUE!</v>
      </c>
      <c r="FM11" s="90" t="e">
        <v>#VALUE!</v>
      </c>
      <c r="FN11" s="90" t="e">
        <v>#VALUE!</v>
      </c>
      <c r="FO11" s="90" t="e">
        <v>#VALUE!</v>
      </c>
      <c r="FP11" s="90" t="e">
        <v>#VALUE!</v>
      </c>
      <c r="FQ11" s="90" t="e">
        <v>#VALUE!</v>
      </c>
      <c r="FR11" s="90" t="e">
        <v>#VALUE!</v>
      </c>
      <c r="FS11" s="90" t="e">
        <v>#VALUE!</v>
      </c>
      <c r="FT11" s="90" t="e">
        <v>#VALUE!</v>
      </c>
      <c r="FU11" s="90" t="e">
        <v>#VALUE!</v>
      </c>
      <c r="FV11" s="90" t="e">
        <v>#VALUE!</v>
      </c>
      <c r="FW11" s="90" t="e">
        <v>#VALUE!</v>
      </c>
      <c r="FX11" s="90" t="e">
        <v>#VALUE!</v>
      </c>
      <c r="FY11" s="90" t="e">
        <v>#VALUE!</v>
      </c>
      <c r="FZ11" s="90" t="e">
        <v>#VALUE!</v>
      </c>
      <c r="GA11" s="90" t="e">
        <v>#VALUE!</v>
      </c>
      <c r="GB11" s="90" t="e">
        <v>#VALUE!</v>
      </c>
      <c r="GC11" s="90" t="e">
        <v>#VALUE!</v>
      </c>
      <c r="GD11" s="90" t="e">
        <v>#VALUE!</v>
      </c>
      <c r="GE11" s="90" t="e">
        <v>#VALUE!</v>
      </c>
      <c r="GF11" s="90" t="e">
        <v>#VALUE!</v>
      </c>
      <c r="GG11" s="90" t="e">
        <v>#VALUE!</v>
      </c>
      <c r="GH11" s="90" t="e">
        <v>#VALUE!</v>
      </c>
      <c r="GI11" s="90" t="e">
        <v>#VALUE!</v>
      </c>
      <c r="GJ11" s="90" t="e">
        <v>#VALUE!</v>
      </c>
      <c r="GK11" s="90" t="e">
        <v>#VALUE!</v>
      </c>
      <c r="GL11" s="90" t="e">
        <v>#VALUE!</v>
      </c>
      <c r="GM11" s="90" t="e">
        <v>#VALUE!</v>
      </c>
      <c r="GN11" s="90" t="e">
        <v>#VALUE!</v>
      </c>
      <c r="GO11" s="90" t="e">
        <v>#VALUE!</v>
      </c>
      <c r="GP11" s="90" t="e">
        <v>#VALUE!</v>
      </c>
      <c r="GQ11" s="90" t="e">
        <v>#VALUE!</v>
      </c>
      <c r="GR11" s="90" t="e">
        <v>#VALUE!</v>
      </c>
      <c r="GS11" s="90" t="e">
        <v>#VALUE!</v>
      </c>
      <c r="GT11" s="90" t="e">
        <v>#VALUE!</v>
      </c>
      <c r="GU11" s="90" t="e">
        <v>#VALUE!</v>
      </c>
      <c r="GV11" s="90" t="e">
        <v>#VALUE!</v>
      </c>
      <c r="GW11" s="90" t="e">
        <v>#VALUE!</v>
      </c>
      <c r="GX11" s="90" t="e">
        <v>#VALUE!</v>
      </c>
      <c r="GY11" s="90" t="e">
        <v>#VALUE!</v>
      </c>
      <c r="GZ11" s="90" t="e">
        <v>#VALUE!</v>
      </c>
      <c r="HA11" s="90" t="e">
        <v>#VALUE!</v>
      </c>
      <c r="HB11" s="90" t="e">
        <v>#VALUE!</v>
      </c>
      <c r="HC11" s="90" t="e">
        <v>#VALUE!</v>
      </c>
      <c r="HD11" s="90" t="e">
        <v>#VALUE!</v>
      </c>
      <c r="HE11" s="90" t="e">
        <v>#VALUE!</v>
      </c>
      <c r="HF11" s="90" t="e">
        <v>#VALUE!</v>
      </c>
      <c r="HG11" s="90" t="e">
        <v>#VALUE!</v>
      </c>
      <c r="HH11" s="90" t="e">
        <v>#VALUE!</v>
      </c>
      <c r="HI11" s="90" t="e">
        <v>#VALUE!</v>
      </c>
      <c r="HJ11" s="90" t="e">
        <v>#VALUE!</v>
      </c>
      <c r="HK11" s="90" t="e">
        <v>#VALUE!</v>
      </c>
      <c r="HL11" s="90" t="e">
        <v>#VALUE!</v>
      </c>
      <c r="HM11" s="90" t="e">
        <v>#VALUE!</v>
      </c>
      <c r="HN11" s="90" t="e">
        <v>#VALUE!</v>
      </c>
      <c r="HO11" s="90" t="e">
        <v>#VALUE!</v>
      </c>
      <c r="HP11" s="90" t="e">
        <v>#VALUE!</v>
      </c>
      <c r="HQ11" s="90" t="e">
        <v>#VALUE!</v>
      </c>
      <c r="HR11" s="90" t="e">
        <v>#VALUE!</v>
      </c>
      <c r="HS11" s="90" t="e">
        <v>#VALUE!</v>
      </c>
      <c r="HT11" s="90" t="e">
        <v>#VALUE!</v>
      </c>
      <c r="HU11" s="90" t="e">
        <v>#VALUE!</v>
      </c>
      <c r="HV11" s="90" t="e">
        <v>#VALUE!</v>
      </c>
      <c r="HW11" s="90" t="e">
        <v>#VALUE!</v>
      </c>
      <c r="HX11" s="90" t="e">
        <v>#VALUE!</v>
      </c>
      <c r="HY11" s="90" t="e">
        <v>#VALUE!</v>
      </c>
      <c r="HZ11" s="90" t="e">
        <v>#VALUE!</v>
      </c>
      <c r="IA11" s="90" t="e">
        <v>#VALUE!</v>
      </c>
      <c r="IB11" s="90" t="e">
        <v>#VALUE!</v>
      </c>
      <c r="IC11" s="90" t="e">
        <v>#VALUE!</v>
      </c>
      <c r="ID11" s="90" t="e">
        <v>#VALUE!</v>
      </c>
      <c r="IE11" s="90" t="e">
        <v>#VALUE!</v>
      </c>
      <c r="IF11" s="90" t="e">
        <v>#VALUE!</v>
      </c>
      <c r="IG11" s="90" t="e">
        <v>#VALUE!</v>
      </c>
      <c r="IH11" s="90" t="e">
        <v>#VALUE!</v>
      </c>
      <c r="II11" s="90" t="e">
        <v>#VALUE!</v>
      </c>
      <c r="IJ11" s="90" t="e">
        <v>#VALUE!</v>
      </c>
      <c r="IK11" s="90" t="e">
        <v>#VALUE!</v>
      </c>
      <c r="IL11" s="90" t="e">
        <v>#VALUE!</v>
      </c>
      <c r="IM11" s="90" t="e">
        <v>#VALUE!</v>
      </c>
      <c r="IN11" s="90" t="e">
        <v>#VALUE!</v>
      </c>
      <c r="IO11" s="90" t="e">
        <v>#VALUE!</v>
      </c>
      <c r="IP11" s="90" t="e">
        <v>#VALUE!</v>
      </c>
      <c r="IQ11" s="90" t="e">
        <v>#VALUE!</v>
      </c>
      <c r="IR11" s="90" t="e">
        <v>#VALUE!</v>
      </c>
      <c r="IS11" s="90" t="e">
        <v>#VALUE!</v>
      </c>
      <c r="IT11" s="90" t="e">
        <v>#VALUE!</v>
      </c>
      <c r="IU11" s="90" t="e">
        <v>#VALUE!</v>
      </c>
      <c r="IV11" s="90" t="e">
        <v>#VALUE!</v>
      </c>
      <c r="IW11" s="90" t="e">
        <v>#VALUE!</v>
      </c>
      <c r="IX11" s="90" t="e">
        <v>#VALUE!</v>
      </c>
      <c r="IY11" s="90" t="e">
        <v>#VALUE!</v>
      </c>
      <c r="IZ11" s="90" t="e">
        <v>#VALUE!</v>
      </c>
      <c r="JA11" s="90" t="e">
        <v>#VALUE!</v>
      </c>
      <c r="JB11" s="90" t="e">
        <v>#VALUE!</v>
      </c>
      <c r="JC11" s="90" t="e">
        <v>#VALUE!</v>
      </c>
      <c r="JD11" s="90" t="e">
        <v>#VALUE!</v>
      </c>
      <c r="JE11" s="90" t="e">
        <v>#VALUE!</v>
      </c>
      <c r="JF11" s="90" t="e">
        <v>#VALUE!</v>
      </c>
      <c r="JG11" s="90" t="e">
        <v>#VALUE!</v>
      </c>
      <c r="JH11" s="90" t="e">
        <v>#VALUE!</v>
      </c>
      <c r="JI11" s="90" t="e">
        <v>#VALUE!</v>
      </c>
      <c r="JJ11" s="90" t="e">
        <v>#VALUE!</v>
      </c>
      <c r="JK11" s="90" t="e">
        <v>#VALUE!</v>
      </c>
      <c r="JL11" s="90" t="e">
        <v>#VALUE!</v>
      </c>
      <c r="JM11" s="90" t="e">
        <v>#VALUE!</v>
      </c>
      <c r="JN11" s="90" t="e">
        <v>#VALUE!</v>
      </c>
      <c r="JO11" s="90" t="e">
        <v>#VALUE!</v>
      </c>
      <c r="JP11" s="90" t="e">
        <v>#VALUE!</v>
      </c>
      <c r="JQ11" s="90" t="e">
        <v>#VALUE!</v>
      </c>
      <c r="JR11" s="90" t="e">
        <v>#VALUE!</v>
      </c>
      <c r="JS11" s="90" t="e">
        <v>#VALUE!</v>
      </c>
      <c r="JT11" s="90" t="e">
        <v>#VALUE!</v>
      </c>
      <c r="JU11" s="90" t="e">
        <v>#VALUE!</v>
      </c>
      <c r="JV11" s="90" t="e">
        <v>#VALUE!</v>
      </c>
      <c r="JW11" s="90" t="e">
        <v>#VALUE!</v>
      </c>
      <c r="JX11" s="90" t="e">
        <v>#VALUE!</v>
      </c>
      <c r="JY11" s="90" t="e">
        <v>#VALUE!</v>
      </c>
      <c r="JZ11" s="90" t="e">
        <v>#VALUE!</v>
      </c>
      <c r="KA11" s="90" t="e">
        <v>#VALUE!</v>
      </c>
      <c r="KB11" s="90" t="e">
        <v>#VALUE!</v>
      </c>
      <c r="KC11" s="90" t="e">
        <v>#VALUE!</v>
      </c>
      <c r="KD11" s="90" t="e">
        <v>#VALUE!</v>
      </c>
      <c r="KE11" s="90" t="e">
        <v>#VALUE!</v>
      </c>
      <c r="KF11" s="90" t="e">
        <v>#VALUE!</v>
      </c>
      <c r="KG11" s="90" t="e">
        <v>#VALUE!</v>
      </c>
      <c r="KH11" s="90" t="e">
        <v>#VALUE!</v>
      </c>
      <c r="KI11" s="90" t="e">
        <v>#VALUE!</v>
      </c>
      <c r="KJ11" s="90" t="e">
        <v>#VALUE!</v>
      </c>
      <c r="KK11" s="90" t="e">
        <v>#VALUE!</v>
      </c>
      <c r="KL11" s="90" t="e">
        <v>#VALUE!</v>
      </c>
      <c r="KM11" s="90" t="e">
        <v>#VALUE!</v>
      </c>
      <c r="KN11" s="90" t="e">
        <v>#VALUE!</v>
      </c>
      <c r="KO11" s="90" t="e">
        <v>#VALUE!</v>
      </c>
      <c r="KP11" s="90" t="e">
        <v>#VALUE!</v>
      </c>
      <c r="KQ11" s="90" t="e">
        <v>#VALUE!</v>
      </c>
      <c r="KR11" s="90" t="e">
        <v>#VALUE!</v>
      </c>
      <c r="KS11" s="90" t="e">
        <v>#VALUE!</v>
      </c>
      <c r="KT11" s="90" t="e">
        <v>#VALUE!</v>
      </c>
      <c r="KU11" s="90" t="e">
        <v>#VALUE!</v>
      </c>
      <c r="KV11" s="90" t="e">
        <v>#VALUE!</v>
      </c>
      <c r="KW11" s="90" t="e">
        <v>#VALUE!</v>
      </c>
      <c r="KX11" s="90" t="e">
        <v>#VALUE!</v>
      </c>
      <c r="KY11" s="90" t="e">
        <v>#VALUE!</v>
      </c>
      <c r="KZ11" s="90" t="e">
        <v>#VALUE!</v>
      </c>
      <c r="LA11" s="90" t="e">
        <v>#VALUE!</v>
      </c>
      <c r="LB11" s="90" t="e">
        <v>#VALUE!</v>
      </c>
      <c r="LC11" s="90" t="e">
        <v>#VALUE!</v>
      </c>
      <c r="LD11" s="90" t="e">
        <v>#VALUE!</v>
      </c>
      <c r="LE11" s="90" t="e">
        <v>#VALUE!</v>
      </c>
      <c r="LF11" s="90" t="e">
        <v>#VALUE!</v>
      </c>
      <c r="LG11" s="90" t="e">
        <v>#VALUE!</v>
      </c>
      <c r="LH11" s="90" t="e">
        <v>#VALUE!</v>
      </c>
      <c r="LI11" s="90" t="e">
        <v>#VALUE!</v>
      </c>
      <c r="LJ11" s="90" t="e">
        <v>#VALUE!</v>
      </c>
      <c r="LK11" s="90" t="e">
        <v>#VALUE!</v>
      </c>
      <c r="LL11" s="90" t="e">
        <v>#VALUE!</v>
      </c>
      <c r="LM11" s="90" t="e">
        <v>#VALUE!</v>
      </c>
      <c r="LN11" s="90" t="e">
        <v>#VALUE!</v>
      </c>
      <c r="LO11" s="90" t="e">
        <v>#VALUE!</v>
      </c>
      <c r="LP11" s="90" t="e">
        <v>#VALUE!</v>
      </c>
      <c r="LQ11" s="90" t="e">
        <v>#VALUE!</v>
      </c>
      <c r="LR11" s="90" t="e">
        <v>#VALUE!</v>
      </c>
      <c r="LS11" s="90" t="e">
        <v>#VALUE!</v>
      </c>
      <c r="LT11" s="90" t="e">
        <v>#VALUE!</v>
      </c>
      <c r="LU11" s="90" t="e">
        <v>#VALUE!</v>
      </c>
      <c r="LV11" s="90" t="e">
        <v>#VALUE!</v>
      </c>
      <c r="LW11" s="90" t="e">
        <v>#VALUE!</v>
      </c>
      <c r="LX11" s="90" t="e">
        <v>#VALUE!</v>
      </c>
      <c r="LY11" s="90" t="e">
        <v>#VALUE!</v>
      </c>
      <c r="LZ11" s="90" t="e">
        <v>#VALUE!</v>
      </c>
      <c r="MA11" s="90" t="e">
        <v>#VALUE!</v>
      </c>
      <c r="MB11" s="90" t="e">
        <v>#VALUE!</v>
      </c>
      <c r="MC11" s="90" t="e">
        <v>#VALUE!</v>
      </c>
      <c r="MD11" s="90" t="e">
        <v>#VALUE!</v>
      </c>
      <c r="ME11" s="90" t="e">
        <v>#VALUE!</v>
      </c>
      <c r="MF11" s="90" t="e">
        <v>#VALUE!</v>
      </c>
      <c r="MG11" s="90" t="e">
        <v>#VALUE!</v>
      </c>
      <c r="MH11" s="90" t="e">
        <v>#VALUE!</v>
      </c>
      <c r="MI11" s="90" t="e">
        <v>#VALUE!</v>
      </c>
      <c r="MJ11" s="90" t="e">
        <v>#VALUE!</v>
      </c>
      <c r="MK11" s="90" t="e">
        <v>#VALUE!</v>
      </c>
      <c r="ML11" s="90" t="e">
        <v>#VALUE!</v>
      </c>
      <c r="MM11" s="90" t="e">
        <v>#VALUE!</v>
      </c>
      <c r="MN11" s="90" t="e">
        <v>#VALUE!</v>
      </c>
      <c r="MO11" s="90" t="e">
        <v>#VALUE!</v>
      </c>
      <c r="MP11" s="90" t="e">
        <v>#VALUE!</v>
      </c>
      <c r="MQ11" s="90" t="e">
        <v>#VALUE!</v>
      </c>
      <c r="MR11" s="90" t="e">
        <v>#VALUE!</v>
      </c>
      <c r="MS11" s="90" t="e">
        <v>#VALUE!</v>
      </c>
      <c r="MT11" s="90" t="e">
        <v>#VALUE!</v>
      </c>
      <c r="MU11" s="90" t="e">
        <v>#VALUE!</v>
      </c>
      <c r="MV11" s="90" t="e">
        <v>#VALUE!</v>
      </c>
      <c r="MW11" s="90" t="e">
        <v>#VALUE!</v>
      </c>
      <c r="MX11" s="90" t="e">
        <v>#VALUE!</v>
      </c>
      <c r="MY11" s="90" t="e">
        <v>#VALUE!</v>
      </c>
      <c r="MZ11" s="90" t="e">
        <v>#VALUE!</v>
      </c>
      <c r="NA11" s="90" t="e">
        <v>#VALUE!</v>
      </c>
      <c r="NB11" s="90" t="e">
        <v>#VALUE!</v>
      </c>
      <c r="NC11" s="90" t="e">
        <v>#VALUE!</v>
      </c>
      <c r="ND11" s="90" t="e">
        <v>#VALUE!</v>
      </c>
      <c r="NE11" s="90" t="e">
        <v>#VALUE!</v>
      </c>
      <c r="NF11" s="90" t="e">
        <v>#VALUE!</v>
      </c>
      <c r="NG11" s="90" t="e">
        <v>#VALUE!</v>
      </c>
    </row>
    <row r="12" spans="1:371" x14ac:dyDescent="0.25">
      <c r="A12" s="357" t="s">
        <v>398</v>
      </c>
      <c r="D12" s="137" t="e">
        <v>#VALUE!</v>
      </c>
      <c r="E12" s="137" t="e">
        <v>#VALUE!</v>
      </c>
      <c r="F12" s="137" t="e">
        <v>#VALUE!</v>
      </c>
      <c r="G12" s="137" t="e">
        <v>#VALUE!</v>
      </c>
      <c r="H12" s="137" t="e">
        <v>#VALUE!</v>
      </c>
      <c r="I12" s="137" t="e">
        <v>#VALUE!</v>
      </c>
      <c r="J12" s="137" t="e">
        <v>#VALUE!</v>
      </c>
      <c r="K12" s="137" t="e">
        <v>#VALUE!</v>
      </c>
      <c r="L12" s="137" t="e">
        <v>#VALUE!</v>
      </c>
      <c r="M12" s="137" t="e">
        <v>#VALUE!</v>
      </c>
      <c r="N12" s="137" t="e">
        <v>#VALUE!</v>
      </c>
      <c r="O12" s="137" t="e">
        <v>#VALUE!</v>
      </c>
      <c r="P12" s="137" t="e">
        <v>#VALUE!</v>
      </c>
      <c r="Q12" s="137" t="e">
        <v>#VALUE!</v>
      </c>
      <c r="R12" s="137" t="e">
        <v>#VALUE!</v>
      </c>
      <c r="S12" s="137" t="e">
        <v>#VALUE!</v>
      </c>
      <c r="T12" s="137" t="e">
        <v>#VALUE!</v>
      </c>
      <c r="U12" s="137" t="e">
        <v>#VALUE!</v>
      </c>
      <c r="V12" s="137" t="e">
        <v>#VALUE!</v>
      </c>
      <c r="W12" s="137" t="e">
        <v>#VALUE!</v>
      </c>
      <c r="X12" s="137" t="e">
        <v>#VALUE!</v>
      </c>
      <c r="Y12" s="137" t="e">
        <v>#VALUE!</v>
      </c>
      <c r="Z12" s="137" t="e">
        <v>#VALUE!</v>
      </c>
      <c r="AA12" s="137" t="e">
        <v>#VALUE!</v>
      </c>
      <c r="AB12" s="137" t="e">
        <v>#VALUE!</v>
      </c>
      <c r="AC12" s="137" t="e">
        <v>#VALUE!</v>
      </c>
      <c r="AD12" s="137" t="e">
        <v>#VALUE!</v>
      </c>
      <c r="AE12" s="137" t="e">
        <v>#VALUE!</v>
      </c>
      <c r="AF12" s="137" t="e">
        <v>#VALUE!</v>
      </c>
      <c r="AG12" s="137" t="e">
        <v>#VALUE!</v>
      </c>
      <c r="AH12" s="137" t="e">
        <v>#VALUE!</v>
      </c>
      <c r="AI12" s="137" t="e">
        <v>#VALUE!</v>
      </c>
      <c r="AJ12" s="137" t="e">
        <v>#VALUE!</v>
      </c>
      <c r="AK12" s="137" t="e">
        <v>#VALUE!</v>
      </c>
      <c r="AL12" s="137" t="e">
        <v>#VALUE!</v>
      </c>
      <c r="AM12" s="137" t="e">
        <v>#VALUE!</v>
      </c>
      <c r="AN12" s="137" t="e">
        <v>#VALUE!</v>
      </c>
      <c r="AO12" s="137" t="e">
        <v>#VALUE!</v>
      </c>
      <c r="AP12" s="137" t="e">
        <v>#VALUE!</v>
      </c>
      <c r="AQ12" s="137" t="e">
        <v>#VALUE!</v>
      </c>
      <c r="AR12" s="137" t="e">
        <v>#VALUE!</v>
      </c>
      <c r="AS12" s="137" t="e">
        <v>#VALUE!</v>
      </c>
      <c r="AT12" s="137" t="e">
        <v>#VALUE!</v>
      </c>
      <c r="AU12" s="137" t="e">
        <v>#VALUE!</v>
      </c>
      <c r="AV12" s="137" t="e">
        <v>#VALUE!</v>
      </c>
      <c r="AW12" s="137" t="e">
        <v>#VALUE!</v>
      </c>
      <c r="AX12" s="137" t="e">
        <v>#VALUE!</v>
      </c>
      <c r="AY12" s="137" t="e">
        <v>#VALUE!</v>
      </c>
      <c r="AZ12" s="137" t="e">
        <v>#VALUE!</v>
      </c>
      <c r="BA12" s="137" t="e">
        <v>#VALUE!</v>
      </c>
      <c r="BB12" s="137" t="e">
        <v>#VALUE!</v>
      </c>
      <c r="BC12" s="137" t="e">
        <v>#VALUE!</v>
      </c>
      <c r="BD12" s="137" t="e">
        <v>#VALUE!</v>
      </c>
      <c r="BE12" s="137" t="e">
        <v>#VALUE!</v>
      </c>
      <c r="BF12" s="137" t="e">
        <v>#VALUE!</v>
      </c>
      <c r="BG12" s="137" t="e">
        <v>#VALUE!</v>
      </c>
      <c r="BH12" s="137" t="e">
        <v>#VALUE!</v>
      </c>
      <c r="BI12" s="137" t="e">
        <v>#VALUE!</v>
      </c>
      <c r="BJ12" s="137" t="e">
        <v>#VALUE!</v>
      </c>
      <c r="BK12" s="137" t="e">
        <v>#VALUE!</v>
      </c>
      <c r="BL12" s="137" t="e">
        <v>#VALUE!</v>
      </c>
      <c r="BM12" s="137" t="e">
        <v>#VALUE!</v>
      </c>
      <c r="BN12" s="137" t="e">
        <v>#VALUE!</v>
      </c>
      <c r="BO12" s="137" t="e">
        <v>#VALUE!</v>
      </c>
      <c r="BP12" s="137" t="e">
        <v>#VALUE!</v>
      </c>
      <c r="BQ12" s="137" t="e">
        <v>#VALUE!</v>
      </c>
      <c r="BR12" s="137" t="e">
        <v>#VALUE!</v>
      </c>
      <c r="BS12" s="137" t="e">
        <v>#VALUE!</v>
      </c>
      <c r="BT12" s="137" t="e">
        <v>#VALUE!</v>
      </c>
      <c r="BU12" s="137" t="e">
        <v>#VALUE!</v>
      </c>
      <c r="BV12" s="137" t="e">
        <v>#VALUE!</v>
      </c>
      <c r="BW12" s="137" t="e">
        <v>#VALUE!</v>
      </c>
      <c r="BX12" s="137" t="e">
        <v>#VALUE!</v>
      </c>
      <c r="BY12" s="137" t="e">
        <v>#VALUE!</v>
      </c>
      <c r="BZ12" s="137" t="e">
        <v>#VALUE!</v>
      </c>
      <c r="CA12" s="137" t="e">
        <v>#VALUE!</v>
      </c>
      <c r="CB12" s="137" t="e">
        <v>#VALUE!</v>
      </c>
      <c r="CC12" s="137" t="e">
        <v>#VALUE!</v>
      </c>
      <c r="CD12" s="137" t="e">
        <v>#VALUE!</v>
      </c>
      <c r="CE12" s="137" t="e">
        <v>#VALUE!</v>
      </c>
      <c r="CF12" s="137" t="e">
        <v>#VALUE!</v>
      </c>
      <c r="CG12" s="137" t="e">
        <v>#VALUE!</v>
      </c>
      <c r="CH12" s="137" t="e">
        <v>#VALUE!</v>
      </c>
      <c r="CI12" s="137" t="e">
        <v>#VALUE!</v>
      </c>
      <c r="CJ12" s="137" t="e">
        <v>#VALUE!</v>
      </c>
      <c r="CK12" s="137" t="e">
        <v>#VALUE!</v>
      </c>
      <c r="CL12" s="137" t="e">
        <v>#VALUE!</v>
      </c>
      <c r="CM12" s="137" t="e">
        <v>#VALUE!</v>
      </c>
      <c r="CN12" s="137" t="e">
        <v>#VALUE!</v>
      </c>
      <c r="CO12" s="137" t="e">
        <v>#VALUE!</v>
      </c>
      <c r="CP12" s="137" t="e">
        <v>#VALUE!</v>
      </c>
      <c r="CQ12" s="137" t="e">
        <v>#VALUE!</v>
      </c>
      <c r="CR12" s="137" t="e">
        <v>#VALUE!</v>
      </c>
      <c r="CS12" s="137" t="e">
        <v>#VALUE!</v>
      </c>
      <c r="CT12" s="137" t="e">
        <v>#VALUE!</v>
      </c>
      <c r="CU12" s="137" t="e">
        <v>#VALUE!</v>
      </c>
      <c r="CV12" s="137" t="e">
        <v>#VALUE!</v>
      </c>
      <c r="CW12" s="137" t="e">
        <v>#VALUE!</v>
      </c>
      <c r="CX12" s="137" t="e">
        <v>#VALUE!</v>
      </c>
      <c r="CY12" s="137" t="e">
        <v>#VALUE!</v>
      </c>
      <c r="CZ12" s="137" t="e">
        <v>#VALUE!</v>
      </c>
      <c r="DA12" s="137" t="e">
        <v>#VALUE!</v>
      </c>
      <c r="DB12" s="137" t="e">
        <v>#VALUE!</v>
      </c>
      <c r="DC12" s="137" t="e">
        <v>#VALUE!</v>
      </c>
      <c r="DD12" s="137" t="e">
        <v>#VALUE!</v>
      </c>
      <c r="DE12" s="137" t="e">
        <v>#VALUE!</v>
      </c>
      <c r="DF12" s="137" t="e">
        <v>#VALUE!</v>
      </c>
      <c r="DG12" s="137" t="e">
        <v>#VALUE!</v>
      </c>
      <c r="DH12" s="137" t="e">
        <v>#VALUE!</v>
      </c>
      <c r="DI12" s="137" t="e">
        <v>#VALUE!</v>
      </c>
      <c r="DJ12" s="137" t="e">
        <v>#VALUE!</v>
      </c>
      <c r="DK12" s="137" t="e">
        <v>#VALUE!</v>
      </c>
      <c r="DL12" s="137" t="e">
        <v>#VALUE!</v>
      </c>
      <c r="DM12" s="137" t="e">
        <v>#VALUE!</v>
      </c>
      <c r="DN12" s="137" t="e">
        <v>#VALUE!</v>
      </c>
      <c r="DO12" s="137" t="e">
        <v>#VALUE!</v>
      </c>
      <c r="DP12" s="137" t="e">
        <v>#VALUE!</v>
      </c>
      <c r="DQ12" s="137" t="e">
        <v>#VALUE!</v>
      </c>
      <c r="DR12" s="137" t="e">
        <v>#VALUE!</v>
      </c>
      <c r="DS12" s="137" t="e">
        <v>#VALUE!</v>
      </c>
      <c r="DT12" s="137" t="e">
        <v>#VALUE!</v>
      </c>
      <c r="DU12" s="137" t="e">
        <v>#VALUE!</v>
      </c>
      <c r="DV12" s="137" t="e">
        <v>#VALUE!</v>
      </c>
      <c r="DW12" s="137" t="e">
        <v>#VALUE!</v>
      </c>
      <c r="DX12" s="137" t="e">
        <v>#VALUE!</v>
      </c>
      <c r="DY12" s="137" t="e">
        <v>#VALUE!</v>
      </c>
      <c r="DZ12" s="137" t="e">
        <v>#VALUE!</v>
      </c>
      <c r="EA12" s="137" t="e">
        <v>#VALUE!</v>
      </c>
      <c r="EB12" s="137" t="e">
        <v>#VALUE!</v>
      </c>
      <c r="EC12" s="137" t="e">
        <v>#VALUE!</v>
      </c>
      <c r="ED12" s="137" t="e">
        <v>#VALUE!</v>
      </c>
      <c r="EE12" s="137" t="e">
        <v>#VALUE!</v>
      </c>
      <c r="EF12" s="137" t="e">
        <v>#VALUE!</v>
      </c>
      <c r="EG12" s="137" t="e">
        <v>#VALUE!</v>
      </c>
      <c r="EH12" s="137" t="e">
        <v>#VALUE!</v>
      </c>
      <c r="EI12" s="137" t="e">
        <v>#VALUE!</v>
      </c>
      <c r="EJ12" s="137" t="e">
        <v>#VALUE!</v>
      </c>
      <c r="EK12" s="137" t="e">
        <v>#VALUE!</v>
      </c>
      <c r="EL12" s="137" t="e">
        <v>#VALUE!</v>
      </c>
      <c r="EM12" s="137" t="e">
        <v>#VALUE!</v>
      </c>
      <c r="EN12" s="137" t="e">
        <v>#VALUE!</v>
      </c>
      <c r="EO12" s="137" t="e">
        <v>#VALUE!</v>
      </c>
      <c r="EP12" s="137" t="e">
        <v>#VALUE!</v>
      </c>
      <c r="EQ12" s="137" t="e">
        <v>#VALUE!</v>
      </c>
      <c r="ER12" s="137" t="e">
        <v>#VALUE!</v>
      </c>
      <c r="ES12" s="137" t="e">
        <v>#VALUE!</v>
      </c>
      <c r="ET12" s="137" t="e">
        <v>#VALUE!</v>
      </c>
      <c r="EU12" s="137" t="e">
        <v>#VALUE!</v>
      </c>
      <c r="EV12" s="137" t="e">
        <v>#VALUE!</v>
      </c>
      <c r="EW12" s="137" t="e">
        <v>#VALUE!</v>
      </c>
      <c r="EX12" s="137" t="e">
        <v>#VALUE!</v>
      </c>
      <c r="EY12" s="137" t="e">
        <v>#VALUE!</v>
      </c>
      <c r="EZ12" s="137" t="e">
        <v>#VALUE!</v>
      </c>
      <c r="FA12" s="137" t="e">
        <v>#VALUE!</v>
      </c>
      <c r="FB12" s="137" t="e">
        <v>#VALUE!</v>
      </c>
      <c r="FC12" s="137" t="e">
        <v>#VALUE!</v>
      </c>
      <c r="FD12" s="137" t="e">
        <v>#VALUE!</v>
      </c>
      <c r="FE12" s="137" t="e">
        <v>#VALUE!</v>
      </c>
      <c r="FF12" s="137" t="e">
        <v>#VALUE!</v>
      </c>
      <c r="FG12" s="137" t="e">
        <v>#VALUE!</v>
      </c>
      <c r="FH12" s="137" t="e">
        <v>#VALUE!</v>
      </c>
      <c r="FI12" s="137" t="e">
        <v>#VALUE!</v>
      </c>
      <c r="FJ12" s="137" t="e">
        <v>#VALUE!</v>
      </c>
      <c r="FK12" s="137" t="e">
        <v>#VALUE!</v>
      </c>
      <c r="FL12" s="137" t="e">
        <v>#VALUE!</v>
      </c>
      <c r="FM12" s="137" t="e">
        <v>#VALUE!</v>
      </c>
      <c r="FN12" s="137" t="e">
        <v>#VALUE!</v>
      </c>
      <c r="FO12" s="137" t="e">
        <v>#VALUE!</v>
      </c>
      <c r="FP12" s="137" t="e">
        <v>#VALUE!</v>
      </c>
      <c r="FQ12" s="137" t="e">
        <v>#VALUE!</v>
      </c>
      <c r="FR12" s="137" t="e">
        <v>#VALUE!</v>
      </c>
      <c r="FS12" s="137" t="e">
        <v>#VALUE!</v>
      </c>
      <c r="FT12" s="137" t="e">
        <v>#VALUE!</v>
      </c>
      <c r="FU12" s="137" t="e">
        <v>#VALUE!</v>
      </c>
      <c r="FV12" s="137" t="e">
        <v>#VALUE!</v>
      </c>
      <c r="FW12" s="137" t="e">
        <v>#VALUE!</v>
      </c>
      <c r="FX12" s="137" t="e">
        <v>#VALUE!</v>
      </c>
      <c r="FY12" s="137" t="e">
        <v>#VALUE!</v>
      </c>
      <c r="FZ12" s="137" t="e">
        <v>#VALUE!</v>
      </c>
      <c r="GA12" s="137" t="e">
        <v>#VALUE!</v>
      </c>
      <c r="GB12" s="137" t="e">
        <v>#VALUE!</v>
      </c>
      <c r="GC12" s="137" t="e">
        <v>#VALUE!</v>
      </c>
      <c r="GD12" s="137" t="e">
        <v>#VALUE!</v>
      </c>
      <c r="GE12" s="137" t="e">
        <v>#VALUE!</v>
      </c>
      <c r="GF12" s="137" t="e">
        <v>#VALUE!</v>
      </c>
      <c r="GG12" s="137" t="e">
        <v>#VALUE!</v>
      </c>
      <c r="GH12" s="137" t="e">
        <v>#VALUE!</v>
      </c>
      <c r="GI12" s="137" t="e">
        <v>#VALUE!</v>
      </c>
      <c r="GJ12" s="137" t="e">
        <v>#VALUE!</v>
      </c>
      <c r="GK12" s="137" t="e">
        <v>#VALUE!</v>
      </c>
      <c r="GL12" s="137" t="e">
        <v>#VALUE!</v>
      </c>
      <c r="GM12" s="137" t="e">
        <v>#VALUE!</v>
      </c>
      <c r="GN12" s="137" t="e">
        <v>#VALUE!</v>
      </c>
      <c r="GO12" s="137" t="e">
        <v>#VALUE!</v>
      </c>
      <c r="GP12" s="137" t="e">
        <v>#VALUE!</v>
      </c>
      <c r="GQ12" s="137" t="e">
        <v>#VALUE!</v>
      </c>
      <c r="GR12" s="137" t="e">
        <v>#VALUE!</v>
      </c>
      <c r="GS12" s="137" t="e">
        <v>#VALUE!</v>
      </c>
      <c r="GT12" s="137" t="e">
        <v>#VALUE!</v>
      </c>
      <c r="GU12" s="137" t="e">
        <v>#VALUE!</v>
      </c>
      <c r="GV12" s="137" t="e">
        <v>#VALUE!</v>
      </c>
      <c r="GW12" s="137" t="e">
        <v>#VALUE!</v>
      </c>
      <c r="GX12" s="137" t="e">
        <v>#VALUE!</v>
      </c>
      <c r="GY12" s="137" t="e">
        <v>#VALUE!</v>
      </c>
      <c r="GZ12" s="137" t="e">
        <v>#VALUE!</v>
      </c>
      <c r="HA12" s="137" t="e">
        <v>#VALUE!</v>
      </c>
      <c r="HB12" s="137" t="e">
        <v>#VALUE!</v>
      </c>
      <c r="HC12" s="137" t="e">
        <v>#VALUE!</v>
      </c>
      <c r="HD12" s="137" t="e">
        <v>#VALUE!</v>
      </c>
      <c r="HE12" s="137" t="e">
        <v>#VALUE!</v>
      </c>
      <c r="HF12" s="137" t="e">
        <v>#VALUE!</v>
      </c>
      <c r="HG12" s="137" t="e">
        <v>#VALUE!</v>
      </c>
      <c r="HH12" s="137" t="e">
        <v>#VALUE!</v>
      </c>
      <c r="HI12" s="137" t="e">
        <v>#VALUE!</v>
      </c>
      <c r="HJ12" s="137" t="e">
        <v>#VALUE!</v>
      </c>
      <c r="HK12" s="137" t="e">
        <v>#VALUE!</v>
      </c>
      <c r="HL12" s="137" t="e">
        <v>#VALUE!</v>
      </c>
      <c r="HM12" s="137" t="e">
        <v>#VALUE!</v>
      </c>
      <c r="HN12" s="137" t="e">
        <v>#VALUE!</v>
      </c>
      <c r="HO12" s="137" t="e">
        <v>#VALUE!</v>
      </c>
      <c r="HP12" s="137" t="e">
        <v>#VALUE!</v>
      </c>
      <c r="HQ12" s="137" t="e">
        <v>#VALUE!</v>
      </c>
      <c r="HR12" s="137" t="e">
        <v>#VALUE!</v>
      </c>
      <c r="HS12" s="137" t="e">
        <v>#VALUE!</v>
      </c>
      <c r="HT12" s="137" t="e">
        <v>#VALUE!</v>
      </c>
      <c r="HU12" s="137" t="e">
        <v>#VALUE!</v>
      </c>
      <c r="HV12" s="137" t="e">
        <v>#VALUE!</v>
      </c>
      <c r="HW12" s="137" t="e">
        <v>#VALUE!</v>
      </c>
      <c r="HX12" s="137" t="e">
        <v>#VALUE!</v>
      </c>
      <c r="HY12" s="137" t="e">
        <v>#VALUE!</v>
      </c>
      <c r="HZ12" s="137" t="e">
        <v>#VALUE!</v>
      </c>
      <c r="IA12" s="137" t="e">
        <v>#VALUE!</v>
      </c>
      <c r="IB12" s="137" t="e">
        <v>#VALUE!</v>
      </c>
      <c r="IC12" s="137" t="e">
        <v>#VALUE!</v>
      </c>
      <c r="ID12" s="137" t="e">
        <v>#VALUE!</v>
      </c>
      <c r="IE12" s="137" t="e">
        <v>#VALUE!</v>
      </c>
      <c r="IF12" s="137" t="e">
        <v>#VALUE!</v>
      </c>
      <c r="IG12" s="137" t="e">
        <v>#VALUE!</v>
      </c>
      <c r="IH12" s="137" t="e">
        <v>#VALUE!</v>
      </c>
      <c r="II12" s="137" t="e">
        <v>#VALUE!</v>
      </c>
      <c r="IJ12" s="137" t="e">
        <v>#VALUE!</v>
      </c>
      <c r="IK12" s="137" t="e">
        <v>#VALUE!</v>
      </c>
      <c r="IL12" s="137" t="e">
        <v>#VALUE!</v>
      </c>
      <c r="IM12" s="137" t="e">
        <v>#VALUE!</v>
      </c>
      <c r="IN12" s="137" t="e">
        <v>#VALUE!</v>
      </c>
      <c r="IO12" s="137" t="e">
        <v>#VALUE!</v>
      </c>
      <c r="IP12" s="137" t="e">
        <v>#VALUE!</v>
      </c>
      <c r="IQ12" s="137" t="e">
        <v>#VALUE!</v>
      </c>
      <c r="IR12" s="137" t="e">
        <v>#VALUE!</v>
      </c>
      <c r="IS12" s="137" t="e">
        <v>#VALUE!</v>
      </c>
      <c r="IT12" s="137" t="e">
        <v>#VALUE!</v>
      </c>
      <c r="IU12" s="137" t="e">
        <v>#VALUE!</v>
      </c>
      <c r="IV12" s="137" t="e">
        <v>#VALUE!</v>
      </c>
      <c r="IW12" s="137" t="e">
        <v>#VALUE!</v>
      </c>
      <c r="IX12" s="137" t="e">
        <v>#VALUE!</v>
      </c>
      <c r="IY12" s="137" t="e">
        <v>#VALUE!</v>
      </c>
      <c r="IZ12" s="137" t="e">
        <v>#VALUE!</v>
      </c>
      <c r="JA12" s="137" t="e">
        <v>#VALUE!</v>
      </c>
      <c r="JB12" s="137" t="e">
        <v>#VALUE!</v>
      </c>
      <c r="JC12" s="137" t="e">
        <v>#VALUE!</v>
      </c>
      <c r="JD12" s="137" t="e">
        <v>#VALUE!</v>
      </c>
      <c r="JE12" s="137" t="e">
        <v>#VALUE!</v>
      </c>
      <c r="JF12" s="137" t="e">
        <v>#VALUE!</v>
      </c>
      <c r="JG12" s="137" t="e">
        <v>#VALUE!</v>
      </c>
      <c r="JH12" s="137" t="e">
        <v>#VALUE!</v>
      </c>
      <c r="JI12" s="137" t="e">
        <v>#VALUE!</v>
      </c>
      <c r="JJ12" s="137" t="e">
        <v>#VALUE!</v>
      </c>
      <c r="JK12" s="137" t="e">
        <v>#VALUE!</v>
      </c>
      <c r="JL12" s="137" t="e">
        <v>#VALUE!</v>
      </c>
      <c r="JM12" s="137" t="e">
        <v>#VALUE!</v>
      </c>
      <c r="JN12" s="137" t="e">
        <v>#VALUE!</v>
      </c>
      <c r="JO12" s="137" t="e">
        <v>#VALUE!</v>
      </c>
      <c r="JP12" s="137" t="e">
        <v>#VALUE!</v>
      </c>
      <c r="JQ12" s="137" t="e">
        <v>#VALUE!</v>
      </c>
      <c r="JR12" s="137" t="e">
        <v>#VALUE!</v>
      </c>
      <c r="JS12" s="137" t="e">
        <v>#VALUE!</v>
      </c>
      <c r="JT12" s="137" t="e">
        <v>#VALUE!</v>
      </c>
      <c r="JU12" s="137" t="e">
        <v>#VALUE!</v>
      </c>
      <c r="JV12" s="137" t="e">
        <v>#VALUE!</v>
      </c>
      <c r="JW12" s="137" t="e">
        <v>#VALUE!</v>
      </c>
      <c r="JX12" s="137" t="e">
        <v>#VALUE!</v>
      </c>
      <c r="JY12" s="137" t="e">
        <v>#VALUE!</v>
      </c>
      <c r="JZ12" s="137" t="e">
        <v>#VALUE!</v>
      </c>
      <c r="KA12" s="137" t="e">
        <v>#VALUE!</v>
      </c>
      <c r="KB12" s="137" t="e">
        <v>#VALUE!</v>
      </c>
      <c r="KC12" s="137" t="e">
        <v>#VALUE!</v>
      </c>
      <c r="KD12" s="137" t="e">
        <v>#VALUE!</v>
      </c>
      <c r="KE12" s="137" t="e">
        <v>#VALUE!</v>
      </c>
      <c r="KF12" s="137" t="e">
        <v>#VALUE!</v>
      </c>
      <c r="KG12" s="137" t="e">
        <v>#VALUE!</v>
      </c>
      <c r="KH12" s="137" t="e">
        <v>#VALUE!</v>
      </c>
      <c r="KI12" s="137" t="e">
        <v>#VALUE!</v>
      </c>
      <c r="KJ12" s="137" t="e">
        <v>#VALUE!</v>
      </c>
      <c r="KK12" s="137" t="e">
        <v>#VALUE!</v>
      </c>
      <c r="KL12" s="137" t="e">
        <v>#VALUE!</v>
      </c>
      <c r="KM12" s="137" t="e">
        <v>#VALUE!</v>
      </c>
      <c r="KN12" s="137" t="e">
        <v>#VALUE!</v>
      </c>
      <c r="KO12" s="137" t="e">
        <v>#VALUE!</v>
      </c>
      <c r="KP12" s="137" t="e">
        <v>#VALUE!</v>
      </c>
      <c r="KQ12" s="137" t="e">
        <v>#VALUE!</v>
      </c>
      <c r="KR12" s="137" t="e">
        <v>#VALUE!</v>
      </c>
      <c r="KS12" s="137" t="e">
        <v>#VALUE!</v>
      </c>
      <c r="KT12" s="137" t="e">
        <v>#VALUE!</v>
      </c>
      <c r="KU12" s="137" t="e">
        <v>#VALUE!</v>
      </c>
      <c r="KV12" s="137" t="e">
        <v>#VALUE!</v>
      </c>
      <c r="KW12" s="137" t="e">
        <v>#VALUE!</v>
      </c>
      <c r="KX12" s="137" t="e">
        <v>#VALUE!</v>
      </c>
      <c r="KY12" s="137" t="e">
        <v>#VALUE!</v>
      </c>
      <c r="KZ12" s="137" t="e">
        <v>#VALUE!</v>
      </c>
      <c r="LA12" s="137" t="e">
        <v>#VALUE!</v>
      </c>
      <c r="LB12" s="137" t="e">
        <v>#VALUE!</v>
      </c>
      <c r="LC12" s="137" t="e">
        <v>#VALUE!</v>
      </c>
      <c r="LD12" s="137" t="e">
        <v>#VALUE!</v>
      </c>
      <c r="LE12" s="137" t="e">
        <v>#VALUE!</v>
      </c>
      <c r="LF12" s="137" t="e">
        <v>#VALUE!</v>
      </c>
      <c r="LG12" s="137" t="e">
        <v>#VALUE!</v>
      </c>
      <c r="LH12" s="137" t="e">
        <v>#VALUE!</v>
      </c>
      <c r="LI12" s="137" t="e">
        <v>#VALUE!</v>
      </c>
      <c r="LJ12" s="137" t="e">
        <v>#VALUE!</v>
      </c>
      <c r="LK12" s="137" t="e">
        <v>#VALUE!</v>
      </c>
      <c r="LL12" s="137" t="e">
        <v>#VALUE!</v>
      </c>
      <c r="LM12" s="137" t="e">
        <v>#VALUE!</v>
      </c>
      <c r="LN12" s="137" t="e">
        <v>#VALUE!</v>
      </c>
      <c r="LO12" s="137" t="e">
        <v>#VALUE!</v>
      </c>
      <c r="LP12" s="137" t="e">
        <v>#VALUE!</v>
      </c>
      <c r="LQ12" s="137" t="e">
        <v>#VALUE!</v>
      </c>
      <c r="LR12" s="137" t="e">
        <v>#VALUE!</v>
      </c>
      <c r="LS12" s="137" t="e">
        <v>#VALUE!</v>
      </c>
      <c r="LT12" s="137" t="e">
        <v>#VALUE!</v>
      </c>
      <c r="LU12" s="137" t="e">
        <v>#VALUE!</v>
      </c>
      <c r="LV12" s="137" t="e">
        <v>#VALUE!</v>
      </c>
      <c r="LW12" s="137" t="e">
        <v>#VALUE!</v>
      </c>
      <c r="LX12" s="137" t="e">
        <v>#VALUE!</v>
      </c>
      <c r="LY12" s="137" t="e">
        <v>#VALUE!</v>
      </c>
      <c r="LZ12" s="137" t="e">
        <v>#VALUE!</v>
      </c>
      <c r="MA12" s="137" t="e">
        <v>#VALUE!</v>
      </c>
      <c r="MB12" s="137" t="e">
        <v>#VALUE!</v>
      </c>
      <c r="MC12" s="137" t="e">
        <v>#VALUE!</v>
      </c>
      <c r="MD12" s="137" t="e">
        <v>#VALUE!</v>
      </c>
      <c r="ME12" s="137" t="e">
        <v>#VALUE!</v>
      </c>
      <c r="MF12" s="137" t="e">
        <v>#VALUE!</v>
      </c>
      <c r="MG12" s="137" t="e">
        <v>#VALUE!</v>
      </c>
      <c r="MH12" s="137" t="e">
        <v>#VALUE!</v>
      </c>
      <c r="MI12" s="137" t="e">
        <v>#VALUE!</v>
      </c>
      <c r="MJ12" s="137" t="e">
        <v>#VALUE!</v>
      </c>
      <c r="MK12" s="137" t="e">
        <v>#VALUE!</v>
      </c>
      <c r="ML12" s="137" t="e">
        <v>#VALUE!</v>
      </c>
      <c r="MM12" s="137" t="e">
        <v>#VALUE!</v>
      </c>
      <c r="MN12" s="137" t="e">
        <v>#VALUE!</v>
      </c>
      <c r="MO12" s="137" t="e">
        <v>#VALUE!</v>
      </c>
      <c r="MP12" s="137" t="e">
        <v>#VALUE!</v>
      </c>
      <c r="MQ12" s="137" t="e">
        <v>#VALUE!</v>
      </c>
      <c r="MR12" s="137" t="e">
        <v>#VALUE!</v>
      </c>
      <c r="MS12" s="137" t="e">
        <v>#VALUE!</v>
      </c>
      <c r="MT12" s="137" t="e">
        <v>#VALUE!</v>
      </c>
      <c r="MU12" s="137" t="e">
        <v>#VALUE!</v>
      </c>
      <c r="MV12" s="137" t="e">
        <v>#VALUE!</v>
      </c>
      <c r="MW12" s="137" t="e">
        <v>#VALUE!</v>
      </c>
      <c r="MX12" s="137" t="e">
        <v>#VALUE!</v>
      </c>
      <c r="MY12" s="137" t="e">
        <v>#VALUE!</v>
      </c>
      <c r="MZ12" s="137" t="e">
        <v>#VALUE!</v>
      </c>
      <c r="NA12" s="137" t="e">
        <v>#VALUE!</v>
      </c>
      <c r="NB12" s="137" t="e">
        <v>#VALUE!</v>
      </c>
      <c r="NC12" s="137" t="e">
        <v>#VALUE!</v>
      </c>
      <c r="ND12" s="137" t="e">
        <v>#VALUE!</v>
      </c>
      <c r="NE12" s="137" t="e">
        <v>#VALUE!</v>
      </c>
      <c r="NF12" s="137" t="e">
        <v>#VALUE!</v>
      </c>
      <c r="NG12" s="137" t="e">
        <v>#VALUE!</v>
      </c>
    </row>
    <row r="13" spans="1:371" x14ac:dyDescent="0.25">
      <c r="A13" s="357"/>
    </row>
    <row r="14" spans="1:371" x14ac:dyDescent="0.25">
      <c r="A14" s="357" t="s">
        <v>399</v>
      </c>
      <c r="D14" s="137" t="e">
        <v>#VALUE!</v>
      </c>
      <c r="E14" s="137" t="e">
        <v>#VALUE!</v>
      </c>
      <c r="F14" s="137" t="e">
        <v>#VALUE!</v>
      </c>
      <c r="G14" s="137" t="e">
        <v>#VALUE!</v>
      </c>
      <c r="H14" s="137" t="e">
        <v>#VALUE!</v>
      </c>
      <c r="I14" s="137" t="e">
        <v>#VALUE!</v>
      </c>
      <c r="J14" s="137" t="e">
        <v>#VALUE!</v>
      </c>
      <c r="K14" s="137" t="e">
        <v>#VALUE!</v>
      </c>
      <c r="L14" s="137" t="e">
        <v>#VALUE!</v>
      </c>
      <c r="M14" s="137" t="e">
        <v>#VALUE!</v>
      </c>
      <c r="N14" s="137" t="e">
        <v>#VALUE!</v>
      </c>
      <c r="O14" s="137" t="e">
        <v>#VALUE!</v>
      </c>
      <c r="P14" s="137" t="e">
        <v>#VALUE!</v>
      </c>
      <c r="Q14" s="137" t="e">
        <v>#VALUE!</v>
      </c>
      <c r="R14" s="137" t="e">
        <v>#VALUE!</v>
      </c>
      <c r="S14" s="137" t="e">
        <v>#VALUE!</v>
      </c>
      <c r="T14" s="137" t="e">
        <v>#VALUE!</v>
      </c>
      <c r="U14" s="137" t="e">
        <v>#VALUE!</v>
      </c>
      <c r="V14" s="137" t="e">
        <v>#VALUE!</v>
      </c>
      <c r="W14" s="137" t="e">
        <v>#VALUE!</v>
      </c>
      <c r="X14" s="137" t="e">
        <v>#VALUE!</v>
      </c>
      <c r="Y14" s="137" t="e">
        <v>#VALUE!</v>
      </c>
      <c r="Z14" s="137" t="e">
        <v>#VALUE!</v>
      </c>
      <c r="AA14" s="137" t="e">
        <v>#VALUE!</v>
      </c>
      <c r="AB14" s="137" t="e">
        <v>#VALUE!</v>
      </c>
      <c r="AC14" s="137" t="e">
        <v>#VALUE!</v>
      </c>
      <c r="AD14" s="137" t="e">
        <v>#VALUE!</v>
      </c>
      <c r="AE14" s="137" t="e">
        <v>#VALUE!</v>
      </c>
      <c r="AF14" s="137" t="e">
        <v>#VALUE!</v>
      </c>
      <c r="AG14" s="137" t="e">
        <v>#VALUE!</v>
      </c>
      <c r="AH14" s="137" t="e">
        <v>#VALUE!</v>
      </c>
      <c r="AI14" s="137" t="e">
        <v>#VALUE!</v>
      </c>
      <c r="AJ14" s="137" t="e">
        <v>#VALUE!</v>
      </c>
      <c r="AK14" s="137" t="e">
        <v>#VALUE!</v>
      </c>
      <c r="AL14" s="137" t="e">
        <v>#VALUE!</v>
      </c>
      <c r="AM14" s="137" t="e">
        <v>#VALUE!</v>
      </c>
      <c r="AN14" s="137" t="e">
        <v>#VALUE!</v>
      </c>
      <c r="AO14" s="137" t="e">
        <v>#VALUE!</v>
      </c>
      <c r="AP14" s="137" t="e">
        <v>#VALUE!</v>
      </c>
      <c r="AQ14" s="137" t="e">
        <v>#VALUE!</v>
      </c>
      <c r="AR14" s="137" t="e">
        <v>#VALUE!</v>
      </c>
      <c r="AS14" s="137" t="e">
        <v>#VALUE!</v>
      </c>
      <c r="AT14" s="137" t="e">
        <v>#VALUE!</v>
      </c>
      <c r="AU14" s="137" t="e">
        <v>#VALUE!</v>
      </c>
      <c r="AV14" s="137" t="e">
        <v>#VALUE!</v>
      </c>
      <c r="AW14" s="137" t="e">
        <v>#VALUE!</v>
      </c>
      <c r="AX14" s="137" t="e">
        <v>#VALUE!</v>
      </c>
      <c r="AY14" s="137" t="e">
        <v>#VALUE!</v>
      </c>
      <c r="AZ14" s="137" t="e">
        <v>#VALUE!</v>
      </c>
      <c r="BA14" s="137" t="e">
        <v>#VALUE!</v>
      </c>
      <c r="BB14" s="137" t="e">
        <v>#VALUE!</v>
      </c>
      <c r="BC14" s="137" t="e">
        <v>#VALUE!</v>
      </c>
      <c r="BD14" s="137" t="e">
        <v>#VALUE!</v>
      </c>
      <c r="BE14" s="137" t="e">
        <v>#VALUE!</v>
      </c>
      <c r="BF14" s="137" t="e">
        <v>#VALUE!</v>
      </c>
      <c r="BG14" s="137" t="e">
        <v>#VALUE!</v>
      </c>
      <c r="BH14" s="137" t="e">
        <v>#VALUE!</v>
      </c>
      <c r="BI14" s="137" t="e">
        <v>#VALUE!</v>
      </c>
      <c r="BJ14" s="137" t="e">
        <v>#VALUE!</v>
      </c>
      <c r="BK14" s="137" t="e">
        <v>#VALUE!</v>
      </c>
      <c r="BL14" s="137" t="e">
        <v>#VALUE!</v>
      </c>
      <c r="BM14" s="137" t="e">
        <v>#VALUE!</v>
      </c>
      <c r="BN14" s="137" t="e">
        <v>#VALUE!</v>
      </c>
      <c r="BO14" s="137" t="e">
        <v>#VALUE!</v>
      </c>
      <c r="BP14" s="137" t="e">
        <v>#VALUE!</v>
      </c>
      <c r="BQ14" s="137" t="e">
        <v>#VALUE!</v>
      </c>
      <c r="BR14" s="137" t="e">
        <v>#VALUE!</v>
      </c>
      <c r="BS14" s="137" t="e">
        <v>#VALUE!</v>
      </c>
      <c r="BT14" s="137" t="e">
        <v>#VALUE!</v>
      </c>
      <c r="BU14" s="137" t="e">
        <v>#VALUE!</v>
      </c>
      <c r="BV14" s="137" t="e">
        <v>#VALUE!</v>
      </c>
      <c r="BW14" s="137" t="e">
        <v>#VALUE!</v>
      </c>
      <c r="BX14" s="137" t="e">
        <v>#VALUE!</v>
      </c>
      <c r="BY14" s="137" t="e">
        <v>#VALUE!</v>
      </c>
      <c r="BZ14" s="137" t="e">
        <v>#VALUE!</v>
      </c>
      <c r="CA14" s="137" t="e">
        <v>#VALUE!</v>
      </c>
      <c r="CB14" s="137" t="e">
        <v>#VALUE!</v>
      </c>
      <c r="CC14" s="137" t="e">
        <v>#VALUE!</v>
      </c>
      <c r="CD14" s="137" t="e">
        <v>#VALUE!</v>
      </c>
      <c r="CE14" s="137" t="e">
        <v>#VALUE!</v>
      </c>
      <c r="CF14" s="137" t="e">
        <v>#VALUE!</v>
      </c>
      <c r="CG14" s="137" t="e">
        <v>#VALUE!</v>
      </c>
      <c r="CH14" s="137" t="e">
        <v>#VALUE!</v>
      </c>
      <c r="CI14" s="137" t="e">
        <v>#VALUE!</v>
      </c>
      <c r="CJ14" s="137" t="e">
        <v>#VALUE!</v>
      </c>
      <c r="CK14" s="137" t="e">
        <v>#VALUE!</v>
      </c>
      <c r="CL14" s="137" t="e">
        <v>#VALUE!</v>
      </c>
      <c r="CM14" s="137" t="e">
        <v>#VALUE!</v>
      </c>
      <c r="CN14" s="137" t="e">
        <v>#VALUE!</v>
      </c>
      <c r="CO14" s="137" t="e">
        <v>#VALUE!</v>
      </c>
      <c r="CP14" s="137" t="e">
        <v>#VALUE!</v>
      </c>
      <c r="CQ14" s="137" t="e">
        <v>#VALUE!</v>
      </c>
      <c r="CR14" s="137" t="e">
        <v>#VALUE!</v>
      </c>
      <c r="CS14" s="137" t="e">
        <v>#VALUE!</v>
      </c>
      <c r="CT14" s="137" t="e">
        <v>#VALUE!</v>
      </c>
      <c r="CU14" s="137" t="e">
        <v>#VALUE!</v>
      </c>
      <c r="CV14" s="137" t="e">
        <v>#VALUE!</v>
      </c>
      <c r="CW14" s="137" t="e">
        <v>#VALUE!</v>
      </c>
      <c r="CX14" s="137" t="e">
        <v>#VALUE!</v>
      </c>
      <c r="CY14" s="137" t="e">
        <v>#VALUE!</v>
      </c>
      <c r="CZ14" s="137" t="e">
        <v>#VALUE!</v>
      </c>
      <c r="DA14" s="137" t="e">
        <v>#VALUE!</v>
      </c>
      <c r="DB14" s="137" t="e">
        <v>#VALUE!</v>
      </c>
      <c r="DC14" s="137" t="e">
        <v>#VALUE!</v>
      </c>
      <c r="DD14" s="137" t="e">
        <v>#VALUE!</v>
      </c>
      <c r="DE14" s="137" t="e">
        <v>#VALUE!</v>
      </c>
      <c r="DF14" s="137" t="e">
        <v>#VALUE!</v>
      </c>
      <c r="DG14" s="137" t="e">
        <v>#VALUE!</v>
      </c>
      <c r="DH14" s="137" t="e">
        <v>#VALUE!</v>
      </c>
      <c r="DI14" s="137" t="e">
        <v>#VALUE!</v>
      </c>
      <c r="DJ14" s="137" t="e">
        <v>#VALUE!</v>
      </c>
      <c r="DK14" s="137" t="e">
        <v>#VALUE!</v>
      </c>
      <c r="DL14" s="137" t="e">
        <v>#VALUE!</v>
      </c>
      <c r="DM14" s="137" t="e">
        <v>#VALUE!</v>
      </c>
      <c r="DN14" s="137" t="e">
        <v>#VALUE!</v>
      </c>
      <c r="DO14" s="137" t="e">
        <v>#VALUE!</v>
      </c>
      <c r="DP14" s="137" t="e">
        <v>#VALUE!</v>
      </c>
      <c r="DQ14" s="137" t="e">
        <v>#VALUE!</v>
      </c>
      <c r="DR14" s="137" t="e">
        <v>#VALUE!</v>
      </c>
      <c r="DS14" s="137" t="e">
        <v>#VALUE!</v>
      </c>
      <c r="DT14" s="137" t="e">
        <v>#VALUE!</v>
      </c>
      <c r="DU14" s="137" t="e">
        <v>#VALUE!</v>
      </c>
      <c r="DV14" s="137" t="e">
        <v>#VALUE!</v>
      </c>
      <c r="DW14" s="137" t="e">
        <v>#VALUE!</v>
      </c>
      <c r="DX14" s="137" t="e">
        <v>#VALUE!</v>
      </c>
      <c r="DY14" s="137" t="e">
        <v>#VALUE!</v>
      </c>
      <c r="DZ14" s="137" t="e">
        <v>#VALUE!</v>
      </c>
      <c r="EA14" s="137" t="e">
        <v>#VALUE!</v>
      </c>
      <c r="EB14" s="137" t="e">
        <v>#VALUE!</v>
      </c>
      <c r="EC14" s="137" t="e">
        <v>#VALUE!</v>
      </c>
      <c r="ED14" s="137" t="e">
        <v>#VALUE!</v>
      </c>
      <c r="EE14" s="137" t="e">
        <v>#VALUE!</v>
      </c>
      <c r="EF14" s="137" t="e">
        <v>#VALUE!</v>
      </c>
      <c r="EG14" s="137" t="e">
        <v>#VALUE!</v>
      </c>
      <c r="EH14" s="137" t="e">
        <v>#VALUE!</v>
      </c>
      <c r="EI14" s="137" t="e">
        <v>#VALUE!</v>
      </c>
      <c r="EJ14" s="137" t="e">
        <v>#VALUE!</v>
      </c>
      <c r="EK14" s="137" t="e">
        <v>#VALUE!</v>
      </c>
      <c r="EL14" s="137" t="e">
        <v>#VALUE!</v>
      </c>
      <c r="EM14" s="137" t="e">
        <v>#VALUE!</v>
      </c>
      <c r="EN14" s="137" t="e">
        <v>#VALUE!</v>
      </c>
      <c r="EO14" s="137" t="e">
        <v>#VALUE!</v>
      </c>
      <c r="EP14" s="137" t="e">
        <v>#VALUE!</v>
      </c>
      <c r="EQ14" s="137" t="e">
        <v>#VALUE!</v>
      </c>
      <c r="ER14" s="137" t="e">
        <v>#VALUE!</v>
      </c>
      <c r="ES14" s="137" t="e">
        <v>#VALUE!</v>
      </c>
      <c r="ET14" s="137" t="e">
        <v>#VALUE!</v>
      </c>
      <c r="EU14" s="137" t="e">
        <v>#VALUE!</v>
      </c>
      <c r="EV14" s="137" t="e">
        <v>#VALUE!</v>
      </c>
      <c r="EW14" s="137" t="e">
        <v>#VALUE!</v>
      </c>
      <c r="EX14" s="137" t="e">
        <v>#VALUE!</v>
      </c>
      <c r="EY14" s="137" t="e">
        <v>#VALUE!</v>
      </c>
      <c r="EZ14" s="137" t="e">
        <v>#VALUE!</v>
      </c>
      <c r="FA14" s="137" t="e">
        <v>#VALUE!</v>
      </c>
      <c r="FB14" s="137" t="e">
        <v>#VALUE!</v>
      </c>
      <c r="FC14" s="137" t="e">
        <v>#VALUE!</v>
      </c>
      <c r="FD14" s="137" t="e">
        <v>#VALUE!</v>
      </c>
      <c r="FE14" s="137" t="e">
        <v>#VALUE!</v>
      </c>
      <c r="FF14" s="137" t="e">
        <v>#VALUE!</v>
      </c>
      <c r="FG14" s="137" t="e">
        <v>#VALUE!</v>
      </c>
      <c r="FH14" s="137" t="e">
        <v>#VALUE!</v>
      </c>
      <c r="FI14" s="137" t="e">
        <v>#VALUE!</v>
      </c>
      <c r="FJ14" s="137" t="e">
        <v>#VALUE!</v>
      </c>
      <c r="FK14" s="137" t="e">
        <v>#VALUE!</v>
      </c>
      <c r="FL14" s="137" t="e">
        <v>#VALUE!</v>
      </c>
      <c r="FM14" s="137" t="e">
        <v>#VALUE!</v>
      </c>
      <c r="FN14" s="137" t="e">
        <v>#VALUE!</v>
      </c>
      <c r="FO14" s="137" t="e">
        <v>#VALUE!</v>
      </c>
      <c r="FP14" s="137" t="e">
        <v>#VALUE!</v>
      </c>
      <c r="FQ14" s="137" t="e">
        <v>#VALUE!</v>
      </c>
      <c r="FR14" s="137" t="e">
        <v>#VALUE!</v>
      </c>
      <c r="FS14" s="137" t="e">
        <v>#VALUE!</v>
      </c>
      <c r="FT14" s="137" t="e">
        <v>#VALUE!</v>
      </c>
      <c r="FU14" s="137" t="e">
        <v>#VALUE!</v>
      </c>
      <c r="FV14" s="137" t="e">
        <v>#VALUE!</v>
      </c>
      <c r="FW14" s="137" t="e">
        <v>#VALUE!</v>
      </c>
      <c r="FX14" s="137" t="e">
        <v>#VALUE!</v>
      </c>
      <c r="FY14" s="137" t="e">
        <v>#VALUE!</v>
      </c>
      <c r="FZ14" s="137" t="e">
        <v>#VALUE!</v>
      </c>
      <c r="GA14" s="137" t="e">
        <v>#VALUE!</v>
      </c>
      <c r="GB14" s="137" t="e">
        <v>#VALUE!</v>
      </c>
      <c r="GC14" s="137" t="e">
        <v>#VALUE!</v>
      </c>
      <c r="GD14" s="137" t="e">
        <v>#VALUE!</v>
      </c>
      <c r="GE14" s="137" t="e">
        <v>#VALUE!</v>
      </c>
      <c r="GF14" s="137" t="e">
        <v>#VALUE!</v>
      </c>
      <c r="GG14" s="137" t="e">
        <v>#VALUE!</v>
      </c>
      <c r="GH14" s="137" t="e">
        <v>#VALUE!</v>
      </c>
      <c r="GI14" s="137" t="e">
        <v>#VALUE!</v>
      </c>
      <c r="GJ14" s="137" t="e">
        <v>#VALUE!</v>
      </c>
      <c r="GK14" s="137" t="e">
        <v>#VALUE!</v>
      </c>
      <c r="GL14" s="137" t="e">
        <v>#VALUE!</v>
      </c>
      <c r="GM14" s="137" t="e">
        <v>#VALUE!</v>
      </c>
      <c r="GN14" s="137" t="e">
        <v>#VALUE!</v>
      </c>
      <c r="GO14" s="137" t="e">
        <v>#VALUE!</v>
      </c>
      <c r="GP14" s="137" t="e">
        <v>#VALUE!</v>
      </c>
      <c r="GQ14" s="137" t="e">
        <v>#VALUE!</v>
      </c>
      <c r="GR14" s="137" t="e">
        <v>#VALUE!</v>
      </c>
      <c r="GS14" s="137" t="e">
        <v>#VALUE!</v>
      </c>
      <c r="GT14" s="137" t="e">
        <v>#VALUE!</v>
      </c>
      <c r="GU14" s="137" t="e">
        <v>#VALUE!</v>
      </c>
      <c r="GV14" s="137" t="e">
        <v>#VALUE!</v>
      </c>
      <c r="GW14" s="137" t="e">
        <v>#VALUE!</v>
      </c>
      <c r="GX14" s="137" t="e">
        <v>#VALUE!</v>
      </c>
      <c r="GY14" s="137" t="e">
        <v>#VALUE!</v>
      </c>
      <c r="GZ14" s="137" t="e">
        <v>#VALUE!</v>
      </c>
      <c r="HA14" s="137" t="e">
        <v>#VALUE!</v>
      </c>
      <c r="HB14" s="137" t="e">
        <v>#VALUE!</v>
      </c>
      <c r="HC14" s="137" t="e">
        <v>#VALUE!</v>
      </c>
      <c r="HD14" s="137" t="e">
        <v>#VALUE!</v>
      </c>
      <c r="HE14" s="137" t="e">
        <v>#VALUE!</v>
      </c>
      <c r="HF14" s="137" t="e">
        <v>#VALUE!</v>
      </c>
      <c r="HG14" s="137" t="e">
        <v>#VALUE!</v>
      </c>
      <c r="HH14" s="137" t="e">
        <v>#VALUE!</v>
      </c>
      <c r="HI14" s="137" t="e">
        <v>#VALUE!</v>
      </c>
      <c r="HJ14" s="137" t="e">
        <v>#VALUE!</v>
      </c>
      <c r="HK14" s="137" t="e">
        <v>#VALUE!</v>
      </c>
      <c r="HL14" s="137" t="e">
        <v>#VALUE!</v>
      </c>
      <c r="HM14" s="137" t="e">
        <v>#VALUE!</v>
      </c>
      <c r="HN14" s="137" t="e">
        <v>#VALUE!</v>
      </c>
      <c r="HO14" s="137" t="e">
        <v>#VALUE!</v>
      </c>
      <c r="HP14" s="137" t="e">
        <v>#VALUE!</v>
      </c>
      <c r="HQ14" s="137" t="e">
        <v>#VALUE!</v>
      </c>
      <c r="HR14" s="137" t="e">
        <v>#VALUE!</v>
      </c>
      <c r="HS14" s="137" t="e">
        <v>#VALUE!</v>
      </c>
      <c r="HT14" s="137" t="e">
        <v>#VALUE!</v>
      </c>
      <c r="HU14" s="137" t="e">
        <v>#VALUE!</v>
      </c>
      <c r="HV14" s="137" t="e">
        <v>#VALUE!</v>
      </c>
      <c r="HW14" s="137" t="e">
        <v>#VALUE!</v>
      </c>
      <c r="HX14" s="137" t="e">
        <v>#VALUE!</v>
      </c>
      <c r="HY14" s="137" t="e">
        <v>#VALUE!</v>
      </c>
      <c r="HZ14" s="137" t="e">
        <v>#VALUE!</v>
      </c>
      <c r="IA14" s="137" t="e">
        <v>#VALUE!</v>
      </c>
      <c r="IB14" s="137" t="e">
        <v>#VALUE!</v>
      </c>
      <c r="IC14" s="137" t="e">
        <v>#VALUE!</v>
      </c>
      <c r="ID14" s="137" t="e">
        <v>#VALUE!</v>
      </c>
      <c r="IE14" s="137" t="e">
        <v>#VALUE!</v>
      </c>
      <c r="IF14" s="137" t="e">
        <v>#VALUE!</v>
      </c>
      <c r="IG14" s="137" t="e">
        <v>#VALUE!</v>
      </c>
      <c r="IH14" s="137" t="e">
        <v>#VALUE!</v>
      </c>
      <c r="II14" s="137" t="e">
        <v>#VALUE!</v>
      </c>
      <c r="IJ14" s="137" t="e">
        <v>#VALUE!</v>
      </c>
      <c r="IK14" s="137" t="e">
        <v>#VALUE!</v>
      </c>
      <c r="IL14" s="137" t="e">
        <v>#VALUE!</v>
      </c>
      <c r="IM14" s="137" t="e">
        <v>#VALUE!</v>
      </c>
      <c r="IN14" s="137" t="e">
        <v>#VALUE!</v>
      </c>
      <c r="IO14" s="137" t="e">
        <v>#VALUE!</v>
      </c>
      <c r="IP14" s="137" t="e">
        <v>#VALUE!</v>
      </c>
      <c r="IQ14" s="137" t="e">
        <v>#VALUE!</v>
      </c>
      <c r="IR14" s="137" t="e">
        <v>#VALUE!</v>
      </c>
      <c r="IS14" s="137" t="e">
        <v>#VALUE!</v>
      </c>
      <c r="IT14" s="137" t="e">
        <v>#VALUE!</v>
      </c>
      <c r="IU14" s="137" t="e">
        <v>#VALUE!</v>
      </c>
      <c r="IV14" s="137" t="e">
        <v>#VALUE!</v>
      </c>
      <c r="IW14" s="137" t="e">
        <v>#VALUE!</v>
      </c>
      <c r="IX14" s="137" t="e">
        <v>#VALUE!</v>
      </c>
      <c r="IY14" s="137" t="e">
        <v>#VALUE!</v>
      </c>
      <c r="IZ14" s="137" t="e">
        <v>#VALUE!</v>
      </c>
      <c r="JA14" s="137" t="e">
        <v>#VALUE!</v>
      </c>
      <c r="JB14" s="137" t="e">
        <v>#VALUE!</v>
      </c>
      <c r="JC14" s="137" t="e">
        <v>#VALUE!</v>
      </c>
      <c r="JD14" s="137" t="e">
        <v>#VALUE!</v>
      </c>
      <c r="JE14" s="137" t="e">
        <v>#VALUE!</v>
      </c>
      <c r="JF14" s="137" t="e">
        <v>#VALUE!</v>
      </c>
      <c r="JG14" s="137" t="e">
        <v>#VALUE!</v>
      </c>
      <c r="JH14" s="137" t="e">
        <v>#VALUE!</v>
      </c>
      <c r="JI14" s="137" t="e">
        <v>#VALUE!</v>
      </c>
      <c r="JJ14" s="137" t="e">
        <v>#VALUE!</v>
      </c>
      <c r="JK14" s="137" t="e">
        <v>#VALUE!</v>
      </c>
      <c r="JL14" s="137" t="e">
        <v>#VALUE!</v>
      </c>
      <c r="JM14" s="137" t="e">
        <v>#VALUE!</v>
      </c>
      <c r="JN14" s="137" t="e">
        <v>#VALUE!</v>
      </c>
      <c r="JO14" s="137" t="e">
        <v>#VALUE!</v>
      </c>
      <c r="JP14" s="137" t="e">
        <v>#VALUE!</v>
      </c>
      <c r="JQ14" s="137" t="e">
        <v>#VALUE!</v>
      </c>
      <c r="JR14" s="137" t="e">
        <v>#VALUE!</v>
      </c>
      <c r="JS14" s="137" t="e">
        <v>#VALUE!</v>
      </c>
      <c r="JT14" s="137" t="e">
        <v>#VALUE!</v>
      </c>
      <c r="JU14" s="137" t="e">
        <v>#VALUE!</v>
      </c>
      <c r="JV14" s="137" t="e">
        <v>#VALUE!</v>
      </c>
      <c r="JW14" s="137" t="e">
        <v>#VALUE!</v>
      </c>
      <c r="JX14" s="137" t="e">
        <v>#VALUE!</v>
      </c>
      <c r="JY14" s="137" t="e">
        <v>#VALUE!</v>
      </c>
      <c r="JZ14" s="137" t="e">
        <v>#VALUE!</v>
      </c>
      <c r="KA14" s="137" t="e">
        <v>#VALUE!</v>
      </c>
      <c r="KB14" s="137" t="e">
        <v>#VALUE!</v>
      </c>
      <c r="KC14" s="137" t="e">
        <v>#VALUE!</v>
      </c>
      <c r="KD14" s="137" t="e">
        <v>#VALUE!</v>
      </c>
      <c r="KE14" s="137" t="e">
        <v>#VALUE!</v>
      </c>
      <c r="KF14" s="137" t="e">
        <v>#VALUE!</v>
      </c>
      <c r="KG14" s="137" t="e">
        <v>#VALUE!</v>
      </c>
      <c r="KH14" s="137" t="e">
        <v>#VALUE!</v>
      </c>
      <c r="KI14" s="137" t="e">
        <v>#VALUE!</v>
      </c>
      <c r="KJ14" s="137" t="e">
        <v>#VALUE!</v>
      </c>
      <c r="KK14" s="137" t="e">
        <v>#VALUE!</v>
      </c>
      <c r="KL14" s="137" t="e">
        <v>#VALUE!</v>
      </c>
      <c r="KM14" s="137" t="e">
        <v>#VALUE!</v>
      </c>
      <c r="KN14" s="137" t="e">
        <v>#VALUE!</v>
      </c>
      <c r="KO14" s="137" t="e">
        <v>#VALUE!</v>
      </c>
      <c r="KP14" s="137" t="e">
        <v>#VALUE!</v>
      </c>
      <c r="KQ14" s="137" t="e">
        <v>#VALUE!</v>
      </c>
      <c r="KR14" s="137" t="e">
        <v>#VALUE!</v>
      </c>
      <c r="KS14" s="137" t="e">
        <v>#VALUE!</v>
      </c>
      <c r="KT14" s="137" t="e">
        <v>#VALUE!</v>
      </c>
      <c r="KU14" s="137" t="e">
        <v>#VALUE!</v>
      </c>
      <c r="KV14" s="137" t="e">
        <v>#VALUE!</v>
      </c>
      <c r="KW14" s="137" t="e">
        <v>#VALUE!</v>
      </c>
      <c r="KX14" s="137" t="e">
        <v>#VALUE!</v>
      </c>
      <c r="KY14" s="137" t="e">
        <v>#VALUE!</v>
      </c>
      <c r="KZ14" s="137" t="e">
        <v>#VALUE!</v>
      </c>
      <c r="LA14" s="137" t="e">
        <v>#VALUE!</v>
      </c>
      <c r="LB14" s="137" t="e">
        <v>#VALUE!</v>
      </c>
      <c r="LC14" s="137" t="e">
        <v>#VALUE!</v>
      </c>
      <c r="LD14" s="137" t="e">
        <v>#VALUE!</v>
      </c>
      <c r="LE14" s="137" t="e">
        <v>#VALUE!</v>
      </c>
      <c r="LF14" s="137" t="e">
        <v>#VALUE!</v>
      </c>
      <c r="LG14" s="137" t="e">
        <v>#VALUE!</v>
      </c>
      <c r="LH14" s="137" t="e">
        <v>#VALUE!</v>
      </c>
      <c r="LI14" s="137" t="e">
        <v>#VALUE!</v>
      </c>
      <c r="LJ14" s="137" t="e">
        <v>#VALUE!</v>
      </c>
      <c r="LK14" s="137" t="e">
        <v>#VALUE!</v>
      </c>
      <c r="LL14" s="137" t="e">
        <v>#VALUE!</v>
      </c>
      <c r="LM14" s="137" t="e">
        <v>#VALUE!</v>
      </c>
      <c r="LN14" s="137" t="e">
        <v>#VALUE!</v>
      </c>
      <c r="LO14" s="137" t="e">
        <v>#VALUE!</v>
      </c>
      <c r="LP14" s="137" t="e">
        <v>#VALUE!</v>
      </c>
      <c r="LQ14" s="137" t="e">
        <v>#VALUE!</v>
      </c>
      <c r="LR14" s="137" t="e">
        <v>#VALUE!</v>
      </c>
      <c r="LS14" s="137" t="e">
        <v>#VALUE!</v>
      </c>
      <c r="LT14" s="137" t="e">
        <v>#VALUE!</v>
      </c>
      <c r="LU14" s="137" t="e">
        <v>#VALUE!</v>
      </c>
      <c r="LV14" s="137" t="e">
        <v>#VALUE!</v>
      </c>
      <c r="LW14" s="137" t="e">
        <v>#VALUE!</v>
      </c>
      <c r="LX14" s="137" t="e">
        <v>#VALUE!</v>
      </c>
      <c r="LY14" s="137" t="e">
        <v>#VALUE!</v>
      </c>
      <c r="LZ14" s="137" t="e">
        <v>#VALUE!</v>
      </c>
      <c r="MA14" s="137" t="e">
        <v>#VALUE!</v>
      </c>
      <c r="MB14" s="137" t="e">
        <v>#VALUE!</v>
      </c>
      <c r="MC14" s="137" t="e">
        <v>#VALUE!</v>
      </c>
      <c r="MD14" s="137" t="e">
        <v>#VALUE!</v>
      </c>
      <c r="ME14" s="137" t="e">
        <v>#VALUE!</v>
      </c>
      <c r="MF14" s="137" t="e">
        <v>#VALUE!</v>
      </c>
      <c r="MG14" s="137" t="e">
        <v>#VALUE!</v>
      </c>
      <c r="MH14" s="137" t="e">
        <v>#VALUE!</v>
      </c>
      <c r="MI14" s="137" t="e">
        <v>#VALUE!</v>
      </c>
      <c r="MJ14" s="137" t="e">
        <v>#VALUE!</v>
      </c>
      <c r="MK14" s="137" t="e">
        <v>#VALUE!</v>
      </c>
      <c r="ML14" s="137" t="e">
        <v>#VALUE!</v>
      </c>
      <c r="MM14" s="137" t="e">
        <v>#VALUE!</v>
      </c>
      <c r="MN14" s="137" t="e">
        <v>#VALUE!</v>
      </c>
      <c r="MO14" s="137" t="e">
        <v>#VALUE!</v>
      </c>
      <c r="MP14" s="137" t="e">
        <v>#VALUE!</v>
      </c>
      <c r="MQ14" s="137" t="e">
        <v>#VALUE!</v>
      </c>
      <c r="MR14" s="137" t="e">
        <v>#VALUE!</v>
      </c>
      <c r="MS14" s="137" t="e">
        <v>#VALUE!</v>
      </c>
      <c r="MT14" s="137" t="e">
        <v>#VALUE!</v>
      </c>
      <c r="MU14" s="137" t="e">
        <v>#VALUE!</v>
      </c>
      <c r="MV14" s="137" t="e">
        <v>#VALUE!</v>
      </c>
      <c r="MW14" s="137" t="e">
        <v>#VALUE!</v>
      </c>
      <c r="MX14" s="137" t="e">
        <v>#VALUE!</v>
      </c>
      <c r="MY14" s="137" t="e">
        <v>#VALUE!</v>
      </c>
      <c r="MZ14" s="137" t="e">
        <v>#VALUE!</v>
      </c>
      <c r="NA14" s="137" t="e">
        <v>#VALUE!</v>
      </c>
      <c r="NB14" s="137" t="e">
        <v>#VALUE!</v>
      </c>
      <c r="NC14" s="137" t="e">
        <v>#VALUE!</v>
      </c>
      <c r="ND14" s="137" t="e">
        <v>#VALUE!</v>
      </c>
      <c r="NE14" s="137" t="e">
        <v>#VALUE!</v>
      </c>
      <c r="NF14" s="137" t="e">
        <v>#VALUE!</v>
      </c>
      <c r="NG14" s="137" t="e">
        <v>#VALUE!</v>
      </c>
    </row>
    <row r="15" spans="1:371" x14ac:dyDescent="0.25">
      <c r="A15" s="357" t="s">
        <v>400</v>
      </c>
      <c r="D15" s="137" t="e">
        <v>#VALUE!</v>
      </c>
      <c r="E15" s="137" t="e">
        <v>#VALUE!</v>
      </c>
      <c r="F15" s="137" t="e">
        <v>#VALUE!</v>
      </c>
      <c r="G15" s="137" t="e">
        <v>#VALUE!</v>
      </c>
      <c r="H15" s="137" t="e">
        <v>#VALUE!</v>
      </c>
      <c r="I15" s="137" t="e">
        <v>#VALUE!</v>
      </c>
      <c r="J15" s="137" t="e">
        <v>#VALUE!</v>
      </c>
      <c r="K15" s="137" t="e">
        <v>#VALUE!</v>
      </c>
      <c r="L15" s="137" t="e">
        <v>#VALUE!</v>
      </c>
      <c r="M15" s="137" t="e">
        <v>#VALUE!</v>
      </c>
      <c r="N15" s="137" t="e">
        <v>#VALUE!</v>
      </c>
      <c r="O15" s="137" t="e">
        <v>#VALUE!</v>
      </c>
      <c r="P15" s="137" t="e">
        <v>#VALUE!</v>
      </c>
      <c r="Q15" s="137" t="e">
        <v>#VALUE!</v>
      </c>
      <c r="R15" s="137" t="e">
        <v>#VALUE!</v>
      </c>
      <c r="S15" s="137" t="e">
        <v>#VALUE!</v>
      </c>
      <c r="T15" s="137" t="e">
        <v>#VALUE!</v>
      </c>
      <c r="U15" s="137" t="e">
        <v>#VALUE!</v>
      </c>
      <c r="V15" s="137" t="e">
        <v>#VALUE!</v>
      </c>
      <c r="W15" s="137" t="e">
        <v>#VALUE!</v>
      </c>
      <c r="X15" s="137" t="e">
        <v>#VALUE!</v>
      </c>
      <c r="Y15" s="137" t="e">
        <v>#VALUE!</v>
      </c>
      <c r="Z15" s="137" t="e">
        <v>#VALUE!</v>
      </c>
      <c r="AA15" s="137" t="e">
        <v>#VALUE!</v>
      </c>
      <c r="AB15" s="137" t="e">
        <v>#VALUE!</v>
      </c>
      <c r="AC15" s="137" t="e">
        <v>#VALUE!</v>
      </c>
      <c r="AD15" s="137" t="e">
        <v>#VALUE!</v>
      </c>
      <c r="AE15" s="137" t="e">
        <v>#VALUE!</v>
      </c>
      <c r="AF15" s="137" t="e">
        <v>#VALUE!</v>
      </c>
      <c r="AG15" s="137" t="e">
        <v>#VALUE!</v>
      </c>
      <c r="AH15" s="137" t="e">
        <v>#VALUE!</v>
      </c>
      <c r="AI15" s="137" t="e">
        <v>#VALUE!</v>
      </c>
      <c r="AJ15" s="137" t="e">
        <v>#VALUE!</v>
      </c>
      <c r="AK15" s="137" t="e">
        <v>#VALUE!</v>
      </c>
      <c r="AL15" s="137" t="e">
        <v>#VALUE!</v>
      </c>
      <c r="AM15" s="137" t="e">
        <v>#VALUE!</v>
      </c>
      <c r="AN15" s="137" t="e">
        <v>#VALUE!</v>
      </c>
      <c r="AO15" s="137" t="e">
        <v>#VALUE!</v>
      </c>
      <c r="AP15" s="137" t="e">
        <v>#VALUE!</v>
      </c>
      <c r="AQ15" s="137" t="e">
        <v>#VALUE!</v>
      </c>
      <c r="AR15" s="137" t="e">
        <v>#VALUE!</v>
      </c>
      <c r="AS15" s="137" t="e">
        <v>#VALUE!</v>
      </c>
      <c r="AT15" s="137" t="e">
        <v>#VALUE!</v>
      </c>
      <c r="AU15" s="137" t="e">
        <v>#VALUE!</v>
      </c>
      <c r="AV15" s="137" t="e">
        <v>#VALUE!</v>
      </c>
      <c r="AW15" s="137" t="e">
        <v>#VALUE!</v>
      </c>
      <c r="AX15" s="137" t="e">
        <v>#VALUE!</v>
      </c>
      <c r="AY15" s="137" t="e">
        <v>#VALUE!</v>
      </c>
      <c r="AZ15" s="137" t="e">
        <v>#VALUE!</v>
      </c>
      <c r="BA15" s="137" t="e">
        <v>#VALUE!</v>
      </c>
      <c r="BB15" s="137" t="e">
        <v>#VALUE!</v>
      </c>
      <c r="BC15" s="137" t="e">
        <v>#VALUE!</v>
      </c>
      <c r="BD15" s="137" t="e">
        <v>#VALUE!</v>
      </c>
      <c r="BE15" s="137" t="e">
        <v>#VALUE!</v>
      </c>
      <c r="BF15" s="137" t="e">
        <v>#VALUE!</v>
      </c>
      <c r="BG15" s="137" t="e">
        <v>#VALUE!</v>
      </c>
      <c r="BH15" s="137" t="e">
        <v>#VALUE!</v>
      </c>
      <c r="BI15" s="137" t="e">
        <v>#VALUE!</v>
      </c>
      <c r="BJ15" s="137" t="e">
        <v>#VALUE!</v>
      </c>
      <c r="BK15" s="137" t="e">
        <v>#VALUE!</v>
      </c>
      <c r="BL15" s="137" t="e">
        <v>#VALUE!</v>
      </c>
      <c r="BM15" s="137" t="e">
        <v>#VALUE!</v>
      </c>
      <c r="BN15" s="137" t="e">
        <v>#VALUE!</v>
      </c>
      <c r="BO15" s="137" t="e">
        <v>#VALUE!</v>
      </c>
      <c r="BP15" s="137" t="e">
        <v>#VALUE!</v>
      </c>
      <c r="BQ15" s="137" t="e">
        <v>#VALUE!</v>
      </c>
      <c r="BR15" s="137" t="e">
        <v>#VALUE!</v>
      </c>
      <c r="BS15" s="137" t="e">
        <v>#VALUE!</v>
      </c>
      <c r="BT15" s="137" t="e">
        <v>#VALUE!</v>
      </c>
      <c r="BU15" s="137" t="e">
        <v>#VALUE!</v>
      </c>
      <c r="BV15" s="137" t="e">
        <v>#VALUE!</v>
      </c>
      <c r="BW15" s="137" t="e">
        <v>#VALUE!</v>
      </c>
      <c r="BX15" s="137" t="e">
        <v>#VALUE!</v>
      </c>
      <c r="BY15" s="137" t="e">
        <v>#VALUE!</v>
      </c>
      <c r="BZ15" s="137" t="e">
        <v>#VALUE!</v>
      </c>
      <c r="CA15" s="137" t="e">
        <v>#VALUE!</v>
      </c>
      <c r="CB15" s="137" t="e">
        <v>#VALUE!</v>
      </c>
      <c r="CC15" s="137" t="e">
        <v>#VALUE!</v>
      </c>
      <c r="CD15" s="137" t="e">
        <v>#VALUE!</v>
      </c>
      <c r="CE15" s="137" t="e">
        <v>#VALUE!</v>
      </c>
      <c r="CF15" s="137" t="e">
        <v>#VALUE!</v>
      </c>
      <c r="CG15" s="137" t="e">
        <v>#VALUE!</v>
      </c>
      <c r="CH15" s="137" t="e">
        <v>#VALUE!</v>
      </c>
      <c r="CI15" s="137" t="e">
        <v>#VALUE!</v>
      </c>
      <c r="CJ15" s="137" t="e">
        <v>#VALUE!</v>
      </c>
      <c r="CK15" s="137" t="e">
        <v>#VALUE!</v>
      </c>
      <c r="CL15" s="137" t="e">
        <v>#VALUE!</v>
      </c>
      <c r="CM15" s="137" t="e">
        <v>#VALUE!</v>
      </c>
      <c r="CN15" s="137" t="e">
        <v>#VALUE!</v>
      </c>
      <c r="CO15" s="137" t="e">
        <v>#VALUE!</v>
      </c>
      <c r="CP15" s="137" t="e">
        <v>#VALUE!</v>
      </c>
      <c r="CQ15" s="137" t="e">
        <v>#VALUE!</v>
      </c>
      <c r="CR15" s="137" t="e">
        <v>#VALUE!</v>
      </c>
      <c r="CS15" s="137" t="e">
        <v>#VALUE!</v>
      </c>
      <c r="CT15" s="137" t="e">
        <v>#VALUE!</v>
      </c>
      <c r="CU15" s="137" t="e">
        <v>#VALUE!</v>
      </c>
      <c r="CV15" s="137" t="e">
        <v>#VALUE!</v>
      </c>
      <c r="CW15" s="137" t="e">
        <v>#VALUE!</v>
      </c>
      <c r="CX15" s="137" t="e">
        <v>#VALUE!</v>
      </c>
      <c r="CY15" s="137" t="e">
        <v>#VALUE!</v>
      </c>
      <c r="CZ15" s="137" t="e">
        <v>#VALUE!</v>
      </c>
      <c r="DA15" s="137" t="e">
        <v>#VALUE!</v>
      </c>
      <c r="DB15" s="137" t="e">
        <v>#VALUE!</v>
      </c>
      <c r="DC15" s="137" t="e">
        <v>#VALUE!</v>
      </c>
      <c r="DD15" s="137" t="e">
        <v>#VALUE!</v>
      </c>
      <c r="DE15" s="137" t="e">
        <v>#VALUE!</v>
      </c>
      <c r="DF15" s="137" t="e">
        <v>#VALUE!</v>
      </c>
      <c r="DG15" s="137" t="e">
        <v>#VALUE!</v>
      </c>
      <c r="DH15" s="137" t="e">
        <v>#VALUE!</v>
      </c>
      <c r="DI15" s="137" t="e">
        <v>#VALUE!</v>
      </c>
      <c r="DJ15" s="137" t="e">
        <v>#VALUE!</v>
      </c>
      <c r="DK15" s="137" t="e">
        <v>#VALUE!</v>
      </c>
      <c r="DL15" s="137" t="e">
        <v>#VALUE!</v>
      </c>
      <c r="DM15" s="137" t="e">
        <v>#VALUE!</v>
      </c>
      <c r="DN15" s="137" t="e">
        <v>#VALUE!</v>
      </c>
      <c r="DO15" s="137" t="e">
        <v>#VALUE!</v>
      </c>
      <c r="DP15" s="137" t="e">
        <v>#VALUE!</v>
      </c>
      <c r="DQ15" s="137" t="e">
        <v>#VALUE!</v>
      </c>
      <c r="DR15" s="137" t="e">
        <v>#VALUE!</v>
      </c>
      <c r="DS15" s="137" t="e">
        <v>#VALUE!</v>
      </c>
      <c r="DT15" s="137" t="e">
        <v>#VALUE!</v>
      </c>
      <c r="DU15" s="137" t="e">
        <v>#VALUE!</v>
      </c>
      <c r="DV15" s="137" t="e">
        <v>#VALUE!</v>
      </c>
      <c r="DW15" s="137" t="e">
        <v>#VALUE!</v>
      </c>
      <c r="DX15" s="137" t="e">
        <v>#VALUE!</v>
      </c>
      <c r="DY15" s="137" t="e">
        <v>#VALUE!</v>
      </c>
      <c r="DZ15" s="137" t="e">
        <v>#VALUE!</v>
      </c>
      <c r="EA15" s="137" t="e">
        <v>#VALUE!</v>
      </c>
      <c r="EB15" s="137" t="e">
        <v>#VALUE!</v>
      </c>
      <c r="EC15" s="137" t="e">
        <v>#VALUE!</v>
      </c>
      <c r="ED15" s="137" t="e">
        <v>#VALUE!</v>
      </c>
      <c r="EE15" s="137" t="e">
        <v>#VALUE!</v>
      </c>
      <c r="EF15" s="137" t="e">
        <v>#VALUE!</v>
      </c>
      <c r="EG15" s="137" t="e">
        <v>#VALUE!</v>
      </c>
      <c r="EH15" s="137" t="e">
        <v>#VALUE!</v>
      </c>
      <c r="EI15" s="137" t="e">
        <v>#VALUE!</v>
      </c>
      <c r="EJ15" s="137" t="e">
        <v>#VALUE!</v>
      </c>
      <c r="EK15" s="137" t="e">
        <v>#VALUE!</v>
      </c>
      <c r="EL15" s="137" t="e">
        <v>#VALUE!</v>
      </c>
      <c r="EM15" s="137" t="e">
        <v>#VALUE!</v>
      </c>
      <c r="EN15" s="137" t="e">
        <v>#VALUE!</v>
      </c>
      <c r="EO15" s="137" t="e">
        <v>#VALUE!</v>
      </c>
      <c r="EP15" s="137" t="e">
        <v>#VALUE!</v>
      </c>
      <c r="EQ15" s="137" t="e">
        <v>#VALUE!</v>
      </c>
      <c r="ER15" s="137" t="e">
        <v>#VALUE!</v>
      </c>
      <c r="ES15" s="137" t="e">
        <v>#VALUE!</v>
      </c>
      <c r="ET15" s="137" t="e">
        <v>#VALUE!</v>
      </c>
      <c r="EU15" s="137" t="e">
        <v>#VALUE!</v>
      </c>
      <c r="EV15" s="137" t="e">
        <v>#VALUE!</v>
      </c>
      <c r="EW15" s="137" t="e">
        <v>#VALUE!</v>
      </c>
      <c r="EX15" s="137" t="e">
        <v>#VALUE!</v>
      </c>
      <c r="EY15" s="137" t="e">
        <v>#VALUE!</v>
      </c>
      <c r="EZ15" s="137" t="e">
        <v>#VALUE!</v>
      </c>
      <c r="FA15" s="137" t="e">
        <v>#VALUE!</v>
      </c>
      <c r="FB15" s="137" t="e">
        <v>#VALUE!</v>
      </c>
      <c r="FC15" s="137" t="e">
        <v>#VALUE!</v>
      </c>
      <c r="FD15" s="137" t="e">
        <v>#VALUE!</v>
      </c>
      <c r="FE15" s="137" t="e">
        <v>#VALUE!</v>
      </c>
      <c r="FF15" s="137" t="e">
        <v>#VALUE!</v>
      </c>
      <c r="FG15" s="137" t="e">
        <v>#VALUE!</v>
      </c>
      <c r="FH15" s="137" t="e">
        <v>#VALUE!</v>
      </c>
      <c r="FI15" s="137" t="e">
        <v>#VALUE!</v>
      </c>
      <c r="FJ15" s="137" t="e">
        <v>#VALUE!</v>
      </c>
      <c r="FK15" s="137" t="e">
        <v>#VALUE!</v>
      </c>
      <c r="FL15" s="137" t="e">
        <v>#VALUE!</v>
      </c>
      <c r="FM15" s="137" t="e">
        <v>#VALUE!</v>
      </c>
      <c r="FN15" s="137" t="e">
        <v>#VALUE!</v>
      </c>
      <c r="FO15" s="137" t="e">
        <v>#VALUE!</v>
      </c>
      <c r="FP15" s="137" t="e">
        <v>#VALUE!</v>
      </c>
      <c r="FQ15" s="137" t="e">
        <v>#VALUE!</v>
      </c>
      <c r="FR15" s="137" t="e">
        <v>#VALUE!</v>
      </c>
      <c r="FS15" s="137" t="e">
        <v>#VALUE!</v>
      </c>
      <c r="FT15" s="137" t="e">
        <v>#VALUE!</v>
      </c>
      <c r="FU15" s="137" t="e">
        <v>#VALUE!</v>
      </c>
      <c r="FV15" s="137" t="e">
        <v>#VALUE!</v>
      </c>
      <c r="FW15" s="137" t="e">
        <v>#VALUE!</v>
      </c>
      <c r="FX15" s="137" t="e">
        <v>#VALUE!</v>
      </c>
      <c r="FY15" s="137" t="e">
        <v>#VALUE!</v>
      </c>
      <c r="FZ15" s="137" t="e">
        <v>#VALUE!</v>
      </c>
      <c r="GA15" s="137" t="e">
        <v>#VALUE!</v>
      </c>
      <c r="GB15" s="137" t="e">
        <v>#VALUE!</v>
      </c>
      <c r="GC15" s="137" t="e">
        <v>#VALUE!</v>
      </c>
      <c r="GD15" s="137" t="e">
        <v>#VALUE!</v>
      </c>
      <c r="GE15" s="137" t="e">
        <v>#VALUE!</v>
      </c>
      <c r="GF15" s="137" t="e">
        <v>#VALUE!</v>
      </c>
      <c r="GG15" s="137" t="e">
        <v>#VALUE!</v>
      </c>
      <c r="GH15" s="137" t="e">
        <v>#VALUE!</v>
      </c>
      <c r="GI15" s="137" t="e">
        <v>#VALUE!</v>
      </c>
      <c r="GJ15" s="137" t="e">
        <v>#VALUE!</v>
      </c>
      <c r="GK15" s="137" t="e">
        <v>#VALUE!</v>
      </c>
      <c r="GL15" s="137" t="e">
        <v>#VALUE!</v>
      </c>
      <c r="GM15" s="137" t="e">
        <v>#VALUE!</v>
      </c>
      <c r="GN15" s="137" t="e">
        <v>#VALUE!</v>
      </c>
      <c r="GO15" s="137" t="e">
        <v>#VALUE!</v>
      </c>
      <c r="GP15" s="137" t="e">
        <v>#VALUE!</v>
      </c>
      <c r="GQ15" s="137" t="e">
        <v>#VALUE!</v>
      </c>
      <c r="GR15" s="137" t="e">
        <v>#VALUE!</v>
      </c>
      <c r="GS15" s="137" t="e">
        <v>#VALUE!</v>
      </c>
      <c r="GT15" s="137" t="e">
        <v>#VALUE!</v>
      </c>
      <c r="GU15" s="137" t="e">
        <v>#VALUE!</v>
      </c>
      <c r="GV15" s="137" t="e">
        <v>#VALUE!</v>
      </c>
      <c r="GW15" s="137" t="e">
        <v>#VALUE!</v>
      </c>
      <c r="GX15" s="137" t="e">
        <v>#VALUE!</v>
      </c>
      <c r="GY15" s="137" t="e">
        <v>#VALUE!</v>
      </c>
      <c r="GZ15" s="137" t="e">
        <v>#VALUE!</v>
      </c>
      <c r="HA15" s="137" t="e">
        <v>#VALUE!</v>
      </c>
      <c r="HB15" s="137" t="e">
        <v>#VALUE!</v>
      </c>
      <c r="HC15" s="137" t="e">
        <v>#VALUE!</v>
      </c>
      <c r="HD15" s="137" t="e">
        <v>#VALUE!</v>
      </c>
      <c r="HE15" s="137" t="e">
        <v>#VALUE!</v>
      </c>
      <c r="HF15" s="137" t="e">
        <v>#VALUE!</v>
      </c>
      <c r="HG15" s="137" t="e">
        <v>#VALUE!</v>
      </c>
      <c r="HH15" s="137" t="e">
        <v>#VALUE!</v>
      </c>
      <c r="HI15" s="137" t="e">
        <v>#VALUE!</v>
      </c>
      <c r="HJ15" s="137" t="e">
        <v>#VALUE!</v>
      </c>
      <c r="HK15" s="137" t="e">
        <v>#VALUE!</v>
      </c>
      <c r="HL15" s="137" t="e">
        <v>#VALUE!</v>
      </c>
      <c r="HM15" s="137" t="e">
        <v>#VALUE!</v>
      </c>
      <c r="HN15" s="137" t="e">
        <v>#VALUE!</v>
      </c>
      <c r="HO15" s="137" t="e">
        <v>#VALUE!</v>
      </c>
      <c r="HP15" s="137" t="e">
        <v>#VALUE!</v>
      </c>
      <c r="HQ15" s="137" t="e">
        <v>#VALUE!</v>
      </c>
      <c r="HR15" s="137" t="e">
        <v>#VALUE!</v>
      </c>
      <c r="HS15" s="137" t="e">
        <v>#VALUE!</v>
      </c>
      <c r="HT15" s="137" t="e">
        <v>#VALUE!</v>
      </c>
      <c r="HU15" s="137" t="e">
        <v>#VALUE!</v>
      </c>
      <c r="HV15" s="137" t="e">
        <v>#VALUE!</v>
      </c>
      <c r="HW15" s="137" t="e">
        <v>#VALUE!</v>
      </c>
      <c r="HX15" s="137" t="e">
        <v>#VALUE!</v>
      </c>
      <c r="HY15" s="137" t="e">
        <v>#VALUE!</v>
      </c>
      <c r="HZ15" s="137" t="e">
        <v>#VALUE!</v>
      </c>
      <c r="IA15" s="137" t="e">
        <v>#VALUE!</v>
      </c>
      <c r="IB15" s="137" t="e">
        <v>#VALUE!</v>
      </c>
      <c r="IC15" s="137" t="e">
        <v>#VALUE!</v>
      </c>
      <c r="ID15" s="137" t="e">
        <v>#VALUE!</v>
      </c>
      <c r="IE15" s="137" t="e">
        <v>#VALUE!</v>
      </c>
      <c r="IF15" s="137" t="e">
        <v>#VALUE!</v>
      </c>
      <c r="IG15" s="137" t="e">
        <v>#VALUE!</v>
      </c>
      <c r="IH15" s="137" t="e">
        <v>#VALUE!</v>
      </c>
      <c r="II15" s="137" t="e">
        <v>#VALUE!</v>
      </c>
      <c r="IJ15" s="137" t="e">
        <v>#VALUE!</v>
      </c>
      <c r="IK15" s="137" t="e">
        <v>#VALUE!</v>
      </c>
      <c r="IL15" s="137" t="e">
        <v>#VALUE!</v>
      </c>
      <c r="IM15" s="137" t="e">
        <v>#VALUE!</v>
      </c>
      <c r="IN15" s="137" t="e">
        <v>#VALUE!</v>
      </c>
      <c r="IO15" s="137" t="e">
        <v>#VALUE!</v>
      </c>
      <c r="IP15" s="137" t="e">
        <v>#VALUE!</v>
      </c>
      <c r="IQ15" s="137" t="e">
        <v>#VALUE!</v>
      </c>
      <c r="IR15" s="137" t="e">
        <v>#VALUE!</v>
      </c>
      <c r="IS15" s="137" t="e">
        <v>#VALUE!</v>
      </c>
      <c r="IT15" s="137" t="e">
        <v>#VALUE!</v>
      </c>
      <c r="IU15" s="137" t="e">
        <v>#VALUE!</v>
      </c>
      <c r="IV15" s="137" t="e">
        <v>#VALUE!</v>
      </c>
      <c r="IW15" s="137" t="e">
        <v>#VALUE!</v>
      </c>
      <c r="IX15" s="137" t="e">
        <v>#VALUE!</v>
      </c>
      <c r="IY15" s="137" t="e">
        <v>#VALUE!</v>
      </c>
      <c r="IZ15" s="137" t="e">
        <v>#VALUE!</v>
      </c>
      <c r="JA15" s="137" t="e">
        <v>#VALUE!</v>
      </c>
      <c r="JB15" s="137" t="e">
        <v>#VALUE!</v>
      </c>
      <c r="JC15" s="137" t="e">
        <v>#VALUE!</v>
      </c>
      <c r="JD15" s="137" t="e">
        <v>#VALUE!</v>
      </c>
      <c r="JE15" s="137" t="e">
        <v>#VALUE!</v>
      </c>
      <c r="JF15" s="137" t="e">
        <v>#VALUE!</v>
      </c>
      <c r="JG15" s="137" t="e">
        <v>#VALUE!</v>
      </c>
      <c r="JH15" s="137" t="e">
        <v>#VALUE!</v>
      </c>
      <c r="JI15" s="137" t="e">
        <v>#VALUE!</v>
      </c>
      <c r="JJ15" s="137" t="e">
        <v>#VALUE!</v>
      </c>
      <c r="JK15" s="137" t="e">
        <v>#VALUE!</v>
      </c>
      <c r="JL15" s="137" t="e">
        <v>#VALUE!</v>
      </c>
      <c r="JM15" s="137" t="e">
        <v>#VALUE!</v>
      </c>
      <c r="JN15" s="137" t="e">
        <v>#VALUE!</v>
      </c>
      <c r="JO15" s="137" t="e">
        <v>#VALUE!</v>
      </c>
      <c r="JP15" s="137" t="e">
        <v>#VALUE!</v>
      </c>
      <c r="JQ15" s="137" t="e">
        <v>#VALUE!</v>
      </c>
      <c r="JR15" s="137" t="e">
        <v>#VALUE!</v>
      </c>
      <c r="JS15" s="137" t="e">
        <v>#VALUE!</v>
      </c>
      <c r="JT15" s="137" t="e">
        <v>#VALUE!</v>
      </c>
      <c r="JU15" s="137" t="e">
        <v>#VALUE!</v>
      </c>
      <c r="JV15" s="137" t="e">
        <v>#VALUE!</v>
      </c>
      <c r="JW15" s="137" t="e">
        <v>#VALUE!</v>
      </c>
      <c r="JX15" s="137" t="e">
        <v>#VALUE!</v>
      </c>
      <c r="JY15" s="137" t="e">
        <v>#VALUE!</v>
      </c>
      <c r="JZ15" s="137" t="e">
        <v>#VALUE!</v>
      </c>
      <c r="KA15" s="137" t="e">
        <v>#VALUE!</v>
      </c>
      <c r="KB15" s="137" t="e">
        <v>#VALUE!</v>
      </c>
      <c r="KC15" s="137" t="e">
        <v>#VALUE!</v>
      </c>
      <c r="KD15" s="137" t="e">
        <v>#VALUE!</v>
      </c>
      <c r="KE15" s="137" t="e">
        <v>#VALUE!</v>
      </c>
      <c r="KF15" s="137" t="e">
        <v>#VALUE!</v>
      </c>
      <c r="KG15" s="137" t="e">
        <v>#VALUE!</v>
      </c>
      <c r="KH15" s="137" t="e">
        <v>#VALUE!</v>
      </c>
      <c r="KI15" s="137" t="e">
        <v>#VALUE!</v>
      </c>
      <c r="KJ15" s="137" t="e">
        <v>#VALUE!</v>
      </c>
      <c r="KK15" s="137" t="e">
        <v>#VALUE!</v>
      </c>
      <c r="KL15" s="137" t="e">
        <v>#VALUE!</v>
      </c>
      <c r="KM15" s="137" t="e">
        <v>#VALUE!</v>
      </c>
      <c r="KN15" s="137" t="e">
        <v>#VALUE!</v>
      </c>
      <c r="KO15" s="137" t="e">
        <v>#VALUE!</v>
      </c>
      <c r="KP15" s="137" t="e">
        <v>#VALUE!</v>
      </c>
      <c r="KQ15" s="137" t="e">
        <v>#VALUE!</v>
      </c>
      <c r="KR15" s="137" t="e">
        <v>#VALUE!</v>
      </c>
      <c r="KS15" s="137" t="e">
        <v>#VALUE!</v>
      </c>
      <c r="KT15" s="137" t="e">
        <v>#VALUE!</v>
      </c>
      <c r="KU15" s="137" t="e">
        <v>#VALUE!</v>
      </c>
      <c r="KV15" s="137" t="e">
        <v>#VALUE!</v>
      </c>
      <c r="KW15" s="137" t="e">
        <v>#VALUE!</v>
      </c>
      <c r="KX15" s="137" t="e">
        <v>#VALUE!</v>
      </c>
      <c r="KY15" s="137" t="e">
        <v>#VALUE!</v>
      </c>
      <c r="KZ15" s="137" t="e">
        <v>#VALUE!</v>
      </c>
      <c r="LA15" s="137" t="e">
        <v>#VALUE!</v>
      </c>
      <c r="LB15" s="137" t="e">
        <v>#VALUE!</v>
      </c>
      <c r="LC15" s="137" t="e">
        <v>#VALUE!</v>
      </c>
      <c r="LD15" s="137" t="e">
        <v>#VALUE!</v>
      </c>
      <c r="LE15" s="137" t="e">
        <v>#VALUE!</v>
      </c>
      <c r="LF15" s="137" t="e">
        <v>#VALUE!</v>
      </c>
      <c r="LG15" s="137" t="e">
        <v>#VALUE!</v>
      </c>
      <c r="LH15" s="137" t="e">
        <v>#VALUE!</v>
      </c>
      <c r="LI15" s="137" t="e">
        <v>#VALUE!</v>
      </c>
      <c r="LJ15" s="137" t="e">
        <v>#VALUE!</v>
      </c>
      <c r="LK15" s="137" t="e">
        <v>#VALUE!</v>
      </c>
      <c r="LL15" s="137" t="e">
        <v>#VALUE!</v>
      </c>
      <c r="LM15" s="137" t="e">
        <v>#VALUE!</v>
      </c>
      <c r="LN15" s="137" t="e">
        <v>#VALUE!</v>
      </c>
      <c r="LO15" s="137" t="e">
        <v>#VALUE!</v>
      </c>
      <c r="LP15" s="137" t="e">
        <v>#VALUE!</v>
      </c>
      <c r="LQ15" s="137" t="e">
        <v>#VALUE!</v>
      </c>
      <c r="LR15" s="137" t="e">
        <v>#VALUE!</v>
      </c>
      <c r="LS15" s="137" t="e">
        <v>#VALUE!</v>
      </c>
      <c r="LT15" s="137" t="e">
        <v>#VALUE!</v>
      </c>
      <c r="LU15" s="137" t="e">
        <v>#VALUE!</v>
      </c>
      <c r="LV15" s="137" t="e">
        <v>#VALUE!</v>
      </c>
      <c r="LW15" s="137" t="e">
        <v>#VALUE!</v>
      </c>
      <c r="LX15" s="137" t="e">
        <v>#VALUE!</v>
      </c>
      <c r="LY15" s="137" t="e">
        <v>#VALUE!</v>
      </c>
      <c r="LZ15" s="137" t="e">
        <v>#VALUE!</v>
      </c>
      <c r="MA15" s="137" t="e">
        <v>#VALUE!</v>
      </c>
      <c r="MB15" s="137" t="e">
        <v>#VALUE!</v>
      </c>
      <c r="MC15" s="137" t="e">
        <v>#VALUE!</v>
      </c>
      <c r="MD15" s="137" t="e">
        <v>#VALUE!</v>
      </c>
      <c r="ME15" s="137" t="e">
        <v>#VALUE!</v>
      </c>
      <c r="MF15" s="137" t="e">
        <v>#VALUE!</v>
      </c>
      <c r="MG15" s="137" t="e">
        <v>#VALUE!</v>
      </c>
      <c r="MH15" s="137" t="e">
        <v>#VALUE!</v>
      </c>
      <c r="MI15" s="137" t="e">
        <v>#VALUE!</v>
      </c>
      <c r="MJ15" s="137" t="e">
        <v>#VALUE!</v>
      </c>
      <c r="MK15" s="137" t="e">
        <v>#VALUE!</v>
      </c>
      <c r="ML15" s="137" t="e">
        <v>#VALUE!</v>
      </c>
      <c r="MM15" s="137" t="e">
        <v>#VALUE!</v>
      </c>
      <c r="MN15" s="137" t="e">
        <v>#VALUE!</v>
      </c>
      <c r="MO15" s="137" t="e">
        <v>#VALUE!</v>
      </c>
      <c r="MP15" s="137" t="e">
        <v>#VALUE!</v>
      </c>
      <c r="MQ15" s="137" t="e">
        <v>#VALUE!</v>
      </c>
      <c r="MR15" s="137" t="e">
        <v>#VALUE!</v>
      </c>
      <c r="MS15" s="137" t="e">
        <v>#VALUE!</v>
      </c>
      <c r="MT15" s="137" t="e">
        <v>#VALUE!</v>
      </c>
      <c r="MU15" s="137" t="e">
        <v>#VALUE!</v>
      </c>
      <c r="MV15" s="137" t="e">
        <v>#VALUE!</v>
      </c>
      <c r="MW15" s="137" t="e">
        <v>#VALUE!</v>
      </c>
      <c r="MX15" s="137" t="e">
        <v>#VALUE!</v>
      </c>
      <c r="MY15" s="137" t="e">
        <v>#VALUE!</v>
      </c>
      <c r="MZ15" s="137" t="e">
        <v>#VALUE!</v>
      </c>
      <c r="NA15" s="137" t="e">
        <v>#VALUE!</v>
      </c>
      <c r="NB15" s="137" t="e">
        <v>#VALUE!</v>
      </c>
      <c r="NC15" s="137" t="e">
        <v>#VALUE!</v>
      </c>
      <c r="ND15" s="137" t="e">
        <v>#VALUE!</v>
      </c>
      <c r="NE15" s="137" t="e">
        <v>#VALUE!</v>
      </c>
      <c r="NF15" s="137" t="e">
        <v>#VALUE!</v>
      </c>
      <c r="NG15" s="137" t="e">
        <v>#VALUE!</v>
      </c>
    </row>
    <row r="16" spans="1:371" x14ac:dyDescent="0.25">
      <c r="A16" s="360"/>
    </row>
    <row r="17" spans="1:371" x14ac:dyDescent="0.25">
      <c r="A17" s="361" t="s">
        <v>401</v>
      </c>
      <c r="D17" s="137" t="e">
        <f t="shared" ref="D17:AH17" si="19">SUM(D9:D15)</f>
        <v>#VALUE!</v>
      </c>
      <c r="E17" s="137" t="e">
        <f t="shared" si="19"/>
        <v>#VALUE!</v>
      </c>
      <c r="F17" s="137" t="e">
        <f t="shared" si="19"/>
        <v>#VALUE!</v>
      </c>
      <c r="G17" s="137" t="e">
        <f t="shared" si="19"/>
        <v>#VALUE!</v>
      </c>
      <c r="H17" s="137" t="e">
        <f t="shared" si="19"/>
        <v>#VALUE!</v>
      </c>
      <c r="I17" s="137" t="e">
        <f t="shared" si="19"/>
        <v>#VALUE!</v>
      </c>
      <c r="J17" s="137" t="e">
        <f>SUM(J9:J15)</f>
        <v>#VALUE!</v>
      </c>
      <c r="K17" s="137" t="e">
        <f t="shared" si="19"/>
        <v>#VALUE!</v>
      </c>
      <c r="L17" s="137" t="e">
        <f t="shared" si="19"/>
        <v>#VALUE!</v>
      </c>
      <c r="M17" s="137" t="e">
        <f t="shared" si="19"/>
        <v>#VALUE!</v>
      </c>
      <c r="N17" s="137" t="e">
        <f t="shared" si="19"/>
        <v>#VALUE!</v>
      </c>
      <c r="O17" s="137" t="e">
        <f t="shared" si="19"/>
        <v>#VALUE!</v>
      </c>
      <c r="P17" s="137" t="e">
        <f t="shared" si="19"/>
        <v>#VALUE!</v>
      </c>
      <c r="Q17" s="137" t="e">
        <f t="shared" si="19"/>
        <v>#VALUE!</v>
      </c>
      <c r="R17" s="137" t="e">
        <f t="shared" si="19"/>
        <v>#VALUE!</v>
      </c>
      <c r="S17" s="137" t="e">
        <f t="shared" si="19"/>
        <v>#VALUE!</v>
      </c>
      <c r="T17" s="137" t="e">
        <f t="shared" si="19"/>
        <v>#VALUE!</v>
      </c>
      <c r="U17" s="137" t="e">
        <f t="shared" si="19"/>
        <v>#VALUE!</v>
      </c>
      <c r="V17" s="137" t="e">
        <f t="shared" si="19"/>
        <v>#VALUE!</v>
      </c>
      <c r="W17" s="137" t="e">
        <f t="shared" si="19"/>
        <v>#VALUE!</v>
      </c>
      <c r="X17" s="137" t="e">
        <f t="shared" si="19"/>
        <v>#VALUE!</v>
      </c>
      <c r="Y17" s="137" t="e">
        <f t="shared" si="19"/>
        <v>#VALUE!</v>
      </c>
      <c r="Z17" s="137" t="e">
        <f t="shared" si="19"/>
        <v>#VALUE!</v>
      </c>
      <c r="AA17" s="137" t="e">
        <f t="shared" si="19"/>
        <v>#VALUE!</v>
      </c>
      <c r="AB17" s="137" t="e">
        <f t="shared" si="19"/>
        <v>#VALUE!</v>
      </c>
      <c r="AC17" s="137" t="e">
        <f t="shared" si="19"/>
        <v>#VALUE!</v>
      </c>
      <c r="AD17" s="137" t="e">
        <f t="shared" si="19"/>
        <v>#VALUE!</v>
      </c>
      <c r="AE17" s="137" t="e">
        <f t="shared" si="19"/>
        <v>#VALUE!</v>
      </c>
      <c r="AF17" s="137" t="e">
        <f t="shared" si="19"/>
        <v>#VALUE!</v>
      </c>
      <c r="AG17" s="137" t="e">
        <f t="shared" si="19"/>
        <v>#VALUE!</v>
      </c>
      <c r="AH17" s="137" t="e">
        <f t="shared" si="19"/>
        <v>#VALUE!</v>
      </c>
      <c r="AI17" s="137" t="e">
        <f>SUM(AI9:AI15)</f>
        <v>#VALUE!</v>
      </c>
      <c r="AJ17" s="137" t="e">
        <f t="shared" ref="AJ17:CU17" si="20">SUM(AJ9:AJ15)</f>
        <v>#VALUE!</v>
      </c>
      <c r="AK17" s="137" t="e">
        <f t="shared" si="20"/>
        <v>#VALUE!</v>
      </c>
      <c r="AL17" s="137" t="e">
        <f t="shared" si="20"/>
        <v>#VALUE!</v>
      </c>
      <c r="AM17" s="137" t="e">
        <f t="shared" si="20"/>
        <v>#VALUE!</v>
      </c>
      <c r="AN17" s="137" t="e">
        <f t="shared" si="20"/>
        <v>#VALUE!</v>
      </c>
      <c r="AO17" s="137" t="e">
        <f t="shared" si="20"/>
        <v>#VALUE!</v>
      </c>
      <c r="AP17" s="137" t="e">
        <f t="shared" si="20"/>
        <v>#VALUE!</v>
      </c>
      <c r="AQ17" s="137" t="e">
        <f t="shared" si="20"/>
        <v>#VALUE!</v>
      </c>
      <c r="AR17" s="137" t="e">
        <f t="shared" si="20"/>
        <v>#VALUE!</v>
      </c>
      <c r="AS17" s="137" t="e">
        <f t="shared" si="20"/>
        <v>#VALUE!</v>
      </c>
      <c r="AT17" s="137" t="e">
        <f t="shared" si="20"/>
        <v>#VALUE!</v>
      </c>
      <c r="AU17" s="137" t="e">
        <f t="shared" si="20"/>
        <v>#VALUE!</v>
      </c>
      <c r="AV17" s="137" t="e">
        <f t="shared" si="20"/>
        <v>#VALUE!</v>
      </c>
      <c r="AW17" s="137" t="e">
        <f t="shared" si="20"/>
        <v>#VALUE!</v>
      </c>
      <c r="AX17" s="137" t="e">
        <f t="shared" si="20"/>
        <v>#VALUE!</v>
      </c>
      <c r="AY17" s="137" t="e">
        <f t="shared" si="20"/>
        <v>#VALUE!</v>
      </c>
      <c r="AZ17" s="137" t="e">
        <f t="shared" si="20"/>
        <v>#VALUE!</v>
      </c>
      <c r="BA17" s="137" t="e">
        <f t="shared" si="20"/>
        <v>#VALUE!</v>
      </c>
      <c r="BB17" s="137" t="e">
        <f t="shared" si="20"/>
        <v>#VALUE!</v>
      </c>
      <c r="BC17" s="137" t="e">
        <f t="shared" si="20"/>
        <v>#VALUE!</v>
      </c>
      <c r="BD17" s="137" t="e">
        <f t="shared" si="20"/>
        <v>#VALUE!</v>
      </c>
      <c r="BE17" s="137" t="e">
        <f t="shared" si="20"/>
        <v>#VALUE!</v>
      </c>
      <c r="BF17" s="137" t="e">
        <f t="shared" si="20"/>
        <v>#VALUE!</v>
      </c>
      <c r="BG17" s="137" t="e">
        <f t="shared" si="20"/>
        <v>#VALUE!</v>
      </c>
      <c r="BH17" s="137" t="e">
        <f t="shared" si="20"/>
        <v>#VALUE!</v>
      </c>
      <c r="BI17" s="137" t="e">
        <f t="shared" si="20"/>
        <v>#VALUE!</v>
      </c>
      <c r="BJ17" s="137" t="e">
        <f t="shared" si="20"/>
        <v>#VALUE!</v>
      </c>
      <c r="BK17" s="137" t="e">
        <f t="shared" si="20"/>
        <v>#VALUE!</v>
      </c>
      <c r="BL17" s="137" t="e">
        <f t="shared" si="20"/>
        <v>#VALUE!</v>
      </c>
      <c r="BM17" s="137" t="e">
        <f t="shared" si="20"/>
        <v>#VALUE!</v>
      </c>
      <c r="BN17" s="137" t="e">
        <f t="shared" si="20"/>
        <v>#VALUE!</v>
      </c>
      <c r="BO17" s="137" t="e">
        <f t="shared" si="20"/>
        <v>#VALUE!</v>
      </c>
      <c r="BP17" s="137" t="e">
        <f t="shared" si="20"/>
        <v>#VALUE!</v>
      </c>
      <c r="BQ17" s="137" t="e">
        <f t="shared" si="20"/>
        <v>#VALUE!</v>
      </c>
      <c r="BR17" s="137" t="e">
        <f t="shared" si="20"/>
        <v>#VALUE!</v>
      </c>
      <c r="BS17" s="137" t="e">
        <f t="shared" si="20"/>
        <v>#VALUE!</v>
      </c>
      <c r="BT17" s="137" t="e">
        <f t="shared" si="20"/>
        <v>#VALUE!</v>
      </c>
      <c r="BU17" s="137" t="e">
        <f t="shared" si="20"/>
        <v>#VALUE!</v>
      </c>
      <c r="BV17" s="137" t="e">
        <f t="shared" si="20"/>
        <v>#VALUE!</v>
      </c>
      <c r="BW17" s="137" t="e">
        <f t="shared" si="20"/>
        <v>#VALUE!</v>
      </c>
      <c r="BX17" s="137" t="e">
        <f t="shared" si="20"/>
        <v>#VALUE!</v>
      </c>
      <c r="BY17" s="137" t="e">
        <f t="shared" si="20"/>
        <v>#VALUE!</v>
      </c>
      <c r="BZ17" s="137" t="e">
        <f t="shared" si="20"/>
        <v>#VALUE!</v>
      </c>
      <c r="CA17" s="137" t="e">
        <f t="shared" si="20"/>
        <v>#VALUE!</v>
      </c>
      <c r="CB17" s="137" t="e">
        <f t="shared" si="20"/>
        <v>#VALUE!</v>
      </c>
      <c r="CC17" s="137" t="e">
        <f t="shared" si="20"/>
        <v>#VALUE!</v>
      </c>
      <c r="CD17" s="137" t="e">
        <f t="shared" si="20"/>
        <v>#VALUE!</v>
      </c>
      <c r="CE17" s="137" t="e">
        <f t="shared" si="20"/>
        <v>#VALUE!</v>
      </c>
      <c r="CF17" s="137" t="e">
        <f t="shared" si="20"/>
        <v>#VALUE!</v>
      </c>
      <c r="CG17" s="137" t="e">
        <f t="shared" si="20"/>
        <v>#VALUE!</v>
      </c>
      <c r="CH17" s="137" t="e">
        <f t="shared" si="20"/>
        <v>#VALUE!</v>
      </c>
      <c r="CI17" s="137" t="e">
        <f t="shared" si="20"/>
        <v>#VALUE!</v>
      </c>
      <c r="CJ17" s="137" t="e">
        <f t="shared" si="20"/>
        <v>#VALUE!</v>
      </c>
      <c r="CK17" s="137" t="e">
        <f t="shared" si="20"/>
        <v>#VALUE!</v>
      </c>
      <c r="CL17" s="137" t="e">
        <f t="shared" si="20"/>
        <v>#VALUE!</v>
      </c>
      <c r="CM17" s="137" t="e">
        <f t="shared" si="20"/>
        <v>#VALUE!</v>
      </c>
      <c r="CN17" s="137" t="e">
        <f t="shared" si="20"/>
        <v>#VALUE!</v>
      </c>
      <c r="CO17" s="137" t="e">
        <f t="shared" si="20"/>
        <v>#VALUE!</v>
      </c>
      <c r="CP17" s="137" t="e">
        <f t="shared" si="20"/>
        <v>#VALUE!</v>
      </c>
      <c r="CQ17" s="137" t="e">
        <f t="shared" si="20"/>
        <v>#VALUE!</v>
      </c>
      <c r="CR17" s="137" t="e">
        <f t="shared" si="20"/>
        <v>#VALUE!</v>
      </c>
      <c r="CS17" s="137" t="e">
        <f t="shared" si="20"/>
        <v>#VALUE!</v>
      </c>
      <c r="CT17" s="137" t="e">
        <f t="shared" si="20"/>
        <v>#VALUE!</v>
      </c>
      <c r="CU17" s="137" t="e">
        <f t="shared" si="20"/>
        <v>#VALUE!</v>
      </c>
      <c r="CV17" s="137" t="e">
        <f t="shared" ref="CV17:FG17" si="21">SUM(CV9:CV15)</f>
        <v>#VALUE!</v>
      </c>
      <c r="CW17" s="137" t="e">
        <f t="shared" si="21"/>
        <v>#VALUE!</v>
      </c>
      <c r="CX17" s="137" t="e">
        <f t="shared" si="21"/>
        <v>#VALUE!</v>
      </c>
      <c r="CY17" s="137" t="e">
        <f t="shared" si="21"/>
        <v>#VALUE!</v>
      </c>
      <c r="CZ17" s="137" t="e">
        <f t="shared" si="21"/>
        <v>#VALUE!</v>
      </c>
      <c r="DA17" s="137" t="e">
        <f t="shared" si="21"/>
        <v>#VALUE!</v>
      </c>
      <c r="DB17" s="137" t="e">
        <f t="shared" si="21"/>
        <v>#VALUE!</v>
      </c>
      <c r="DC17" s="137" t="e">
        <f t="shared" si="21"/>
        <v>#VALUE!</v>
      </c>
      <c r="DD17" s="137" t="e">
        <f t="shared" si="21"/>
        <v>#VALUE!</v>
      </c>
      <c r="DE17" s="137" t="e">
        <f t="shared" si="21"/>
        <v>#VALUE!</v>
      </c>
      <c r="DF17" s="137" t="e">
        <f t="shared" si="21"/>
        <v>#VALUE!</v>
      </c>
      <c r="DG17" s="137" t="e">
        <f t="shared" si="21"/>
        <v>#VALUE!</v>
      </c>
      <c r="DH17" s="137" t="e">
        <f t="shared" si="21"/>
        <v>#VALUE!</v>
      </c>
      <c r="DI17" s="137" t="e">
        <f t="shared" si="21"/>
        <v>#VALUE!</v>
      </c>
      <c r="DJ17" s="137" t="e">
        <f t="shared" si="21"/>
        <v>#VALUE!</v>
      </c>
      <c r="DK17" s="137" t="e">
        <f t="shared" si="21"/>
        <v>#VALUE!</v>
      </c>
      <c r="DL17" s="137" t="e">
        <f t="shared" si="21"/>
        <v>#VALUE!</v>
      </c>
      <c r="DM17" s="137" t="e">
        <f t="shared" si="21"/>
        <v>#VALUE!</v>
      </c>
      <c r="DN17" s="137" t="e">
        <f t="shared" si="21"/>
        <v>#VALUE!</v>
      </c>
      <c r="DO17" s="137" t="e">
        <f t="shared" si="21"/>
        <v>#VALUE!</v>
      </c>
      <c r="DP17" s="137" t="e">
        <f t="shared" si="21"/>
        <v>#VALUE!</v>
      </c>
      <c r="DQ17" s="137" t="e">
        <f t="shared" si="21"/>
        <v>#VALUE!</v>
      </c>
      <c r="DR17" s="137" t="e">
        <f t="shared" si="21"/>
        <v>#VALUE!</v>
      </c>
      <c r="DS17" s="137" t="e">
        <f t="shared" si="21"/>
        <v>#VALUE!</v>
      </c>
      <c r="DT17" s="137" t="e">
        <f t="shared" si="21"/>
        <v>#VALUE!</v>
      </c>
      <c r="DU17" s="137" t="e">
        <f t="shared" si="21"/>
        <v>#VALUE!</v>
      </c>
      <c r="DV17" s="137" t="e">
        <f t="shared" si="21"/>
        <v>#VALUE!</v>
      </c>
      <c r="DW17" s="137" t="e">
        <f t="shared" si="21"/>
        <v>#VALUE!</v>
      </c>
      <c r="DX17" s="137" t="e">
        <f t="shared" si="21"/>
        <v>#VALUE!</v>
      </c>
      <c r="DY17" s="137" t="e">
        <f t="shared" si="21"/>
        <v>#VALUE!</v>
      </c>
      <c r="DZ17" s="137" t="e">
        <f t="shared" si="21"/>
        <v>#VALUE!</v>
      </c>
      <c r="EA17" s="137" t="e">
        <f t="shared" si="21"/>
        <v>#VALUE!</v>
      </c>
      <c r="EB17" s="137" t="e">
        <f t="shared" si="21"/>
        <v>#VALUE!</v>
      </c>
      <c r="EC17" s="137" t="e">
        <f t="shared" si="21"/>
        <v>#VALUE!</v>
      </c>
      <c r="ED17" s="137" t="e">
        <f t="shared" si="21"/>
        <v>#VALUE!</v>
      </c>
      <c r="EE17" s="137" t="e">
        <f t="shared" si="21"/>
        <v>#VALUE!</v>
      </c>
      <c r="EF17" s="137" t="e">
        <f t="shared" si="21"/>
        <v>#VALUE!</v>
      </c>
      <c r="EG17" s="137" t="e">
        <f t="shared" si="21"/>
        <v>#VALUE!</v>
      </c>
      <c r="EH17" s="137" t="e">
        <f t="shared" si="21"/>
        <v>#VALUE!</v>
      </c>
      <c r="EI17" s="137" t="e">
        <f t="shared" si="21"/>
        <v>#VALUE!</v>
      </c>
      <c r="EJ17" s="137" t="e">
        <f t="shared" si="21"/>
        <v>#VALUE!</v>
      </c>
      <c r="EK17" s="137" t="e">
        <f t="shared" si="21"/>
        <v>#VALUE!</v>
      </c>
      <c r="EL17" s="137" t="e">
        <f t="shared" si="21"/>
        <v>#VALUE!</v>
      </c>
      <c r="EM17" s="137" t="e">
        <f t="shared" si="21"/>
        <v>#VALUE!</v>
      </c>
      <c r="EN17" s="137" t="e">
        <f t="shared" si="21"/>
        <v>#VALUE!</v>
      </c>
      <c r="EO17" s="137" t="e">
        <f t="shared" si="21"/>
        <v>#VALUE!</v>
      </c>
      <c r="EP17" s="137" t="e">
        <f t="shared" si="21"/>
        <v>#VALUE!</v>
      </c>
      <c r="EQ17" s="137" t="e">
        <f t="shared" si="21"/>
        <v>#VALUE!</v>
      </c>
      <c r="ER17" s="137" t="e">
        <f t="shared" si="21"/>
        <v>#VALUE!</v>
      </c>
      <c r="ES17" s="137" t="e">
        <f t="shared" si="21"/>
        <v>#VALUE!</v>
      </c>
      <c r="ET17" s="137" t="e">
        <f t="shared" si="21"/>
        <v>#VALUE!</v>
      </c>
      <c r="EU17" s="137" t="e">
        <f t="shared" si="21"/>
        <v>#VALUE!</v>
      </c>
      <c r="EV17" s="137" t="e">
        <f t="shared" si="21"/>
        <v>#VALUE!</v>
      </c>
      <c r="EW17" s="137" t="e">
        <f t="shared" si="21"/>
        <v>#VALUE!</v>
      </c>
      <c r="EX17" s="137" t="e">
        <f t="shared" si="21"/>
        <v>#VALUE!</v>
      </c>
      <c r="EY17" s="137" t="e">
        <f t="shared" si="21"/>
        <v>#VALUE!</v>
      </c>
      <c r="EZ17" s="137" t="e">
        <f t="shared" si="21"/>
        <v>#VALUE!</v>
      </c>
      <c r="FA17" s="137" t="e">
        <f t="shared" si="21"/>
        <v>#VALUE!</v>
      </c>
      <c r="FB17" s="137" t="e">
        <f t="shared" si="21"/>
        <v>#VALUE!</v>
      </c>
      <c r="FC17" s="137" t="e">
        <f t="shared" si="21"/>
        <v>#VALUE!</v>
      </c>
      <c r="FD17" s="137" t="e">
        <f t="shared" si="21"/>
        <v>#VALUE!</v>
      </c>
      <c r="FE17" s="137" t="e">
        <f t="shared" si="21"/>
        <v>#VALUE!</v>
      </c>
      <c r="FF17" s="137" t="e">
        <f t="shared" si="21"/>
        <v>#VALUE!</v>
      </c>
      <c r="FG17" s="137" t="e">
        <f t="shared" si="21"/>
        <v>#VALUE!</v>
      </c>
      <c r="FH17" s="137" t="e">
        <f t="shared" ref="FH17:HS17" si="22">SUM(FH9:FH15)</f>
        <v>#VALUE!</v>
      </c>
      <c r="FI17" s="137" t="e">
        <f t="shared" si="22"/>
        <v>#VALUE!</v>
      </c>
      <c r="FJ17" s="137" t="e">
        <f t="shared" si="22"/>
        <v>#VALUE!</v>
      </c>
      <c r="FK17" s="137" t="e">
        <f t="shared" si="22"/>
        <v>#VALUE!</v>
      </c>
      <c r="FL17" s="137" t="e">
        <f t="shared" si="22"/>
        <v>#VALUE!</v>
      </c>
      <c r="FM17" s="137" t="e">
        <f t="shared" si="22"/>
        <v>#VALUE!</v>
      </c>
      <c r="FN17" s="137" t="e">
        <f t="shared" si="22"/>
        <v>#VALUE!</v>
      </c>
      <c r="FO17" s="137" t="e">
        <f t="shared" si="22"/>
        <v>#VALUE!</v>
      </c>
      <c r="FP17" s="137" t="e">
        <f t="shared" si="22"/>
        <v>#VALUE!</v>
      </c>
      <c r="FQ17" s="137" t="e">
        <f t="shared" si="22"/>
        <v>#VALUE!</v>
      </c>
      <c r="FR17" s="137" t="e">
        <f t="shared" si="22"/>
        <v>#VALUE!</v>
      </c>
      <c r="FS17" s="137" t="e">
        <f t="shared" si="22"/>
        <v>#VALUE!</v>
      </c>
      <c r="FT17" s="137" t="e">
        <f t="shared" si="22"/>
        <v>#VALUE!</v>
      </c>
      <c r="FU17" s="137" t="e">
        <f t="shared" si="22"/>
        <v>#VALUE!</v>
      </c>
      <c r="FV17" s="137" t="e">
        <f t="shared" si="22"/>
        <v>#VALUE!</v>
      </c>
      <c r="FW17" s="137" t="e">
        <f t="shared" si="22"/>
        <v>#VALUE!</v>
      </c>
      <c r="FX17" s="137" t="e">
        <f t="shared" si="22"/>
        <v>#VALUE!</v>
      </c>
      <c r="FY17" s="137" t="e">
        <f t="shared" si="22"/>
        <v>#VALUE!</v>
      </c>
      <c r="FZ17" s="137" t="e">
        <f t="shared" si="22"/>
        <v>#VALUE!</v>
      </c>
      <c r="GA17" s="137" t="e">
        <f t="shared" si="22"/>
        <v>#VALUE!</v>
      </c>
      <c r="GB17" s="137" t="e">
        <f t="shared" si="22"/>
        <v>#VALUE!</v>
      </c>
      <c r="GC17" s="137" t="e">
        <f t="shared" si="22"/>
        <v>#VALUE!</v>
      </c>
      <c r="GD17" s="137" t="e">
        <f t="shared" si="22"/>
        <v>#VALUE!</v>
      </c>
      <c r="GE17" s="137" t="e">
        <f t="shared" si="22"/>
        <v>#VALUE!</v>
      </c>
      <c r="GF17" s="137" t="e">
        <f t="shared" si="22"/>
        <v>#VALUE!</v>
      </c>
      <c r="GG17" s="137" t="e">
        <f t="shared" si="22"/>
        <v>#VALUE!</v>
      </c>
      <c r="GH17" s="137" t="e">
        <f t="shared" si="22"/>
        <v>#VALUE!</v>
      </c>
      <c r="GI17" s="137" t="e">
        <f t="shared" si="22"/>
        <v>#VALUE!</v>
      </c>
      <c r="GJ17" s="137" t="e">
        <f t="shared" si="22"/>
        <v>#VALUE!</v>
      </c>
      <c r="GK17" s="137" t="e">
        <f t="shared" si="22"/>
        <v>#VALUE!</v>
      </c>
      <c r="GL17" s="137" t="e">
        <f t="shared" si="22"/>
        <v>#VALUE!</v>
      </c>
      <c r="GM17" s="137" t="e">
        <f t="shared" si="22"/>
        <v>#VALUE!</v>
      </c>
      <c r="GN17" s="137" t="e">
        <f t="shared" si="22"/>
        <v>#VALUE!</v>
      </c>
      <c r="GO17" s="137" t="e">
        <f t="shared" si="22"/>
        <v>#VALUE!</v>
      </c>
      <c r="GP17" s="137" t="e">
        <f t="shared" si="22"/>
        <v>#VALUE!</v>
      </c>
      <c r="GQ17" s="137" t="e">
        <f t="shared" si="22"/>
        <v>#VALUE!</v>
      </c>
      <c r="GR17" s="137" t="e">
        <f t="shared" si="22"/>
        <v>#VALUE!</v>
      </c>
      <c r="GS17" s="137" t="e">
        <f t="shared" si="22"/>
        <v>#VALUE!</v>
      </c>
      <c r="GT17" s="137" t="e">
        <f t="shared" si="22"/>
        <v>#VALUE!</v>
      </c>
      <c r="GU17" s="137" t="e">
        <f t="shared" si="22"/>
        <v>#VALUE!</v>
      </c>
      <c r="GV17" s="137" t="e">
        <f t="shared" si="22"/>
        <v>#VALUE!</v>
      </c>
      <c r="GW17" s="137" t="e">
        <f t="shared" si="22"/>
        <v>#VALUE!</v>
      </c>
      <c r="GX17" s="137" t="e">
        <f t="shared" si="22"/>
        <v>#VALUE!</v>
      </c>
      <c r="GY17" s="137" t="e">
        <f t="shared" si="22"/>
        <v>#VALUE!</v>
      </c>
      <c r="GZ17" s="137" t="e">
        <f t="shared" si="22"/>
        <v>#VALUE!</v>
      </c>
      <c r="HA17" s="137" t="e">
        <f t="shared" si="22"/>
        <v>#VALUE!</v>
      </c>
      <c r="HB17" s="137" t="e">
        <f t="shared" si="22"/>
        <v>#VALUE!</v>
      </c>
      <c r="HC17" s="137" t="e">
        <f t="shared" si="22"/>
        <v>#VALUE!</v>
      </c>
      <c r="HD17" s="137" t="e">
        <f t="shared" si="22"/>
        <v>#VALUE!</v>
      </c>
      <c r="HE17" s="137" t="e">
        <f t="shared" si="22"/>
        <v>#VALUE!</v>
      </c>
      <c r="HF17" s="137" t="e">
        <f t="shared" si="22"/>
        <v>#VALUE!</v>
      </c>
      <c r="HG17" s="137" t="e">
        <f t="shared" si="22"/>
        <v>#VALUE!</v>
      </c>
      <c r="HH17" s="137" t="e">
        <f t="shared" si="22"/>
        <v>#VALUE!</v>
      </c>
      <c r="HI17" s="137" t="e">
        <f t="shared" si="22"/>
        <v>#VALUE!</v>
      </c>
      <c r="HJ17" s="137" t="e">
        <f t="shared" si="22"/>
        <v>#VALUE!</v>
      </c>
      <c r="HK17" s="137" t="e">
        <f t="shared" si="22"/>
        <v>#VALUE!</v>
      </c>
      <c r="HL17" s="137" t="e">
        <f t="shared" si="22"/>
        <v>#VALUE!</v>
      </c>
      <c r="HM17" s="137" t="e">
        <f t="shared" si="22"/>
        <v>#VALUE!</v>
      </c>
      <c r="HN17" s="137" t="e">
        <f t="shared" si="22"/>
        <v>#VALUE!</v>
      </c>
      <c r="HO17" s="137" t="e">
        <f t="shared" si="22"/>
        <v>#VALUE!</v>
      </c>
      <c r="HP17" s="137" t="e">
        <f t="shared" si="22"/>
        <v>#VALUE!</v>
      </c>
      <c r="HQ17" s="137" t="e">
        <f t="shared" si="22"/>
        <v>#VALUE!</v>
      </c>
      <c r="HR17" s="137" t="e">
        <f t="shared" si="22"/>
        <v>#VALUE!</v>
      </c>
      <c r="HS17" s="137" t="e">
        <f t="shared" si="22"/>
        <v>#VALUE!</v>
      </c>
      <c r="HT17" s="137" t="e">
        <f t="shared" ref="HT17:KE17" si="23">SUM(HT9:HT15)</f>
        <v>#VALUE!</v>
      </c>
      <c r="HU17" s="137" t="e">
        <f t="shared" si="23"/>
        <v>#VALUE!</v>
      </c>
      <c r="HV17" s="137" t="e">
        <f t="shared" si="23"/>
        <v>#VALUE!</v>
      </c>
      <c r="HW17" s="137" t="e">
        <f t="shared" si="23"/>
        <v>#VALUE!</v>
      </c>
      <c r="HX17" s="137" t="e">
        <f t="shared" si="23"/>
        <v>#VALUE!</v>
      </c>
      <c r="HY17" s="137" t="e">
        <f t="shared" si="23"/>
        <v>#VALUE!</v>
      </c>
      <c r="HZ17" s="137" t="e">
        <f t="shared" si="23"/>
        <v>#VALUE!</v>
      </c>
      <c r="IA17" s="137" t="e">
        <f t="shared" si="23"/>
        <v>#VALUE!</v>
      </c>
      <c r="IB17" s="137" t="e">
        <f t="shared" si="23"/>
        <v>#VALUE!</v>
      </c>
      <c r="IC17" s="137" t="e">
        <f t="shared" si="23"/>
        <v>#VALUE!</v>
      </c>
      <c r="ID17" s="137" t="e">
        <f t="shared" si="23"/>
        <v>#VALUE!</v>
      </c>
      <c r="IE17" s="137" t="e">
        <f t="shared" si="23"/>
        <v>#VALUE!</v>
      </c>
      <c r="IF17" s="137" t="e">
        <f t="shared" si="23"/>
        <v>#VALUE!</v>
      </c>
      <c r="IG17" s="137" t="e">
        <f t="shared" si="23"/>
        <v>#VALUE!</v>
      </c>
      <c r="IH17" s="137" t="e">
        <f t="shared" si="23"/>
        <v>#VALUE!</v>
      </c>
      <c r="II17" s="137" t="e">
        <f t="shared" si="23"/>
        <v>#VALUE!</v>
      </c>
      <c r="IJ17" s="137" t="e">
        <f t="shared" si="23"/>
        <v>#VALUE!</v>
      </c>
      <c r="IK17" s="137" t="e">
        <f t="shared" si="23"/>
        <v>#VALUE!</v>
      </c>
      <c r="IL17" s="137" t="e">
        <f t="shared" si="23"/>
        <v>#VALUE!</v>
      </c>
      <c r="IM17" s="137" t="e">
        <f t="shared" si="23"/>
        <v>#VALUE!</v>
      </c>
      <c r="IN17" s="137" t="e">
        <f t="shared" si="23"/>
        <v>#VALUE!</v>
      </c>
      <c r="IO17" s="137" t="e">
        <f t="shared" si="23"/>
        <v>#VALUE!</v>
      </c>
      <c r="IP17" s="137" t="e">
        <f t="shared" si="23"/>
        <v>#VALUE!</v>
      </c>
      <c r="IQ17" s="137" t="e">
        <f t="shared" si="23"/>
        <v>#VALUE!</v>
      </c>
      <c r="IR17" s="137" t="e">
        <f t="shared" si="23"/>
        <v>#VALUE!</v>
      </c>
      <c r="IS17" s="137" t="e">
        <f t="shared" si="23"/>
        <v>#VALUE!</v>
      </c>
      <c r="IT17" s="137" t="e">
        <f t="shared" si="23"/>
        <v>#VALUE!</v>
      </c>
      <c r="IU17" s="137" t="e">
        <f t="shared" si="23"/>
        <v>#VALUE!</v>
      </c>
      <c r="IV17" s="137" t="e">
        <f t="shared" si="23"/>
        <v>#VALUE!</v>
      </c>
      <c r="IW17" s="137" t="e">
        <f t="shared" si="23"/>
        <v>#VALUE!</v>
      </c>
      <c r="IX17" s="137" t="e">
        <f t="shared" si="23"/>
        <v>#VALUE!</v>
      </c>
      <c r="IY17" s="137" t="e">
        <f t="shared" si="23"/>
        <v>#VALUE!</v>
      </c>
      <c r="IZ17" s="137" t="e">
        <f t="shared" si="23"/>
        <v>#VALUE!</v>
      </c>
      <c r="JA17" s="137" t="e">
        <f t="shared" si="23"/>
        <v>#VALUE!</v>
      </c>
      <c r="JB17" s="137" t="e">
        <f t="shared" si="23"/>
        <v>#VALUE!</v>
      </c>
      <c r="JC17" s="137" t="e">
        <f t="shared" si="23"/>
        <v>#VALUE!</v>
      </c>
      <c r="JD17" s="137" t="e">
        <f t="shared" si="23"/>
        <v>#VALUE!</v>
      </c>
      <c r="JE17" s="137" t="e">
        <f t="shared" si="23"/>
        <v>#VALUE!</v>
      </c>
      <c r="JF17" s="137" t="e">
        <f t="shared" si="23"/>
        <v>#VALUE!</v>
      </c>
      <c r="JG17" s="137" t="e">
        <f t="shared" si="23"/>
        <v>#VALUE!</v>
      </c>
      <c r="JH17" s="137" t="e">
        <f t="shared" si="23"/>
        <v>#VALUE!</v>
      </c>
      <c r="JI17" s="137" t="e">
        <f t="shared" si="23"/>
        <v>#VALUE!</v>
      </c>
      <c r="JJ17" s="137" t="e">
        <f t="shared" si="23"/>
        <v>#VALUE!</v>
      </c>
      <c r="JK17" s="137" t="e">
        <f t="shared" si="23"/>
        <v>#VALUE!</v>
      </c>
      <c r="JL17" s="137" t="e">
        <f t="shared" si="23"/>
        <v>#VALUE!</v>
      </c>
      <c r="JM17" s="137" t="e">
        <f t="shared" si="23"/>
        <v>#VALUE!</v>
      </c>
      <c r="JN17" s="137" t="e">
        <f t="shared" si="23"/>
        <v>#VALUE!</v>
      </c>
      <c r="JO17" s="137" t="e">
        <f t="shared" si="23"/>
        <v>#VALUE!</v>
      </c>
      <c r="JP17" s="137" t="e">
        <f t="shared" si="23"/>
        <v>#VALUE!</v>
      </c>
      <c r="JQ17" s="137" t="e">
        <f t="shared" si="23"/>
        <v>#VALUE!</v>
      </c>
      <c r="JR17" s="137" t="e">
        <f t="shared" si="23"/>
        <v>#VALUE!</v>
      </c>
      <c r="JS17" s="137" t="e">
        <f t="shared" si="23"/>
        <v>#VALUE!</v>
      </c>
      <c r="JT17" s="137" t="e">
        <f t="shared" si="23"/>
        <v>#VALUE!</v>
      </c>
      <c r="JU17" s="137" t="e">
        <f t="shared" si="23"/>
        <v>#VALUE!</v>
      </c>
      <c r="JV17" s="137" t="e">
        <f t="shared" si="23"/>
        <v>#VALUE!</v>
      </c>
      <c r="JW17" s="137" t="e">
        <f t="shared" si="23"/>
        <v>#VALUE!</v>
      </c>
      <c r="JX17" s="137" t="e">
        <f t="shared" si="23"/>
        <v>#VALUE!</v>
      </c>
      <c r="JY17" s="137" t="e">
        <f t="shared" si="23"/>
        <v>#VALUE!</v>
      </c>
      <c r="JZ17" s="137" t="e">
        <f t="shared" si="23"/>
        <v>#VALUE!</v>
      </c>
      <c r="KA17" s="137" t="e">
        <f t="shared" si="23"/>
        <v>#VALUE!</v>
      </c>
      <c r="KB17" s="137" t="e">
        <f t="shared" si="23"/>
        <v>#VALUE!</v>
      </c>
      <c r="KC17" s="137" t="e">
        <f t="shared" si="23"/>
        <v>#VALUE!</v>
      </c>
      <c r="KD17" s="137" t="e">
        <f t="shared" si="23"/>
        <v>#VALUE!</v>
      </c>
      <c r="KE17" s="137" t="e">
        <f t="shared" si="23"/>
        <v>#VALUE!</v>
      </c>
      <c r="KF17" s="137" t="e">
        <f t="shared" ref="KF17:MQ17" si="24">SUM(KF9:KF15)</f>
        <v>#VALUE!</v>
      </c>
      <c r="KG17" s="137" t="e">
        <f t="shared" si="24"/>
        <v>#VALUE!</v>
      </c>
      <c r="KH17" s="137" t="e">
        <f t="shared" si="24"/>
        <v>#VALUE!</v>
      </c>
      <c r="KI17" s="137" t="e">
        <f t="shared" si="24"/>
        <v>#VALUE!</v>
      </c>
      <c r="KJ17" s="137" t="e">
        <f t="shared" si="24"/>
        <v>#VALUE!</v>
      </c>
      <c r="KK17" s="137" t="e">
        <f t="shared" si="24"/>
        <v>#VALUE!</v>
      </c>
      <c r="KL17" s="137" t="e">
        <f t="shared" si="24"/>
        <v>#VALUE!</v>
      </c>
      <c r="KM17" s="137" t="e">
        <f t="shared" si="24"/>
        <v>#VALUE!</v>
      </c>
      <c r="KN17" s="137" t="e">
        <f t="shared" si="24"/>
        <v>#VALUE!</v>
      </c>
      <c r="KO17" s="137" t="e">
        <f t="shared" si="24"/>
        <v>#VALUE!</v>
      </c>
      <c r="KP17" s="137" t="e">
        <f t="shared" si="24"/>
        <v>#VALUE!</v>
      </c>
      <c r="KQ17" s="137" t="e">
        <f t="shared" si="24"/>
        <v>#VALUE!</v>
      </c>
      <c r="KR17" s="137" t="e">
        <f t="shared" si="24"/>
        <v>#VALUE!</v>
      </c>
      <c r="KS17" s="137" t="e">
        <f t="shared" si="24"/>
        <v>#VALUE!</v>
      </c>
      <c r="KT17" s="137" t="e">
        <f t="shared" si="24"/>
        <v>#VALUE!</v>
      </c>
      <c r="KU17" s="137" t="e">
        <f t="shared" si="24"/>
        <v>#VALUE!</v>
      </c>
      <c r="KV17" s="137" t="e">
        <f t="shared" si="24"/>
        <v>#VALUE!</v>
      </c>
      <c r="KW17" s="137" t="e">
        <f t="shared" si="24"/>
        <v>#VALUE!</v>
      </c>
      <c r="KX17" s="137" t="e">
        <f t="shared" si="24"/>
        <v>#VALUE!</v>
      </c>
      <c r="KY17" s="137" t="e">
        <f t="shared" si="24"/>
        <v>#VALUE!</v>
      </c>
      <c r="KZ17" s="137" t="e">
        <f t="shared" si="24"/>
        <v>#VALUE!</v>
      </c>
      <c r="LA17" s="137" t="e">
        <f t="shared" si="24"/>
        <v>#VALUE!</v>
      </c>
      <c r="LB17" s="137" t="e">
        <f t="shared" si="24"/>
        <v>#VALUE!</v>
      </c>
      <c r="LC17" s="137" t="e">
        <f t="shared" si="24"/>
        <v>#VALUE!</v>
      </c>
      <c r="LD17" s="137" t="e">
        <f t="shared" si="24"/>
        <v>#VALUE!</v>
      </c>
      <c r="LE17" s="137" t="e">
        <f t="shared" si="24"/>
        <v>#VALUE!</v>
      </c>
      <c r="LF17" s="137" t="e">
        <f t="shared" si="24"/>
        <v>#VALUE!</v>
      </c>
      <c r="LG17" s="137" t="e">
        <f t="shared" si="24"/>
        <v>#VALUE!</v>
      </c>
      <c r="LH17" s="137" t="e">
        <f t="shared" si="24"/>
        <v>#VALUE!</v>
      </c>
      <c r="LI17" s="137" t="e">
        <f t="shared" si="24"/>
        <v>#VALUE!</v>
      </c>
      <c r="LJ17" s="137" t="e">
        <f t="shared" si="24"/>
        <v>#VALUE!</v>
      </c>
      <c r="LK17" s="137" t="e">
        <f t="shared" si="24"/>
        <v>#VALUE!</v>
      </c>
      <c r="LL17" s="137" t="e">
        <f t="shared" si="24"/>
        <v>#VALUE!</v>
      </c>
      <c r="LM17" s="137" t="e">
        <f t="shared" si="24"/>
        <v>#VALUE!</v>
      </c>
      <c r="LN17" s="137" t="e">
        <f t="shared" si="24"/>
        <v>#VALUE!</v>
      </c>
      <c r="LO17" s="137" t="e">
        <f t="shared" si="24"/>
        <v>#VALUE!</v>
      </c>
      <c r="LP17" s="137" t="e">
        <f t="shared" si="24"/>
        <v>#VALUE!</v>
      </c>
      <c r="LQ17" s="137" t="e">
        <f t="shared" si="24"/>
        <v>#VALUE!</v>
      </c>
      <c r="LR17" s="137" t="e">
        <f t="shared" si="24"/>
        <v>#VALUE!</v>
      </c>
      <c r="LS17" s="137" t="e">
        <f t="shared" si="24"/>
        <v>#VALUE!</v>
      </c>
      <c r="LT17" s="137" t="e">
        <f t="shared" si="24"/>
        <v>#VALUE!</v>
      </c>
      <c r="LU17" s="137" t="e">
        <f t="shared" si="24"/>
        <v>#VALUE!</v>
      </c>
      <c r="LV17" s="137" t="e">
        <f t="shared" si="24"/>
        <v>#VALUE!</v>
      </c>
      <c r="LW17" s="137" t="e">
        <f t="shared" si="24"/>
        <v>#VALUE!</v>
      </c>
      <c r="LX17" s="137" t="e">
        <f t="shared" si="24"/>
        <v>#VALUE!</v>
      </c>
      <c r="LY17" s="137" t="e">
        <f t="shared" si="24"/>
        <v>#VALUE!</v>
      </c>
      <c r="LZ17" s="137" t="e">
        <f t="shared" si="24"/>
        <v>#VALUE!</v>
      </c>
      <c r="MA17" s="137" t="e">
        <f t="shared" si="24"/>
        <v>#VALUE!</v>
      </c>
      <c r="MB17" s="137" t="e">
        <f t="shared" si="24"/>
        <v>#VALUE!</v>
      </c>
      <c r="MC17" s="137" t="e">
        <f t="shared" si="24"/>
        <v>#VALUE!</v>
      </c>
      <c r="MD17" s="137" t="e">
        <f t="shared" si="24"/>
        <v>#VALUE!</v>
      </c>
      <c r="ME17" s="137" t="e">
        <f t="shared" si="24"/>
        <v>#VALUE!</v>
      </c>
      <c r="MF17" s="137" t="e">
        <f t="shared" si="24"/>
        <v>#VALUE!</v>
      </c>
      <c r="MG17" s="137" t="e">
        <f t="shared" si="24"/>
        <v>#VALUE!</v>
      </c>
      <c r="MH17" s="137" t="e">
        <f t="shared" si="24"/>
        <v>#VALUE!</v>
      </c>
      <c r="MI17" s="137" t="e">
        <f t="shared" si="24"/>
        <v>#VALUE!</v>
      </c>
      <c r="MJ17" s="137" t="e">
        <f t="shared" si="24"/>
        <v>#VALUE!</v>
      </c>
      <c r="MK17" s="137" t="e">
        <f t="shared" si="24"/>
        <v>#VALUE!</v>
      </c>
      <c r="ML17" s="137" t="e">
        <f t="shared" si="24"/>
        <v>#VALUE!</v>
      </c>
      <c r="MM17" s="137" t="e">
        <f t="shared" si="24"/>
        <v>#VALUE!</v>
      </c>
      <c r="MN17" s="137" t="e">
        <f t="shared" si="24"/>
        <v>#VALUE!</v>
      </c>
      <c r="MO17" s="137" t="e">
        <f t="shared" si="24"/>
        <v>#VALUE!</v>
      </c>
      <c r="MP17" s="137" t="e">
        <f t="shared" si="24"/>
        <v>#VALUE!</v>
      </c>
      <c r="MQ17" s="137" t="e">
        <f t="shared" si="24"/>
        <v>#VALUE!</v>
      </c>
      <c r="MR17" s="137" t="e">
        <f t="shared" ref="MR17:NG17" si="25">SUM(MR9:MR15)</f>
        <v>#VALUE!</v>
      </c>
      <c r="MS17" s="137" t="e">
        <f t="shared" si="25"/>
        <v>#VALUE!</v>
      </c>
      <c r="MT17" s="137" t="e">
        <f t="shared" si="25"/>
        <v>#VALUE!</v>
      </c>
      <c r="MU17" s="137" t="e">
        <f t="shared" si="25"/>
        <v>#VALUE!</v>
      </c>
      <c r="MV17" s="137" t="e">
        <f t="shared" si="25"/>
        <v>#VALUE!</v>
      </c>
      <c r="MW17" s="137" t="e">
        <f t="shared" si="25"/>
        <v>#VALUE!</v>
      </c>
      <c r="MX17" s="137" t="e">
        <f t="shared" si="25"/>
        <v>#VALUE!</v>
      </c>
      <c r="MY17" s="137" t="e">
        <f t="shared" si="25"/>
        <v>#VALUE!</v>
      </c>
      <c r="MZ17" s="137" t="e">
        <f t="shared" si="25"/>
        <v>#VALUE!</v>
      </c>
      <c r="NA17" s="137" t="e">
        <f t="shared" si="25"/>
        <v>#VALUE!</v>
      </c>
      <c r="NB17" s="137" t="e">
        <f t="shared" si="25"/>
        <v>#VALUE!</v>
      </c>
      <c r="NC17" s="137" t="e">
        <f t="shared" si="25"/>
        <v>#VALUE!</v>
      </c>
      <c r="ND17" s="137" t="e">
        <f t="shared" si="25"/>
        <v>#VALUE!</v>
      </c>
      <c r="NE17" s="137" t="e">
        <f t="shared" si="25"/>
        <v>#VALUE!</v>
      </c>
      <c r="NF17" s="137" t="e">
        <f t="shared" si="25"/>
        <v>#VALUE!</v>
      </c>
      <c r="NG17" s="137" t="e">
        <f t="shared" si="25"/>
        <v>#VALUE!</v>
      </c>
    </row>
    <row r="18" spans="1:371" x14ac:dyDescent="0.25">
      <c r="B18" s="362" t="s">
        <v>402</v>
      </c>
      <c r="C18" s="362"/>
      <c r="E18" s="363" t="e">
        <f>(E17-D17)/ABS(D17)</f>
        <v>#VALUE!</v>
      </c>
      <c r="F18" s="363" t="e">
        <f t="shared" ref="F18:BQ18" si="26">(F17-E17)/ABS(E17)</f>
        <v>#VALUE!</v>
      </c>
      <c r="G18" s="363" t="e">
        <f t="shared" si="26"/>
        <v>#VALUE!</v>
      </c>
      <c r="H18" s="363" t="e">
        <f t="shared" si="26"/>
        <v>#VALUE!</v>
      </c>
      <c r="I18" s="363" t="e">
        <f t="shared" si="26"/>
        <v>#VALUE!</v>
      </c>
      <c r="J18" s="363" t="e">
        <f t="shared" si="26"/>
        <v>#VALUE!</v>
      </c>
      <c r="K18" s="363" t="e">
        <f>(K17-J17)/ABS(J17)</f>
        <v>#VALUE!</v>
      </c>
      <c r="L18" s="363" t="e">
        <f t="shared" si="26"/>
        <v>#VALUE!</v>
      </c>
      <c r="M18" s="363" t="e">
        <f t="shared" si="26"/>
        <v>#VALUE!</v>
      </c>
      <c r="N18" s="363" t="e">
        <f t="shared" si="26"/>
        <v>#VALUE!</v>
      </c>
      <c r="O18" s="363" t="e">
        <f t="shared" si="26"/>
        <v>#VALUE!</v>
      </c>
      <c r="P18" s="363" t="e">
        <f t="shared" si="26"/>
        <v>#VALUE!</v>
      </c>
      <c r="Q18" s="363" t="e">
        <f t="shared" si="26"/>
        <v>#VALUE!</v>
      </c>
      <c r="R18" s="363" t="e">
        <f t="shared" si="26"/>
        <v>#VALUE!</v>
      </c>
      <c r="S18" s="363" t="e">
        <f t="shared" si="26"/>
        <v>#VALUE!</v>
      </c>
      <c r="T18" s="363" t="e">
        <f t="shared" si="26"/>
        <v>#VALUE!</v>
      </c>
      <c r="U18" s="363" t="e">
        <f t="shared" si="26"/>
        <v>#VALUE!</v>
      </c>
      <c r="V18" s="363" t="e">
        <f t="shared" si="26"/>
        <v>#VALUE!</v>
      </c>
      <c r="W18" s="363" t="e">
        <f t="shared" si="26"/>
        <v>#VALUE!</v>
      </c>
      <c r="X18" s="363" t="e">
        <f t="shared" si="26"/>
        <v>#VALUE!</v>
      </c>
      <c r="Y18" s="363" t="e">
        <f t="shared" si="26"/>
        <v>#VALUE!</v>
      </c>
      <c r="Z18" s="363" t="e">
        <f t="shared" si="26"/>
        <v>#VALUE!</v>
      </c>
      <c r="AA18" s="363" t="e">
        <f t="shared" si="26"/>
        <v>#VALUE!</v>
      </c>
      <c r="AB18" s="363" t="e">
        <f t="shared" si="26"/>
        <v>#VALUE!</v>
      </c>
      <c r="AC18" s="363" t="e">
        <f t="shared" si="26"/>
        <v>#VALUE!</v>
      </c>
      <c r="AD18" s="363" t="e">
        <f t="shared" si="26"/>
        <v>#VALUE!</v>
      </c>
      <c r="AE18" s="363" t="e">
        <f t="shared" si="26"/>
        <v>#VALUE!</v>
      </c>
      <c r="AF18" s="363" t="e">
        <f t="shared" si="26"/>
        <v>#VALUE!</v>
      </c>
      <c r="AG18" s="363" t="e">
        <f t="shared" si="26"/>
        <v>#VALUE!</v>
      </c>
      <c r="AH18" s="363" t="e">
        <f t="shared" si="26"/>
        <v>#VALUE!</v>
      </c>
      <c r="AI18" s="363" t="e">
        <f t="shared" si="26"/>
        <v>#VALUE!</v>
      </c>
      <c r="AJ18" s="363" t="e">
        <f t="shared" si="26"/>
        <v>#VALUE!</v>
      </c>
      <c r="AK18" s="363" t="e">
        <f t="shared" si="26"/>
        <v>#VALUE!</v>
      </c>
      <c r="AL18" s="363" t="e">
        <f t="shared" si="26"/>
        <v>#VALUE!</v>
      </c>
      <c r="AM18" s="363" t="e">
        <f t="shared" si="26"/>
        <v>#VALUE!</v>
      </c>
      <c r="AN18" s="363" t="e">
        <f t="shared" si="26"/>
        <v>#VALUE!</v>
      </c>
      <c r="AO18" s="363" t="e">
        <f t="shared" si="26"/>
        <v>#VALUE!</v>
      </c>
      <c r="AP18" s="363" t="e">
        <f t="shared" si="26"/>
        <v>#VALUE!</v>
      </c>
      <c r="AQ18" s="363" t="e">
        <f t="shared" si="26"/>
        <v>#VALUE!</v>
      </c>
      <c r="AR18" s="363" t="e">
        <f t="shared" si="26"/>
        <v>#VALUE!</v>
      </c>
      <c r="AS18" s="363" t="e">
        <f t="shared" si="26"/>
        <v>#VALUE!</v>
      </c>
      <c r="AT18" s="363" t="e">
        <f t="shared" si="26"/>
        <v>#VALUE!</v>
      </c>
      <c r="AU18" s="363" t="e">
        <f t="shared" si="26"/>
        <v>#VALUE!</v>
      </c>
      <c r="AV18" s="363" t="e">
        <f t="shared" si="26"/>
        <v>#VALUE!</v>
      </c>
      <c r="AW18" s="363" t="e">
        <f t="shared" si="26"/>
        <v>#VALUE!</v>
      </c>
      <c r="AX18" s="363" t="e">
        <f t="shared" si="26"/>
        <v>#VALUE!</v>
      </c>
      <c r="AY18" s="363" t="e">
        <f t="shared" si="26"/>
        <v>#VALUE!</v>
      </c>
      <c r="AZ18" s="363" t="e">
        <f t="shared" si="26"/>
        <v>#VALUE!</v>
      </c>
      <c r="BA18" s="363" t="e">
        <f t="shared" si="26"/>
        <v>#VALUE!</v>
      </c>
      <c r="BB18" s="363" t="e">
        <f t="shared" si="26"/>
        <v>#VALUE!</v>
      </c>
      <c r="BC18" s="363" t="e">
        <f t="shared" si="26"/>
        <v>#VALUE!</v>
      </c>
      <c r="BD18" s="363" t="e">
        <f t="shared" si="26"/>
        <v>#VALUE!</v>
      </c>
      <c r="BE18" s="363" t="e">
        <f t="shared" si="26"/>
        <v>#VALUE!</v>
      </c>
      <c r="BF18" s="363" t="e">
        <f t="shared" si="26"/>
        <v>#VALUE!</v>
      </c>
      <c r="BG18" s="363" t="e">
        <f t="shared" si="26"/>
        <v>#VALUE!</v>
      </c>
      <c r="BH18" s="363" t="e">
        <f t="shared" si="26"/>
        <v>#VALUE!</v>
      </c>
      <c r="BI18" s="363" t="e">
        <f t="shared" si="26"/>
        <v>#VALUE!</v>
      </c>
      <c r="BJ18" s="363" t="e">
        <f t="shared" si="26"/>
        <v>#VALUE!</v>
      </c>
      <c r="BK18" s="363" t="e">
        <f t="shared" si="26"/>
        <v>#VALUE!</v>
      </c>
      <c r="BL18" s="363" t="e">
        <f t="shared" si="26"/>
        <v>#VALUE!</v>
      </c>
      <c r="BM18" s="363" t="e">
        <f t="shared" si="26"/>
        <v>#VALUE!</v>
      </c>
      <c r="BN18" s="363" t="e">
        <f t="shared" si="26"/>
        <v>#VALUE!</v>
      </c>
      <c r="BO18" s="363" t="e">
        <f t="shared" si="26"/>
        <v>#VALUE!</v>
      </c>
      <c r="BP18" s="363" t="e">
        <f t="shared" si="26"/>
        <v>#VALUE!</v>
      </c>
      <c r="BQ18" s="363" t="e">
        <f t="shared" si="26"/>
        <v>#VALUE!</v>
      </c>
      <c r="BR18" s="363" t="e">
        <f t="shared" ref="BR18:EC18" si="27">(BR17-BQ17)/ABS(BQ17)</f>
        <v>#VALUE!</v>
      </c>
      <c r="BS18" s="363" t="e">
        <f t="shared" si="27"/>
        <v>#VALUE!</v>
      </c>
      <c r="BT18" s="363" t="e">
        <f t="shared" si="27"/>
        <v>#VALUE!</v>
      </c>
      <c r="BU18" s="363" t="e">
        <f t="shared" si="27"/>
        <v>#VALUE!</v>
      </c>
      <c r="BV18" s="363" t="e">
        <f t="shared" si="27"/>
        <v>#VALUE!</v>
      </c>
      <c r="BW18" s="363" t="e">
        <f t="shared" si="27"/>
        <v>#VALUE!</v>
      </c>
      <c r="BX18" s="363" t="e">
        <f t="shared" si="27"/>
        <v>#VALUE!</v>
      </c>
      <c r="BY18" s="363" t="e">
        <f t="shared" si="27"/>
        <v>#VALUE!</v>
      </c>
      <c r="BZ18" s="363" t="e">
        <f t="shared" si="27"/>
        <v>#VALUE!</v>
      </c>
      <c r="CA18" s="363" t="e">
        <f t="shared" si="27"/>
        <v>#VALUE!</v>
      </c>
      <c r="CB18" s="363" t="e">
        <f t="shared" si="27"/>
        <v>#VALUE!</v>
      </c>
      <c r="CC18" s="363" t="e">
        <f t="shared" si="27"/>
        <v>#VALUE!</v>
      </c>
      <c r="CD18" s="363" t="e">
        <f t="shared" si="27"/>
        <v>#VALUE!</v>
      </c>
      <c r="CE18" s="363" t="e">
        <f t="shared" si="27"/>
        <v>#VALUE!</v>
      </c>
      <c r="CF18" s="363" t="e">
        <f t="shared" si="27"/>
        <v>#VALUE!</v>
      </c>
      <c r="CG18" s="363" t="e">
        <f t="shared" si="27"/>
        <v>#VALUE!</v>
      </c>
      <c r="CH18" s="363" t="e">
        <f t="shared" si="27"/>
        <v>#VALUE!</v>
      </c>
      <c r="CI18" s="363" t="e">
        <f t="shared" si="27"/>
        <v>#VALUE!</v>
      </c>
      <c r="CJ18" s="363" t="e">
        <f t="shared" si="27"/>
        <v>#VALUE!</v>
      </c>
      <c r="CK18" s="363" t="e">
        <f t="shared" si="27"/>
        <v>#VALUE!</v>
      </c>
      <c r="CL18" s="363" t="e">
        <f t="shared" si="27"/>
        <v>#VALUE!</v>
      </c>
      <c r="CM18" s="363" t="e">
        <f t="shared" si="27"/>
        <v>#VALUE!</v>
      </c>
      <c r="CN18" s="363" t="e">
        <f t="shared" si="27"/>
        <v>#VALUE!</v>
      </c>
      <c r="CO18" s="363" t="e">
        <f t="shared" si="27"/>
        <v>#VALUE!</v>
      </c>
      <c r="CP18" s="363" t="e">
        <f t="shared" si="27"/>
        <v>#VALUE!</v>
      </c>
      <c r="CQ18" s="363" t="e">
        <f t="shared" si="27"/>
        <v>#VALUE!</v>
      </c>
      <c r="CR18" s="363" t="e">
        <f t="shared" si="27"/>
        <v>#VALUE!</v>
      </c>
      <c r="CS18" s="363" t="e">
        <f t="shared" si="27"/>
        <v>#VALUE!</v>
      </c>
      <c r="CT18" s="363" t="e">
        <f t="shared" si="27"/>
        <v>#VALUE!</v>
      </c>
      <c r="CU18" s="363" t="e">
        <f t="shared" si="27"/>
        <v>#VALUE!</v>
      </c>
      <c r="CV18" s="363" t="e">
        <f t="shared" si="27"/>
        <v>#VALUE!</v>
      </c>
      <c r="CW18" s="363" t="e">
        <f t="shared" si="27"/>
        <v>#VALUE!</v>
      </c>
      <c r="CX18" s="363" t="e">
        <f t="shared" si="27"/>
        <v>#VALUE!</v>
      </c>
      <c r="CY18" s="363" t="e">
        <f t="shared" si="27"/>
        <v>#VALUE!</v>
      </c>
      <c r="CZ18" s="363" t="e">
        <f t="shared" si="27"/>
        <v>#VALUE!</v>
      </c>
      <c r="DA18" s="363" t="e">
        <f t="shared" si="27"/>
        <v>#VALUE!</v>
      </c>
      <c r="DB18" s="363" t="e">
        <f t="shared" si="27"/>
        <v>#VALUE!</v>
      </c>
      <c r="DC18" s="363" t="e">
        <f t="shared" si="27"/>
        <v>#VALUE!</v>
      </c>
      <c r="DD18" s="363" t="e">
        <f t="shared" si="27"/>
        <v>#VALUE!</v>
      </c>
      <c r="DE18" s="363" t="e">
        <f t="shared" si="27"/>
        <v>#VALUE!</v>
      </c>
      <c r="DF18" s="363" t="e">
        <f t="shared" si="27"/>
        <v>#VALUE!</v>
      </c>
      <c r="DG18" s="363" t="e">
        <f t="shared" si="27"/>
        <v>#VALUE!</v>
      </c>
      <c r="DH18" s="363" t="e">
        <f t="shared" si="27"/>
        <v>#VALUE!</v>
      </c>
      <c r="DI18" s="363" t="e">
        <f t="shared" si="27"/>
        <v>#VALUE!</v>
      </c>
      <c r="DJ18" s="363" t="e">
        <f t="shared" si="27"/>
        <v>#VALUE!</v>
      </c>
      <c r="DK18" s="363" t="e">
        <f t="shared" si="27"/>
        <v>#VALUE!</v>
      </c>
      <c r="DL18" s="363" t="e">
        <f t="shared" si="27"/>
        <v>#VALUE!</v>
      </c>
      <c r="DM18" s="363" t="e">
        <f t="shared" si="27"/>
        <v>#VALUE!</v>
      </c>
      <c r="DN18" s="363" t="e">
        <f t="shared" si="27"/>
        <v>#VALUE!</v>
      </c>
      <c r="DO18" s="363" t="e">
        <f t="shared" si="27"/>
        <v>#VALUE!</v>
      </c>
      <c r="DP18" s="363" t="e">
        <f t="shared" si="27"/>
        <v>#VALUE!</v>
      </c>
      <c r="DQ18" s="363" t="e">
        <f t="shared" si="27"/>
        <v>#VALUE!</v>
      </c>
      <c r="DR18" s="363" t="e">
        <f t="shared" si="27"/>
        <v>#VALUE!</v>
      </c>
      <c r="DS18" s="363" t="e">
        <f t="shared" si="27"/>
        <v>#VALUE!</v>
      </c>
      <c r="DT18" s="363" t="e">
        <f t="shared" si="27"/>
        <v>#VALUE!</v>
      </c>
      <c r="DU18" s="363" t="e">
        <f t="shared" si="27"/>
        <v>#VALUE!</v>
      </c>
      <c r="DV18" s="363" t="e">
        <f t="shared" si="27"/>
        <v>#VALUE!</v>
      </c>
      <c r="DW18" s="363" t="e">
        <f t="shared" si="27"/>
        <v>#VALUE!</v>
      </c>
      <c r="DX18" s="363" t="e">
        <f t="shared" si="27"/>
        <v>#VALUE!</v>
      </c>
      <c r="DY18" s="363" t="e">
        <f t="shared" si="27"/>
        <v>#VALUE!</v>
      </c>
      <c r="DZ18" s="363" t="e">
        <f t="shared" si="27"/>
        <v>#VALUE!</v>
      </c>
      <c r="EA18" s="363" t="e">
        <f t="shared" si="27"/>
        <v>#VALUE!</v>
      </c>
      <c r="EB18" s="363" t="e">
        <f t="shared" si="27"/>
        <v>#VALUE!</v>
      </c>
      <c r="EC18" s="363" t="e">
        <f t="shared" si="27"/>
        <v>#VALUE!</v>
      </c>
      <c r="ED18" s="363" t="e">
        <f t="shared" ref="ED18:GO18" si="28">(ED17-EC17)/ABS(EC17)</f>
        <v>#VALUE!</v>
      </c>
      <c r="EE18" s="363" t="e">
        <f t="shared" si="28"/>
        <v>#VALUE!</v>
      </c>
      <c r="EF18" s="363" t="e">
        <f t="shared" si="28"/>
        <v>#VALUE!</v>
      </c>
      <c r="EG18" s="363" t="e">
        <f t="shared" si="28"/>
        <v>#VALUE!</v>
      </c>
      <c r="EH18" s="363" t="e">
        <f t="shared" si="28"/>
        <v>#VALUE!</v>
      </c>
      <c r="EI18" s="363" t="e">
        <f t="shared" si="28"/>
        <v>#VALUE!</v>
      </c>
      <c r="EJ18" s="363" t="e">
        <f t="shared" si="28"/>
        <v>#VALUE!</v>
      </c>
      <c r="EK18" s="363" t="e">
        <f t="shared" si="28"/>
        <v>#VALUE!</v>
      </c>
      <c r="EL18" s="363" t="e">
        <f t="shared" si="28"/>
        <v>#VALUE!</v>
      </c>
      <c r="EM18" s="363" t="e">
        <f t="shared" si="28"/>
        <v>#VALUE!</v>
      </c>
      <c r="EN18" s="363" t="e">
        <f t="shared" si="28"/>
        <v>#VALUE!</v>
      </c>
      <c r="EO18" s="363" t="e">
        <f t="shared" si="28"/>
        <v>#VALUE!</v>
      </c>
      <c r="EP18" s="363" t="e">
        <f t="shared" si="28"/>
        <v>#VALUE!</v>
      </c>
      <c r="EQ18" s="363" t="e">
        <f t="shared" si="28"/>
        <v>#VALUE!</v>
      </c>
      <c r="ER18" s="363" t="e">
        <f t="shared" si="28"/>
        <v>#VALUE!</v>
      </c>
      <c r="ES18" s="363" t="e">
        <f t="shared" si="28"/>
        <v>#VALUE!</v>
      </c>
      <c r="ET18" s="363" t="e">
        <f t="shared" si="28"/>
        <v>#VALUE!</v>
      </c>
      <c r="EU18" s="363" t="e">
        <f t="shared" si="28"/>
        <v>#VALUE!</v>
      </c>
      <c r="EV18" s="363" t="e">
        <f t="shared" si="28"/>
        <v>#VALUE!</v>
      </c>
      <c r="EW18" s="363" t="e">
        <f t="shared" si="28"/>
        <v>#VALUE!</v>
      </c>
      <c r="EX18" s="363" t="e">
        <f t="shared" si="28"/>
        <v>#VALUE!</v>
      </c>
      <c r="EY18" s="363" t="e">
        <f t="shared" si="28"/>
        <v>#VALUE!</v>
      </c>
      <c r="EZ18" s="363" t="e">
        <f t="shared" si="28"/>
        <v>#VALUE!</v>
      </c>
      <c r="FA18" s="363" t="e">
        <f t="shared" si="28"/>
        <v>#VALUE!</v>
      </c>
      <c r="FB18" s="363" t="e">
        <f t="shared" si="28"/>
        <v>#VALUE!</v>
      </c>
      <c r="FC18" s="363" t="e">
        <f t="shared" si="28"/>
        <v>#VALUE!</v>
      </c>
      <c r="FD18" s="363" t="e">
        <f t="shared" si="28"/>
        <v>#VALUE!</v>
      </c>
      <c r="FE18" s="363" t="e">
        <f t="shared" si="28"/>
        <v>#VALUE!</v>
      </c>
      <c r="FF18" s="363" t="e">
        <f t="shared" si="28"/>
        <v>#VALUE!</v>
      </c>
      <c r="FG18" s="363" t="e">
        <f t="shared" si="28"/>
        <v>#VALUE!</v>
      </c>
      <c r="FH18" s="363" t="e">
        <f t="shared" si="28"/>
        <v>#VALUE!</v>
      </c>
      <c r="FI18" s="363" t="e">
        <f t="shared" si="28"/>
        <v>#VALUE!</v>
      </c>
      <c r="FJ18" s="363" t="e">
        <f t="shared" si="28"/>
        <v>#VALUE!</v>
      </c>
      <c r="FK18" s="363" t="e">
        <f t="shared" si="28"/>
        <v>#VALUE!</v>
      </c>
      <c r="FL18" s="363" t="e">
        <f t="shared" si="28"/>
        <v>#VALUE!</v>
      </c>
      <c r="FM18" s="363" t="e">
        <f t="shared" si="28"/>
        <v>#VALUE!</v>
      </c>
      <c r="FN18" s="363" t="e">
        <f t="shared" si="28"/>
        <v>#VALUE!</v>
      </c>
      <c r="FO18" s="363" t="e">
        <f t="shared" si="28"/>
        <v>#VALUE!</v>
      </c>
      <c r="FP18" s="363" t="e">
        <f t="shared" si="28"/>
        <v>#VALUE!</v>
      </c>
      <c r="FQ18" s="363" t="e">
        <f t="shared" si="28"/>
        <v>#VALUE!</v>
      </c>
      <c r="FR18" s="363" t="e">
        <f t="shared" si="28"/>
        <v>#VALUE!</v>
      </c>
      <c r="FS18" s="363" t="e">
        <f t="shared" si="28"/>
        <v>#VALUE!</v>
      </c>
      <c r="FT18" s="363" t="e">
        <f t="shared" si="28"/>
        <v>#VALUE!</v>
      </c>
      <c r="FU18" s="363" t="e">
        <f t="shared" si="28"/>
        <v>#VALUE!</v>
      </c>
      <c r="FV18" s="363" t="e">
        <f t="shared" si="28"/>
        <v>#VALUE!</v>
      </c>
      <c r="FW18" s="363" t="e">
        <f t="shared" si="28"/>
        <v>#VALUE!</v>
      </c>
      <c r="FX18" s="363" t="e">
        <f t="shared" si="28"/>
        <v>#VALUE!</v>
      </c>
      <c r="FY18" s="363" t="e">
        <f t="shared" si="28"/>
        <v>#VALUE!</v>
      </c>
      <c r="FZ18" s="363" t="e">
        <f t="shared" si="28"/>
        <v>#VALUE!</v>
      </c>
      <c r="GA18" s="363" t="e">
        <f t="shared" si="28"/>
        <v>#VALUE!</v>
      </c>
      <c r="GB18" s="363" t="e">
        <f t="shared" si="28"/>
        <v>#VALUE!</v>
      </c>
      <c r="GC18" s="363" t="e">
        <f t="shared" si="28"/>
        <v>#VALUE!</v>
      </c>
      <c r="GD18" s="363" t="e">
        <f t="shared" si="28"/>
        <v>#VALUE!</v>
      </c>
      <c r="GE18" s="363" t="e">
        <f t="shared" si="28"/>
        <v>#VALUE!</v>
      </c>
      <c r="GF18" s="363" t="e">
        <f t="shared" si="28"/>
        <v>#VALUE!</v>
      </c>
      <c r="GG18" s="363" t="e">
        <f t="shared" si="28"/>
        <v>#VALUE!</v>
      </c>
      <c r="GH18" s="363" t="e">
        <f t="shared" si="28"/>
        <v>#VALUE!</v>
      </c>
      <c r="GI18" s="363" t="e">
        <f t="shared" si="28"/>
        <v>#VALUE!</v>
      </c>
      <c r="GJ18" s="363" t="e">
        <f t="shared" si="28"/>
        <v>#VALUE!</v>
      </c>
      <c r="GK18" s="363" t="e">
        <f t="shared" si="28"/>
        <v>#VALUE!</v>
      </c>
      <c r="GL18" s="363" t="e">
        <f t="shared" si="28"/>
        <v>#VALUE!</v>
      </c>
      <c r="GM18" s="363" t="e">
        <f t="shared" si="28"/>
        <v>#VALUE!</v>
      </c>
      <c r="GN18" s="363" t="e">
        <f t="shared" si="28"/>
        <v>#VALUE!</v>
      </c>
      <c r="GO18" s="363" t="e">
        <f t="shared" si="28"/>
        <v>#VALUE!</v>
      </c>
      <c r="GP18" s="363" t="e">
        <f t="shared" ref="GP18:JA18" si="29">(GP17-GO17)/ABS(GO17)</f>
        <v>#VALUE!</v>
      </c>
      <c r="GQ18" s="363" t="e">
        <f t="shared" si="29"/>
        <v>#VALUE!</v>
      </c>
      <c r="GR18" s="363" t="e">
        <f t="shared" si="29"/>
        <v>#VALUE!</v>
      </c>
      <c r="GS18" s="363" t="e">
        <f t="shared" si="29"/>
        <v>#VALUE!</v>
      </c>
      <c r="GT18" s="363" t="e">
        <f t="shared" si="29"/>
        <v>#VALUE!</v>
      </c>
      <c r="GU18" s="363" t="e">
        <f t="shared" si="29"/>
        <v>#VALUE!</v>
      </c>
      <c r="GV18" s="363" t="e">
        <f t="shared" si="29"/>
        <v>#VALUE!</v>
      </c>
      <c r="GW18" s="363" t="e">
        <f t="shared" si="29"/>
        <v>#VALUE!</v>
      </c>
      <c r="GX18" s="363" t="e">
        <f t="shared" si="29"/>
        <v>#VALUE!</v>
      </c>
      <c r="GY18" s="363" t="e">
        <f t="shared" si="29"/>
        <v>#VALUE!</v>
      </c>
      <c r="GZ18" s="363" t="e">
        <f t="shared" si="29"/>
        <v>#VALUE!</v>
      </c>
      <c r="HA18" s="363" t="e">
        <f t="shared" si="29"/>
        <v>#VALUE!</v>
      </c>
      <c r="HB18" s="363" t="e">
        <f t="shared" si="29"/>
        <v>#VALUE!</v>
      </c>
      <c r="HC18" s="363" t="e">
        <f t="shared" si="29"/>
        <v>#VALUE!</v>
      </c>
      <c r="HD18" s="363" t="e">
        <f t="shared" si="29"/>
        <v>#VALUE!</v>
      </c>
      <c r="HE18" s="363" t="e">
        <f t="shared" si="29"/>
        <v>#VALUE!</v>
      </c>
      <c r="HF18" s="363" t="e">
        <f t="shared" si="29"/>
        <v>#VALUE!</v>
      </c>
      <c r="HG18" s="363" t="e">
        <f t="shared" si="29"/>
        <v>#VALUE!</v>
      </c>
      <c r="HH18" s="363" t="e">
        <f t="shared" si="29"/>
        <v>#VALUE!</v>
      </c>
      <c r="HI18" s="363" t="e">
        <f t="shared" si="29"/>
        <v>#VALUE!</v>
      </c>
      <c r="HJ18" s="363" t="e">
        <f t="shared" si="29"/>
        <v>#VALUE!</v>
      </c>
      <c r="HK18" s="363" t="e">
        <f t="shared" si="29"/>
        <v>#VALUE!</v>
      </c>
      <c r="HL18" s="363" t="e">
        <f t="shared" si="29"/>
        <v>#VALUE!</v>
      </c>
      <c r="HM18" s="363" t="e">
        <f t="shared" si="29"/>
        <v>#VALUE!</v>
      </c>
      <c r="HN18" s="363" t="e">
        <f t="shared" si="29"/>
        <v>#VALUE!</v>
      </c>
      <c r="HO18" s="363" t="e">
        <f t="shared" si="29"/>
        <v>#VALUE!</v>
      </c>
      <c r="HP18" s="363" t="e">
        <f t="shared" si="29"/>
        <v>#VALUE!</v>
      </c>
      <c r="HQ18" s="363" t="e">
        <f t="shared" si="29"/>
        <v>#VALUE!</v>
      </c>
      <c r="HR18" s="363" t="e">
        <f t="shared" si="29"/>
        <v>#VALUE!</v>
      </c>
      <c r="HS18" s="363" t="e">
        <f t="shared" si="29"/>
        <v>#VALUE!</v>
      </c>
      <c r="HT18" s="363" t="e">
        <f t="shared" si="29"/>
        <v>#VALUE!</v>
      </c>
      <c r="HU18" s="363" t="e">
        <f t="shared" si="29"/>
        <v>#VALUE!</v>
      </c>
      <c r="HV18" s="363" t="e">
        <f t="shared" si="29"/>
        <v>#VALUE!</v>
      </c>
      <c r="HW18" s="363" t="e">
        <f t="shared" si="29"/>
        <v>#VALUE!</v>
      </c>
      <c r="HX18" s="363" t="e">
        <f t="shared" si="29"/>
        <v>#VALUE!</v>
      </c>
      <c r="HY18" s="363" t="e">
        <f t="shared" si="29"/>
        <v>#VALUE!</v>
      </c>
      <c r="HZ18" s="363" t="e">
        <f t="shared" si="29"/>
        <v>#VALUE!</v>
      </c>
      <c r="IA18" s="363" t="e">
        <f t="shared" si="29"/>
        <v>#VALUE!</v>
      </c>
      <c r="IB18" s="363" t="e">
        <f t="shared" si="29"/>
        <v>#VALUE!</v>
      </c>
      <c r="IC18" s="363" t="e">
        <f t="shared" si="29"/>
        <v>#VALUE!</v>
      </c>
      <c r="ID18" s="363" t="e">
        <f t="shared" si="29"/>
        <v>#VALUE!</v>
      </c>
      <c r="IE18" s="363" t="e">
        <f t="shared" si="29"/>
        <v>#VALUE!</v>
      </c>
      <c r="IF18" s="363" t="e">
        <f t="shared" si="29"/>
        <v>#VALUE!</v>
      </c>
      <c r="IG18" s="363" t="e">
        <f t="shared" si="29"/>
        <v>#VALUE!</v>
      </c>
      <c r="IH18" s="363" t="e">
        <f t="shared" si="29"/>
        <v>#VALUE!</v>
      </c>
      <c r="II18" s="363" t="e">
        <f t="shared" si="29"/>
        <v>#VALUE!</v>
      </c>
      <c r="IJ18" s="363" t="e">
        <f t="shared" si="29"/>
        <v>#VALUE!</v>
      </c>
      <c r="IK18" s="363" t="e">
        <f t="shared" si="29"/>
        <v>#VALUE!</v>
      </c>
      <c r="IL18" s="363" t="e">
        <f t="shared" si="29"/>
        <v>#VALUE!</v>
      </c>
      <c r="IM18" s="363" t="e">
        <f t="shared" si="29"/>
        <v>#VALUE!</v>
      </c>
      <c r="IN18" s="363" t="e">
        <f t="shared" si="29"/>
        <v>#VALUE!</v>
      </c>
      <c r="IO18" s="363" t="e">
        <f t="shared" si="29"/>
        <v>#VALUE!</v>
      </c>
      <c r="IP18" s="363" t="e">
        <f t="shared" si="29"/>
        <v>#VALUE!</v>
      </c>
      <c r="IQ18" s="363" t="e">
        <f t="shared" si="29"/>
        <v>#VALUE!</v>
      </c>
      <c r="IR18" s="363" t="e">
        <f t="shared" si="29"/>
        <v>#VALUE!</v>
      </c>
      <c r="IS18" s="363" t="e">
        <f t="shared" si="29"/>
        <v>#VALUE!</v>
      </c>
      <c r="IT18" s="363" t="e">
        <f t="shared" si="29"/>
        <v>#VALUE!</v>
      </c>
      <c r="IU18" s="363" t="e">
        <f t="shared" si="29"/>
        <v>#VALUE!</v>
      </c>
      <c r="IV18" s="363" t="e">
        <f t="shared" si="29"/>
        <v>#VALUE!</v>
      </c>
      <c r="IW18" s="363" t="e">
        <f t="shared" si="29"/>
        <v>#VALUE!</v>
      </c>
      <c r="IX18" s="363" t="e">
        <f t="shared" si="29"/>
        <v>#VALUE!</v>
      </c>
      <c r="IY18" s="363" t="e">
        <f t="shared" si="29"/>
        <v>#VALUE!</v>
      </c>
      <c r="IZ18" s="363" t="e">
        <f t="shared" si="29"/>
        <v>#VALUE!</v>
      </c>
      <c r="JA18" s="363" t="e">
        <f t="shared" si="29"/>
        <v>#VALUE!</v>
      </c>
      <c r="JB18" s="363" t="e">
        <f t="shared" ref="JB18:LM18" si="30">(JB17-JA17)/ABS(JA17)</f>
        <v>#VALUE!</v>
      </c>
      <c r="JC18" s="363" t="e">
        <f t="shared" si="30"/>
        <v>#VALUE!</v>
      </c>
      <c r="JD18" s="363" t="e">
        <f t="shared" si="30"/>
        <v>#VALUE!</v>
      </c>
      <c r="JE18" s="363" t="e">
        <f t="shared" si="30"/>
        <v>#VALUE!</v>
      </c>
      <c r="JF18" s="363" t="e">
        <f t="shared" si="30"/>
        <v>#VALUE!</v>
      </c>
      <c r="JG18" s="363" t="e">
        <f t="shared" si="30"/>
        <v>#VALUE!</v>
      </c>
      <c r="JH18" s="363" t="e">
        <f t="shared" si="30"/>
        <v>#VALUE!</v>
      </c>
      <c r="JI18" s="363" t="e">
        <f t="shared" si="30"/>
        <v>#VALUE!</v>
      </c>
      <c r="JJ18" s="363" t="e">
        <f t="shared" si="30"/>
        <v>#VALUE!</v>
      </c>
      <c r="JK18" s="363" t="e">
        <f t="shared" si="30"/>
        <v>#VALUE!</v>
      </c>
      <c r="JL18" s="363" t="e">
        <f t="shared" si="30"/>
        <v>#VALUE!</v>
      </c>
      <c r="JM18" s="363" t="e">
        <f t="shared" si="30"/>
        <v>#VALUE!</v>
      </c>
      <c r="JN18" s="363" t="e">
        <f t="shared" si="30"/>
        <v>#VALUE!</v>
      </c>
      <c r="JO18" s="363" t="e">
        <f t="shared" si="30"/>
        <v>#VALUE!</v>
      </c>
      <c r="JP18" s="363" t="e">
        <f t="shared" si="30"/>
        <v>#VALUE!</v>
      </c>
      <c r="JQ18" s="363" t="e">
        <f t="shared" si="30"/>
        <v>#VALUE!</v>
      </c>
      <c r="JR18" s="363" t="e">
        <f t="shared" si="30"/>
        <v>#VALUE!</v>
      </c>
      <c r="JS18" s="363" t="e">
        <f t="shared" si="30"/>
        <v>#VALUE!</v>
      </c>
      <c r="JT18" s="363" t="e">
        <f t="shared" si="30"/>
        <v>#VALUE!</v>
      </c>
      <c r="JU18" s="363" t="e">
        <f t="shared" si="30"/>
        <v>#VALUE!</v>
      </c>
      <c r="JV18" s="363" t="e">
        <f t="shared" si="30"/>
        <v>#VALUE!</v>
      </c>
      <c r="JW18" s="363" t="e">
        <f t="shared" si="30"/>
        <v>#VALUE!</v>
      </c>
      <c r="JX18" s="363" t="e">
        <f t="shared" si="30"/>
        <v>#VALUE!</v>
      </c>
      <c r="JY18" s="363" t="e">
        <f t="shared" si="30"/>
        <v>#VALUE!</v>
      </c>
      <c r="JZ18" s="363" t="e">
        <f t="shared" si="30"/>
        <v>#VALUE!</v>
      </c>
      <c r="KA18" s="363" t="e">
        <f t="shared" si="30"/>
        <v>#VALUE!</v>
      </c>
      <c r="KB18" s="363" t="e">
        <f t="shared" si="30"/>
        <v>#VALUE!</v>
      </c>
      <c r="KC18" s="363" t="e">
        <f t="shared" si="30"/>
        <v>#VALUE!</v>
      </c>
      <c r="KD18" s="363" t="e">
        <f t="shared" si="30"/>
        <v>#VALUE!</v>
      </c>
      <c r="KE18" s="363" t="e">
        <f t="shared" si="30"/>
        <v>#VALUE!</v>
      </c>
      <c r="KF18" s="363" t="e">
        <f t="shared" si="30"/>
        <v>#VALUE!</v>
      </c>
      <c r="KG18" s="363" t="e">
        <f t="shared" si="30"/>
        <v>#VALUE!</v>
      </c>
      <c r="KH18" s="363" t="e">
        <f t="shared" si="30"/>
        <v>#VALUE!</v>
      </c>
      <c r="KI18" s="363" t="e">
        <f t="shared" si="30"/>
        <v>#VALUE!</v>
      </c>
      <c r="KJ18" s="363" t="e">
        <f t="shared" si="30"/>
        <v>#VALUE!</v>
      </c>
      <c r="KK18" s="363" t="e">
        <f t="shared" si="30"/>
        <v>#VALUE!</v>
      </c>
      <c r="KL18" s="363" t="e">
        <f t="shared" si="30"/>
        <v>#VALUE!</v>
      </c>
      <c r="KM18" s="363" t="e">
        <f t="shared" si="30"/>
        <v>#VALUE!</v>
      </c>
      <c r="KN18" s="363" t="e">
        <f t="shared" si="30"/>
        <v>#VALUE!</v>
      </c>
      <c r="KO18" s="363" t="e">
        <f t="shared" si="30"/>
        <v>#VALUE!</v>
      </c>
      <c r="KP18" s="363" t="e">
        <f t="shared" si="30"/>
        <v>#VALUE!</v>
      </c>
      <c r="KQ18" s="363" t="e">
        <f t="shared" si="30"/>
        <v>#VALUE!</v>
      </c>
      <c r="KR18" s="363" t="e">
        <f t="shared" si="30"/>
        <v>#VALUE!</v>
      </c>
      <c r="KS18" s="363" t="e">
        <f t="shared" si="30"/>
        <v>#VALUE!</v>
      </c>
      <c r="KT18" s="363" t="e">
        <f t="shared" si="30"/>
        <v>#VALUE!</v>
      </c>
      <c r="KU18" s="363" t="e">
        <f t="shared" si="30"/>
        <v>#VALUE!</v>
      </c>
      <c r="KV18" s="363" t="e">
        <f t="shared" si="30"/>
        <v>#VALUE!</v>
      </c>
      <c r="KW18" s="363" t="e">
        <f t="shared" si="30"/>
        <v>#VALUE!</v>
      </c>
      <c r="KX18" s="363" t="e">
        <f t="shared" si="30"/>
        <v>#VALUE!</v>
      </c>
      <c r="KY18" s="363" t="e">
        <f t="shared" si="30"/>
        <v>#VALUE!</v>
      </c>
      <c r="KZ18" s="363" t="e">
        <f t="shared" si="30"/>
        <v>#VALUE!</v>
      </c>
      <c r="LA18" s="363" t="e">
        <f t="shared" si="30"/>
        <v>#VALUE!</v>
      </c>
      <c r="LB18" s="363" t="e">
        <f t="shared" si="30"/>
        <v>#VALUE!</v>
      </c>
      <c r="LC18" s="363" t="e">
        <f t="shared" si="30"/>
        <v>#VALUE!</v>
      </c>
      <c r="LD18" s="363" t="e">
        <f t="shared" si="30"/>
        <v>#VALUE!</v>
      </c>
      <c r="LE18" s="363" t="e">
        <f t="shared" si="30"/>
        <v>#VALUE!</v>
      </c>
      <c r="LF18" s="363" t="e">
        <f t="shared" si="30"/>
        <v>#VALUE!</v>
      </c>
      <c r="LG18" s="363" t="e">
        <f t="shared" si="30"/>
        <v>#VALUE!</v>
      </c>
      <c r="LH18" s="363" t="e">
        <f t="shared" si="30"/>
        <v>#VALUE!</v>
      </c>
      <c r="LI18" s="363" t="e">
        <f t="shared" si="30"/>
        <v>#VALUE!</v>
      </c>
      <c r="LJ18" s="363" t="e">
        <f t="shared" si="30"/>
        <v>#VALUE!</v>
      </c>
      <c r="LK18" s="363" t="e">
        <f t="shared" si="30"/>
        <v>#VALUE!</v>
      </c>
      <c r="LL18" s="363" t="e">
        <f t="shared" si="30"/>
        <v>#VALUE!</v>
      </c>
      <c r="LM18" s="363" t="e">
        <f t="shared" si="30"/>
        <v>#VALUE!</v>
      </c>
      <c r="LN18" s="363" t="e">
        <f t="shared" ref="LN18:NG18" si="31">(LN17-LM17)/ABS(LM17)</f>
        <v>#VALUE!</v>
      </c>
      <c r="LO18" s="363" t="e">
        <f t="shared" si="31"/>
        <v>#VALUE!</v>
      </c>
      <c r="LP18" s="363" t="e">
        <f t="shared" si="31"/>
        <v>#VALUE!</v>
      </c>
      <c r="LQ18" s="363" t="e">
        <f t="shared" si="31"/>
        <v>#VALUE!</v>
      </c>
      <c r="LR18" s="363" t="e">
        <f t="shared" si="31"/>
        <v>#VALUE!</v>
      </c>
      <c r="LS18" s="363" t="e">
        <f t="shared" si="31"/>
        <v>#VALUE!</v>
      </c>
      <c r="LT18" s="363" t="e">
        <f t="shared" si="31"/>
        <v>#VALUE!</v>
      </c>
      <c r="LU18" s="363" t="e">
        <f t="shared" si="31"/>
        <v>#VALUE!</v>
      </c>
      <c r="LV18" s="363" t="e">
        <f t="shared" si="31"/>
        <v>#VALUE!</v>
      </c>
      <c r="LW18" s="363" t="e">
        <f t="shared" si="31"/>
        <v>#VALUE!</v>
      </c>
      <c r="LX18" s="363" t="e">
        <f t="shared" si="31"/>
        <v>#VALUE!</v>
      </c>
      <c r="LY18" s="363" t="e">
        <f t="shared" si="31"/>
        <v>#VALUE!</v>
      </c>
      <c r="LZ18" s="363" t="e">
        <f t="shared" si="31"/>
        <v>#VALUE!</v>
      </c>
      <c r="MA18" s="363" t="e">
        <f t="shared" si="31"/>
        <v>#VALUE!</v>
      </c>
      <c r="MB18" s="363" t="e">
        <f t="shared" si="31"/>
        <v>#VALUE!</v>
      </c>
      <c r="MC18" s="363" t="e">
        <f t="shared" si="31"/>
        <v>#VALUE!</v>
      </c>
      <c r="MD18" s="363" t="e">
        <f t="shared" si="31"/>
        <v>#VALUE!</v>
      </c>
      <c r="ME18" s="363" t="e">
        <f t="shared" si="31"/>
        <v>#VALUE!</v>
      </c>
      <c r="MF18" s="363" t="e">
        <f t="shared" si="31"/>
        <v>#VALUE!</v>
      </c>
      <c r="MG18" s="363" t="e">
        <f t="shared" si="31"/>
        <v>#VALUE!</v>
      </c>
      <c r="MH18" s="363" t="e">
        <f t="shared" si="31"/>
        <v>#VALUE!</v>
      </c>
      <c r="MI18" s="363" t="e">
        <f t="shared" si="31"/>
        <v>#VALUE!</v>
      </c>
      <c r="MJ18" s="363" t="e">
        <f t="shared" si="31"/>
        <v>#VALUE!</v>
      </c>
      <c r="MK18" s="363" t="e">
        <f t="shared" si="31"/>
        <v>#VALUE!</v>
      </c>
      <c r="ML18" s="363" t="e">
        <f t="shared" si="31"/>
        <v>#VALUE!</v>
      </c>
      <c r="MM18" s="363" t="e">
        <f t="shared" si="31"/>
        <v>#VALUE!</v>
      </c>
      <c r="MN18" s="363" t="e">
        <f t="shared" si="31"/>
        <v>#VALUE!</v>
      </c>
      <c r="MO18" s="363" t="e">
        <f t="shared" si="31"/>
        <v>#VALUE!</v>
      </c>
      <c r="MP18" s="363" t="e">
        <f t="shared" si="31"/>
        <v>#VALUE!</v>
      </c>
      <c r="MQ18" s="363" t="e">
        <f t="shared" si="31"/>
        <v>#VALUE!</v>
      </c>
      <c r="MR18" s="363" t="e">
        <f t="shared" si="31"/>
        <v>#VALUE!</v>
      </c>
      <c r="MS18" s="363" t="e">
        <f t="shared" si="31"/>
        <v>#VALUE!</v>
      </c>
      <c r="MT18" s="363" t="e">
        <f t="shared" si="31"/>
        <v>#VALUE!</v>
      </c>
      <c r="MU18" s="363" t="e">
        <f t="shared" si="31"/>
        <v>#VALUE!</v>
      </c>
      <c r="MV18" s="363" t="e">
        <f t="shared" si="31"/>
        <v>#VALUE!</v>
      </c>
      <c r="MW18" s="363" t="e">
        <f t="shared" si="31"/>
        <v>#VALUE!</v>
      </c>
      <c r="MX18" s="363" t="e">
        <f t="shared" si="31"/>
        <v>#VALUE!</v>
      </c>
      <c r="MY18" s="363" t="e">
        <f t="shared" si="31"/>
        <v>#VALUE!</v>
      </c>
      <c r="MZ18" s="363" t="e">
        <f t="shared" si="31"/>
        <v>#VALUE!</v>
      </c>
      <c r="NA18" s="363" t="e">
        <f t="shared" si="31"/>
        <v>#VALUE!</v>
      </c>
      <c r="NB18" s="363" t="e">
        <f t="shared" si="31"/>
        <v>#VALUE!</v>
      </c>
      <c r="NC18" s="363" t="e">
        <f t="shared" si="31"/>
        <v>#VALUE!</v>
      </c>
      <c r="ND18" s="363" t="e">
        <f t="shared" si="31"/>
        <v>#VALUE!</v>
      </c>
      <c r="NE18" s="363" t="e">
        <f t="shared" si="31"/>
        <v>#VALUE!</v>
      </c>
      <c r="NF18" s="363" t="e">
        <f t="shared" si="31"/>
        <v>#VALUE!</v>
      </c>
      <c r="NG18" s="363" t="e">
        <f t="shared" si="31"/>
        <v>#VALUE!</v>
      </c>
    </row>
    <row r="44" spans="25:25" x14ac:dyDescent="0.25">
      <c r="Y44" s="78"/>
    </row>
    <row r="45" spans="25:25" x14ac:dyDescent="0.25">
      <c r="Y45" s="78"/>
    </row>
    <row r="46" spans="25:25" x14ac:dyDescent="0.25">
      <c r="Y46" s="78"/>
    </row>
    <row r="47" spans="25:25" x14ac:dyDescent="0.25">
      <c r="Y47" s="78"/>
    </row>
    <row r="48" spans="25:25" x14ac:dyDescent="0.25">
      <c r="Y48" s="78"/>
    </row>
    <row r="49" spans="25:25" x14ac:dyDescent="0.25">
      <c r="Y49" s="78"/>
    </row>
    <row r="50" spans="25:25" x14ac:dyDescent="0.25">
      <c r="Y50" s="78"/>
    </row>
    <row r="51" spans="25:25" x14ac:dyDescent="0.25">
      <c r="Y51" s="78"/>
    </row>
    <row r="52" spans="25:25" x14ac:dyDescent="0.25">
      <c r="Y52" s="78"/>
    </row>
    <row r="53" spans="25:25" x14ac:dyDescent="0.25">
      <c r="Y53" s="78"/>
    </row>
    <row r="54" spans="25:25" x14ac:dyDescent="0.25">
      <c r="Y54" s="78"/>
    </row>
    <row r="55" spans="25:25" x14ac:dyDescent="0.25">
      <c r="Y55" s="78"/>
    </row>
    <row r="56" spans="25:25" x14ac:dyDescent="0.25">
      <c r="Y56" s="78"/>
    </row>
    <row r="57" spans="25:25" x14ac:dyDescent="0.25">
      <c r="Y57" s="78"/>
    </row>
    <row r="58" spans="25:25" x14ac:dyDescent="0.25">
      <c r="Y58" s="78"/>
    </row>
    <row r="59" spans="25:25" x14ac:dyDescent="0.25">
      <c r="Y59" s="78"/>
    </row>
    <row r="60" spans="25:25" x14ac:dyDescent="0.25">
      <c r="Y60" s="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EAC3-EF14-4F79-846C-52CBB583E9C1}">
  <sheetPr>
    <tabColor theme="1"/>
    <pageSetUpPr fitToPage="1"/>
  </sheetPr>
  <dimension ref="B2:V63"/>
  <sheetViews>
    <sheetView topLeftCell="A15" zoomScale="64" workbookViewId="0">
      <selection activeCell="B3" sqref="B3:V62"/>
    </sheetView>
  </sheetViews>
  <sheetFormatPr defaultRowHeight="15" outlineLevelCol="1" x14ac:dyDescent="0.25"/>
  <cols>
    <col min="2" max="2" width="45.7109375" bestFit="1" customWidth="1"/>
    <col min="3" max="3" width="14.5703125" bestFit="1" customWidth="1"/>
    <col min="4" max="4" width="17.28515625" bestFit="1" customWidth="1"/>
    <col min="5" max="5" width="17.28515625" bestFit="1" customWidth="1" outlineLevel="1"/>
    <col min="6" max="6" width="16.7109375" bestFit="1" customWidth="1"/>
    <col min="7" max="7" width="17.28515625" bestFit="1" customWidth="1" outlineLevel="1"/>
    <col min="8" max="8" width="17" bestFit="1" customWidth="1"/>
    <col min="9" max="9" width="18.28515625" bestFit="1" customWidth="1" outlineLevel="1"/>
    <col min="10" max="10" width="1.7109375" customWidth="1"/>
    <col min="11" max="11" width="15.28515625" bestFit="1" customWidth="1"/>
  </cols>
  <sheetData>
    <row r="2" spans="2:22" ht="15.75" thickBot="1" x14ac:dyDescent="0.3"/>
    <row r="3" spans="2:22" ht="15.75" thickTop="1" x14ac:dyDescent="0.25">
      <c r="B3" s="58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583"/>
    </row>
    <row r="4" spans="2:22" x14ac:dyDescent="0.25">
      <c r="B4" s="584"/>
      <c r="V4" s="145"/>
    </row>
    <row r="5" spans="2:22" x14ac:dyDescent="0.25">
      <c r="B5" s="584"/>
      <c r="V5" s="145"/>
    </row>
    <row r="6" spans="2:22" x14ac:dyDescent="0.25">
      <c r="B6" s="584"/>
      <c r="V6" s="145"/>
    </row>
    <row r="7" spans="2:22" ht="103.15" customHeight="1" x14ac:dyDescent="0.25">
      <c r="B7" s="584"/>
      <c r="V7" s="145"/>
    </row>
    <row r="8" spans="2:22" x14ac:dyDescent="0.25">
      <c r="B8" s="584"/>
      <c r="V8" s="145"/>
    </row>
    <row r="9" spans="2:22" x14ac:dyDescent="0.25">
      <c r="B9" s="584"/>
      <c r="C9" s="72">
        <v>45382</v>
      </c>
      <c r="D9" s="72">
        <v>45473</v>
      </c>
      <c r="E9" s="585"/>
      <c r="F9" s="72">
        <v>45565</v>
      </c>
      <c r="G9" s="585"/>
      <c r="H9" s="72">
        <v>45657</v>
      </c>
      <c r="I9" s="585"/>
      <c r="V9" s="145"/>
    </row>
    <row r="10" spans="2:22" ht="15.75" x14ac:dyDescent="0.25">
      <c r="B10" s="586"/>
      <c r="C10" s="268" t="s">
        <v>562</v>
      </c>
      <c r="D10" s="268" t="s">
        <v>563</v>
      </c>
      <c r="E10" s="541" t="s">
        <v>206</v>
      </c>
      <c r="F10" s="268" t="s">
        <v>564</v>
      </c>
      <c r="G10" s="541" t="s">
        <v>206</v>
      </c>
      <c r="H10" s="432" t="s">
        <v>565</v>
      </c>
      <c r="I10" s="542" t="s">
        <v>206</v>
      </c>
      <c r="J10" s="269"/>
      <c r="K10" s="543" t="s">
        <v>0</v>
      </c>
      <c r="V10" s="145"/>
    </row>
    <row r="11" spans="2:22" ht="3.6" customHeight="1" x14ac:dyDescent="0.25">
      <c r="B11" s="587"/>
      <c r="C11" s="72" t="str">
        <f>+C10</f>
        <v>Q1 2025</v>
      </c>
      <c r="D11" s="72" t="str">
        <f>+D10</f>
        <v>Q2 2025</v>
      </c>
      <c r="E11" s="544"/>
      <c r="F11" s="72" t="str">
        <f>+F10</f>
        <v>Q3 2025</v>
      </c>
      <c r="G11" s="544"/>
      <c r="H11" s="433" t="str">
        <f>+H10</f>
        <v>Q4 2025</v>
      </c>
      <c r="I11" s="166"/>
      <c r="J11" s="72">
        <v>45322</v>
      </c>
      <c r="K11" s="442"/>
      <c r="V11" s="145"/>
    </row>
    <row r="12" spans="2:22" x14ac:dyDescent="0.25">
      <c r="B12" s="588" t="s">
        <v>227</v>
      </c>
      <c r="C12" s="589">
        <f>SUMIF('Monthly Detail'!$2:$2, 'Quarterly Overview'!C$11, 'Monthly Detail'!11:11)</f>
        <v>0</v>
      </c>
      <c r="D12" s="589">
        <f>SUMIF('Monthly Detail'!$2:$2, 'Quarterly Overview'!D$11, 'Monthly Detail'!11:11)</f>
        <v>90000</v>
      </c>
      <c r="E12" s="545">
        <f>+D12-C12</f>
        <v>90000</v>
      </c>
      <c r="F12" s="589">
        <f>SUMIF('Monthly Detail'!$2:$2, 'Quarterly Overview'!F$11, 'Monthly Detail'!11:11)</f>
        <v>0</v>
      </c>
      <c r="G12" s="545">
        <f>+F12-D12</f>
        <v>-90000</v>
      </c>
      <c r="H12" s="546">
        <f>SUMIF('Monthly Detail'!$2:$2, 'Quarterly Overview'!H$11, 'Monthly Detail'!11:11)</f>
        <v>7533.7164629450408</v>
      </c>
      <c r="I12" s="181">
        <f>+H12-F12</f>
        <v>7533.7164629450408</v>
      </c>
      <c r="J12" s="54"/>
      <c r="K12" s="440">
        <f>SUM(C12,D12,F12,H12)</f>
        <v>97533.716462945042</v>
      </c>
      <c r="V12" s="145"/>
    </row>
    <row r="13" spans="2:22" x14ac:dyDescent="0.25">
      <c r="B13" s="588" t="s">
        <v>355</v>
      </c>
      <c r="C13" s="589">
        <f>SUMIF('Monthly Detail'!$2:$2, 'Quarterly Overview'!C$11, 'Monthly Detail'!12:12)</f>
        <v>91425.3</v>
      </c>
      <c r="D13" s="589">
        <f>SUMIF('Monthly Detail'!$2:$2, 'Quarterly Overview'!D$11, 'Monthly Detail'!12:12)</f>
        <v>15862</v>
      </c>
      <c r="E13" s="545">
        <f>+D13-C13</f>
        <v>-75563.3</v>
      </c>
      <c r="F13" s="589">
        <f>SUMIF('Monthly Detail'!$2:$2, 'Quarterly Overview'!F$11, 'Monthly Detail'!12:12)</f>
        <v>19800</v>
      </c>
      <c r="G13" s="545">
        <f>+F13-D13</f>
        <v>3938</v>
      </c>
      <c r="H13" s="546">
        <f>SUMIF('Monthly Detail'!$2:$2, 'Quarterly Overview'!H$11, 'Monthly Detail'!12:12)</f>
        <v>19800</v>
      </c>
      <c r="I13" s="181">
        <f>+H13-F13</f>
        <v>0</v>
      </c>
      <c r="J13" s="54"/>
      <c r="K13" s="440">
        <f>SUM(C13,D13,F13,H13)</f>
        <v>146887.29999999999</v>
      </c>
      <c r="V13" s="145"/>
    </row>
    <row r="14" spans="2:22" x14ac:dyDescent="0.25">
      <c r="B14" s="588" t="s">
        <v>517</v>
      </c>
      <c r="C14" s="589">
        <f>SUMIF('Monthly Detail'!$2:$2, 'Quarterly Overview'!C$11, 'Monthly Detail'!8:8)</f>
        <v>18851</v>
      </c>
      <c r="D14" s="589">
        <f>SUMIF('Monthly Detail'!$2:$2, 'Quarterly Overview'!D$11, 'Monthly Detail'!8:8)</f>
        <v>0</v>
      </c>
      <c r="E14" s="545">
        <f>+D14-C14</f>
        <v>-18851</v>
      </c>
      <c r="F14" s="589">
        <f>SUMIF('Monthly Detail'!$2:$2, 'Quarterly Overview'!F$11, 'Monthly Detail'!8:8)</f>
        <v>0</v>
      </c>
      <c r="G14" s="545">
        <f>+F14-D14</f>
        <v>0</v>
      </c>
      <c r="H14" s="546">
        <f>SUMIF('Monthly Detail'!$2:$2, 'Quarterly Overview'!H$11, 'Monthly Detail'!8:8)</f>
        <v>0</v>
      </c>
      <c r="I14" s="181">
        <f>+H14-F14</f>
        <v>0</v>
      </c>
      <c r="J14" s="54"/>
      <c r="K14" s="440">
        <f>SUM(C14,D14,F14,H14)</f>
        <v>18851</v>
      </c>
      <c r="V14" s="145"/>
    </row>
    <row r="15" spans="2:22" x14ac:dyDescent="0.25">
      <c r="B15" s="590" t="s">
        <v>289</v>
      </c>
      <c r="C15" s="55">
        <f t="shared" ref="C15:D15" si="0">SUM(C12:C14)</f>
        <v>110276.3</v>
      </c>
      <c r="D15" s="55">
        <f t="shared" si="0"/>
        <v>105862</v>
      </c>
      <c r="E15" s="547">
        <f>+D15-C15</f>
        <v>-4414.3000000000029</v>
      </c>
      <c r="F15" s="55">
        <f>SUM(F12:F14)</f>
        <v>19800</v>
      </c>
      <c r="G15" s="547">
        <f>+F15-D15</f>
        <v>-86062</v>
      </c>
      <c r="H15" s="272">
        <f>SUM(H12:H14)</f>
        <v>27333.716462945042</v>
      </c>
      <c r="I15" s="182">
        <f>+H15-F15</f>
        <v>7533.7164629450417</v>
      </c>
      <c r="J15" s="56"/>
      <c r="K15" s="548">
        <f>SUM(K12:K14)</f>
        <v>263272.01646294503</v>
      </c>
      <c r="V15" s="145"/>
    </row>
    <row r="16" spans="2:22" x14ac:dyDescent="0.25">
      <c r="B16" s="591" t="s">
        <v>493</v>
      </c>
      <c r="C16" s="530">
        <f>SUMIF('Monthly Detail'!$2:$2, 'Quarterly Overview'!C$11, 'Monthly Detail'!13:13)</f>
        <v>2</v>
      </c>
      <c r="D16" s="530">
        <f>SUMIF('Monthly Detail'!$2:$2, 'Quarterly Overview'!D$11, 'Monthly Detail'!13:13)</f>
        <v>0</v>
      </c>
      <c r="E16" s="550">
        <f>+D16-C16</f>
        <v>-2</v>
      </c>
      <c r="F16" s="530">
        <f>SUMIF('Monthly Detail'!$2:$2, 'Quarterly Overview'!F$11, 'Monthly Detail'!13:13)</f>
        <v>1</v>
      </c>
      <c r="G16" s="550">
        <f t="shared" ref="G16:I32" si="1">+F16-D16</f>
        <v>1</v>
      </c>
      <c r="H16" s="531">
        <f>SUMIF('Monthly Detail'!$2:$2, 'Quarterly Overview'!H$11, 'Monthly Detail'!13:13)</f>
        <v>1</v>
      </c>
      <c r="I16" s="550">
        <f t="shared" si="1"/>
        <v>0</v>
      </c>
      <c r="J16" s="56"/>
      <c r="K16" s="551">
        <f>+SUM(C16,D16,F16,H16)</f>
        <v>4</v>
      </c>
      <c r="V16" s="145"/>
    </row>
    <row r="17" spans="2:22" ht="4.9000000000000004" customHeight="1" x14ac:dyDescent="0.25">
      <c r="B17" s="587"/>
      <c r="C17" s="592"/>
      <c r="D17" s="592"/>
      <c r="E17" s="552"/>
      <c r="F17" s="592"/>
      <c r="G17" s="552"/>
      <c r="H17" s="553"/>
      <c r="I17" s="183"/>
      <c r="K17" s="554"/>
      <c r="V17" s="145"/>
    </row>
    <row r="18" spans="2:22" ht="16.899999999999999" customHeight="1" x14ac:dyDescent="0.25">
      <c r="B18" s="587" t="s">
        <v>351</v>
      </c>
      <c r="C18" s="589">
        <f>SUMIF('Monthly Detail'!$2:$2, 'Quarterly Overview'!C$11, 'Monthly Detail'!24:24)</f>
        <v>757.41</v>
      </c>
      <c r="D18" s="589">
        <f>SUMIF('Monthly Detail'!$2:$2, 'Quarterly Overview'!D$11, 'Monthly Detail'!24:24)</f>
        <v>595.5</v>
      </c>
      <c r="E18" s="549">
        <f>+D18-C18</f>
        <v>-161.90999999999997</v>
      </c>
      <c r="F18" s="589">
        <f>SUMIF('Monthly Detail'!$2:$2, 'Quarterly Overview'!F$11, 'Monthly Detail'!24:24)</f>
        <v>0</v>
      </c>
      <c r="G18" s="549">
        <f t="shared" si="1"/>
        <v>-595.5</v>
      </c>
      <c r="H18" s="546">
        <f>SUMIF('Monthly Detail'!$2:$2, 'Quarterly Overview'!H$11, 'Monthly Detail'!24:24)</f>
        <v>2765.4379833580592</v>
      </c>
      <c r="I18" s="183">
        <f t="shared" si="1"/>
        <v>2765.4379833580592</v>
      </c>
      <c r="K18" s="440">
        <f>SUM(C18,D18,F18,H18)</f>
        <v>4118.3479833580586</v>
      </c>
      <c r="V18" s="145"/>
    </row>
    <row r="19" spans="2:22" ht="16.899999999999999" customHeight="1" x14ac:dyDescent="0.25">
      <c r="B19" s="587" t="s">
        <v>352</v>
      </c>
      <c r="C19" s="589">
        <f>SUMIF('Monthly Detail'!$2:$2, 'Quarterly Overview'!C$11, 'Monthly Detail'!25:25)</f>
        <v>0</v>
      </c>
      <c r="D19" s="589">
        <f>SUMIF('Monthly Detail'!$2:$2, 'Quarterly Overview'!D$11, 'Monthly Detail'!25:25)</f>
        <v>63894.879999999997</v>
      </c>
      <c r="E19" s="549">
        <f t="shared" ref="E19:E20" si="2">+D19-C19</f>
        <v>63894.879999999997</v>
      </c>
      <c r="F19" s="589">
        <f>SUMIF('Monthly Detail'!$2:$2, 'Quarterly Overview'!F$11, 'Monthly Detail'!25:25)</f>
        <v>0</v>
      </c>
      <c r="G19" s="549">
        <f t="shared" si="1"/>
        <v>-63894.879999999997</v>
      </c>
      <c r="H19" s="546">
        <f>SUMIF('Monthly Detail'!$2:$2, 'Quarterly Overview'!H$11, 'Monthly Detail'!25:25)</f>
        <v>1754.7918944089658</v>
      </c>
      <c r="I19" s="183">
        <f t="shared" si="1"/>
        <v>1754.7918944089658</v>
      </c>
      <c r="K19" s="440">
        <f>SUM(C19,D19,F19,H19)</f>
        <v>65649.671894408966</v>
      </c>
      <c r="V19" s="145"/>
    </row>
    <row r="20" spans="2:22" ht="16.899999999999999" customHeight="1" x14ac:dyDescent="0.25">
      <c r="B20" s="587" t="s">
        <v>353</v>
      </c>
      <c r="C20" s="589">
        <f>SUMIF('Monthly Detail'!$2:$2, 'Quarterly Overview'!C$11, 'Monthly Detail'!26:26)</f>
        <v>53212.539999999994</v>
      </c>
      <c r="D20" s="589">
        <f>SUMIF('Monthly Detail'!$2:$2, 'Quarterly Overview'!D$11, 'Monthly Detail'!26:26)</f>
        <v>11866.5</v>
      </c>
      <c r="E20" s="549">
        <f t="shared" si="2"/>
        <v>-41346.039999999994</v>
      </c>
      <c r="F20" s="589">
        <f>SUMIF('Monthly Detail'!$2:$2, 'Quarterly Overview'!F$11, 'Monthly Detail'!26:26)</f>
        <v>16929</v>
      </c>
      <c r="G20" s="549">
        <f t="shared" si="1"/>
        <v>5062.5</v>
      </c>
      <c r="H20" s="546">
        <f>SUMIF('Monthly Detail'!$2:$2, 'Quarterly Overview'!H$11, 'Monthly Detail'!26:26)</f>
        <v>16929</v>
      </c>
      <c r="I20" s="183">
        <f t="shared" si="1"/>
        <v>0</v>
      </c>
      <c r="K20" s="440">
        <f>SUM(C20,D20,F20,H20)</f>
        <v>98937.04</v>
      </c>
      <c r="V20" s="145"/>
    </row>
    <row r="21" spans="2:22" ht="15.75" x14ac:dyDescent="0.25">
      <c r="B21" s="593" t="s">
        <v>498</v>
      </c>
      <c r="C21" s="555">
        <f t="shared" ref="C21:I21" si="3">SUM(C18:C20)</f>
        <v>53969.95</v>
      </c>
      <c r="D21" s="555">
        <f t="shared" si="3"/>
        <v>76356.88</v>
      </c>
      <c r="E21" s="556">
        <f t="shared" si="3"/>
        <v>22386.93</v>
      </c>
      <c r="F21" s="555">
        <f t="shared" si="3"/>
        <v>16929</v>
      </c>
      <c r="G21" s="556">
        <f t="shared" si="3"/>
        <v>-59427.88</v>
      </c>
      <c r="H21" s="557">
        <f t="shared" si="3"/>
        <v>21449.229877767026</v>
      </c>
      <c r="I21" s="184">
        <f t="shared" si="3"/>
        <v>4520.2298777670248</v>
      </c>
      <c r="J21" s="275"/>
      <c r="K21" s="558">
        <f>SUM(K18:K20)</f>
        <v>168705.05987776702</v>
      </c>
      <c r="V21" s="145"/>
    </row>
    <row r="22" spans="2:22" ht="4.9000000000000004" customHeight="1" x14ac:dyDescent="0.25">
      <c r="B22" s="594"/>
      <c r="C22" s="592"/>
      <c r="D22" s="592"/>
      <c r="E22" s="559"/>
      <c r="F22" s="592"/>
      <c r="G22" s="559"/>
      <c r="H22" s="553"/>
      <c r="I22" s="180"/>
      <c r="K22" s="554"/>
      <c r="V22" s="145"/>
    </row>
    <row r="23" spans="2:22" ht="15.75" x14ac:dyDescent="0.25">
      <c r="B23" s="595" t="s">
        <v>149</v>
      </c>
      <c r="C23" s="69">
        <f>C15-C21</f>
        <v>56306.350000000006</v>
      </c>
      <c r="D23" s="69">
        <f>D15-D21</f>
        <v>29505.119999999995</v>
      </c>
      <c r="E23" s="560">
        <f>+D23-C23</f>
        <v>-26801.23000000001</v>
      </c>
      <c r="F23" s="69">
        <f>F15-F21</f>
        <v>2871</v>
      </c>
      <c r="G23" s="560">
        <f t="shared" si="1"/>
        <v>-26634.119999999995</v>
      </c>
      <c r="H23" s="741">
        <f>H15-H21</f>
        <v>5884.486585178016</v>
      </c>
      <c r="I23" s="184">
        <f>+H23-F23</f>
        <v>3013.486585178016</v>
      </c>
      <c r="J23" s="275"/>
      <c r="K23" s="561">
        <f>K15-K21</f>
        <v>94566.956585178006</v>
      </c>
      <c r="V23" s="145"/>
    </row>
    <row r="24" spans="2:22" ht="15.75" x14ac:dyDescent="0.25">
      <c r="B24" s="609" t="s">
        <v>150</v>
      </c>
      <c r="C24" s="610">
        <f>C23/C15</f>
        <v>0.51059339132705761</v>
      </c>
      <c r="D24" s="610">
        <f>D23/D15</f>
        <v>0.27871304150686738</v>
      </c>
      <c r="E24" s="611">
        <f>+D24-C24</f>
        <v>-0.23188034982019023</v>
      </c>
      <c r="F24" s="610">
        <f>F23/F15</f>
        <v>0.14499999999999999</v>
      </c>
      <c r="G24" s="611">
        <f>+F24-D24</f>
        <v>-0.13371304150686739</v>
      </c>
      <c r="H24" s="612">
        <f>H23/H15</f>
        <v>0.21528307697035351</v>
      </c>
      <c r="I24" s="611">
        <f>+H24-F24</f>
        <v>7.028307697035352E-2</v>
      </c>
      <c r="J24" s="275"/>
      <c r="K24" s="742"/>
      <c r="V24" s="145"/>
    </row>
    <row r="25" spans="2:22" x14ac:dyDescent="0.25">
      <c r="B25" s="596" t="s">
        <v>373</v>
      </c>
      <c r="C25" s="562">
        <f>IFERROR((C13-C20)/C13, 0)</f>
        <v>0.41796701788235868</v>
      </c>
      <c r="D25" s="562">
        <f>IFERROR((D13-D20)/D13, 0)</f>
        <v>0.25189131257092423</v>
      </c>
      <c r="E25" s="563">
        <f>+D25-C25</f>
        <v>-0.16607570531143445</v>
      </c>
      <c r="F25" s="562">
        <f>IFERROR((F13-F20)/F13, 0)</f>
        <v>0.14499999999999999</v>
      </c>
      <c r="G25" s="563">
        <f>+F25-D25</f>
        <v>-0.10689131257092424</v>
      </c>
      <c r="H25" s="564">
        <f>IFERROR((H13-H20)/H13, 0)</f>
        <v>0.14499999999999999</v>
      </c>
      <c r="I25" s="563">
        <f>+H25-F25</f>
        <v>0</v>
      </c>
      <c r="J25" s="7"/>
      <c r="K25" s="565">
        <f>K23/K15</f>
        <v>0.35919866401178302</v>
      </c>
      <c r="V25" s="145"/>
    </row>
    <row r="26" spans="2:22" ht="5.45" customHeight="1" x14ac:dyDescent="0.25">
      <c r="B26" s="587"/>
      <c r="C26" s="597"/>
      <c r="D26" s="597"/>
      <c r="E26" s="566"/>
      <c r="F26" s="597"/>
      <c r="G26" s="566"/>
      <c r="H26" s="567"/>
      <c r="I26" s="186"/>
      <c r="K26" s="442"/>
      <c r="V26" s="145"/>
    </row>
    <row r="27" spans="2:22" x14ac:dyDescent="0.25">
      <c r="B27" s="587" t="s">
        <v>499</v>
      </c>
      <c r="C27" s="589">
        <f>SUMIF('Monthly Detail'!$2:$2, 'Quarterly Overview'!C$11, 'Monthly Detail'!42:42)</f>
        <v>660.39</v>
      </c>
      <c r="D27" s="589">
        <f>SUMIF('Monthly Detail'!$2:$2, 'Quarterly Overview'!D$11, 'Monthly Detail'!42:42)</f>
        <v>0</v>
      </c>
      <c r="E27" s="568">
        <f>+D27-C27</f>
        <v>-660.39</v>
      </c>
      <c r="F27" s="589">
        <f>SUMIF('Monthly Detail'!$2:$2, 'Quarterly Overview'!F$11, 'Monthly Detail'!42:42)</f>
        <v>1800</v>
      </c>
      <c r="G27" s="568">
        <f t="shared" si="1"/>
        <v>1800</v>
      </c>
      <c r="H27" s="546">
        <f>SUMIF('Monthly Detail'!$2:$2, 'Quarterly Overview'!H$11, 'Monthly Detail'!42:42)</f>
        <v>1800</v>
      </c>
      <c r="I27" s="187">
        <f>+H27-F27</f>
        <v>0</v>
      </c>
      <c r="K27" s="440">
        <f>SUM(C27,D27,F27,H27)</f>
        <v>4260.3899999999994</v>
      </c>
      <c r="O27" s="1"/>
      <c r="V27" s="145"/>
    </row>
    <row r="28" spans="2:22" x14ac:dyDescent="0.25">
      <c r="B28" s="587" t="s">
        <v>186</v>
      </c>
      <c r="C28" s="589">
        <f>SUMIF('Monthly Detail'!$2:$2, 'Quarterly Overview'!C$11, 'Monthly Detail'!78:78)</f>
        <v>49679.12</v>
      </c>
      <c r="D28" s="589">
        <f>SUMIF('Monthly Detail'!$2:$2, 'Quarterly Overview'!D$11, 'Monthly Detail'!78:78)</f>
        <v>25028.499999999993</v>
      </c>
      <c r="E28" s="568">
        <f>+D28-C28</f>
        <v>-24650.62000000001</v>
      </c>
      <c r="F28" s="589">
        <f>SUMIF('Monthly Detail'!$2:$2, 'Quarterly Overview'!F$11, 'Monthly Detail'!78:78)</f>
        <v>25876.700000000004</v>
      </c>
      <c r="G28" s="568">
        <f t="shared" si="1"/>
        <v>848.20000000001164</v>
      </c>
      <c r="H28" s="546">
        <f>SUMIF('Monthly Detail'!$2:$2, 'Quarterly Overview'!H$11, 'Monthly Detail'!78:78)</f>
        <v>27183.090000000004</v>
      </c>
      <c r="I28" s="187">
        <f>+H28-F28</f>
        <v>1306.3899999999994</v>
      </c>
      <c r="K28" s="440">
        <f>SUM(C28,D28,F28,H28)</f>
        <v>127767.41</v>
      </c>
      <c r="O28" s="1"/>
      <c r="V28" s="145"/>
    </row>
    <row r="29" spans="2:22" x14ac:dyDescent="0.25">
      <c r="B29" s="598" t="s">
        <v>151</v>
      </c>
      <c r="C29" s="513">
        <f>SUM(C27:C28)</f>
        <v>50339.51</v>
      </c>
      <c r="D29" s="513">
        <f>SUM(D27:D28)</f>
        <v>25028.499999999993</v>
      </c>
      <c r="E29" s="556">
        <f t="shared" ref="E29" si="4">SUM(E28:E28)</f>
        <v>-24650.62000000001</v>
      </c>
      <c r="F29" s="513">
        <f>SUM(F27:F28)</f>
        <v>27676.700000000004</v>
      </c>
      <c r="G29" s="556">
        <f t="shared" si="1"/>
        <v>2648.2000000000116</v>
      </c>
      <c r="H29" s="514">
        <f>SUM(H27:H28)</f>
        <v>28983.090000000004</v>
      </c>
      <c r="I29" s="188">
        <f>+H29-F29</f>
        <v>1306.3899999999994</v>
      </c>
      <c r="J29" s="277"/>
      <c r="K29" s="569">
        <f>SUM(K27:K28)</f>
        <v>132027.79999999999</v>
      </c>
      <c r="V29" s="145"/>
    </row>
    <row r="30" spans="2:22" ht="1.9" customHeight="1" x14ac:dyDescent="0.25">
      <c r="B30" s="587"/>
      <c r="C30" s="597"/>
      <c r="D30" s="597"/>
      <c r="E30" s="566"/>
      <c r="F30" s="597"/>
      <c r="G30" s="566"/>
      <c r="H30" s="567"/>
      <c r="I30" s="186"/>
      <c r="K30" s="442"/>
      <c r="V30" s="145"/>
    </row>
    <row r="31" spans="2:22" ht="15.75" x14ac:dyDescent="0.25">
      <c r="B31" s="595" t="s">
        <v>152</v>
      </c>
      <c r="C31" s="69">
        <f>C23-C29</f>
        <v>5966.8400000000038</v>
      </c>
      <c r="D31" s="69">
        <f>D23-D29</f>
        <v>4476.6200000000026</v>
      </c>
      <c r="E31" s="560">
        <f>+D31-C31</f>
        <v>-1490.2200000000012</v>
      </c>
      <c r="F31" s="69">
        <f>F23-F29</f>
        <v>-24805.700000000004</v>
      </c>
      <c r="G31" s="560">
        <f t="shared" si="1"/>
        <v>-29282.320000000007</v>
      </c>
      <c r="H31" s="223">
        <f>H23-H29</f>
        <v>-23098.603414821988</v>
      </c>
      <c r="I31" s="184">
        <f>+H31-F31</f>
        <v>1707.0965851780165</v>
      </c>
      <c r="J31" s="275"/>
      <c r="K31" s="561">
        <f>K23-K29</f>
        <v>-37460.843414821982</v>
      </c>
      <c r="V31" s="145"/>
    </row>
    <row r="32" spans="2:22" x14ac:dyDescent="0.25">
      <c r="B32" s="596" t="s">
        <v>153</v>
      </c>
      <c r="C32" s="562">
        <f>C31/C15</f>
        <v>5.4108090314963449E-2</v>
      </c>
      <c r="D32" s="562">
        <f>D31/D15</f>
        <v>4.2287317451021163E-2</v>
      </c>
      <c r="E32" s="563">
        <f>+D32-C32</f>
        <v>-1.1820772863942286E-2</v>
      </c>
      <c r="F32" s="562">
        <f>F31/F15</f>
        <v>-1.2528131313131314</v>
      </c>
      <c r="G32" s="563">
        <f t="shared" si="1"/>
        <v>-1.2951004487641526</v>
      </c>
      <c r="H32" s="564">
        <f>H31/H15</f>
        <v>-0.84505901150089169</v>
      </c>
      <c r="I32" s="185">
        <f>+H32-F32</f>
        <v>0.40775411981223975</v>
      </c>
      <c r="J32" s="7"/>
      <c r="K32" s="565">
        <f>K31/K15</f>
        <v>-0.14228949934789031</v>
      </c>
      <c r="V32" s="145"/>
    </row>
    <row r="33" spans="2:22" ht="4.1500000000000004" customHeight="1" x14ac:dyDescent="0.25">
      <c r="B33" s="599"/>
      <c r="C33" s="600"/>
      <c r="D33" s="600"/>
      <c r="E33" s="570"/>
      <c r="F33" s="600"/>
      <c r="G33" s="570"/>
      <c r="H33" s="571"/>
      <c r="I33" s="189"/>
      <c r="K33" s="572"/>
      <c r="V33" s="145"/>
    </row>
    <row r="34" spans="2:22" x14ac:dyDescent="0.25">
      <c r="B34" s="587" t="s">
        <v>154</v>
      </c>
      <c r="C34" s="139">
        <f>SUMIF('Monthly Detail'!$2:$2, 'Quarterly Overview'!C$11, 'Monthly Detail'!91:91)</f>
        <v>0.19</v>
      </c>
      <c r="D34" s="139">
        <f>SUMIF('Monthly Detail'!$2:$2, 'Quarterly Overview'!D$11, 'Monthly Detail'!91:91)</f>
        <v>0</v>
      </c>
      <c r="E34" s="573">
        <f>+D34-C34</f>
        <v>-0.19</v>
      </c>
      <c r="F34" s="139">
        <f>SUMIF('Monthly Detail'!$2:$2, 'Quarterly Overview'!F$11, 'Monthly Detail'!91:91)</f>
        <v>0</v>
      </c>
      <c r="G34" s="573">
        <f>+F34-D34</f>
        <v>0</v>
      </c>
      <c r="H34" s="574">
        <f>SUMIF('Monthly Detail'!$2:$2, 'Quarterly Overview'!H$11, 'Monthly Detail'!91:91)</f>
        <v>0</v>
      </c>
      <c r="I34" s="190">
        <f>+H34-F34</f>
        <v>0</v>
      </c>
      <c r="J34" s="108"/>
      <c r="K34" s="575">
        <f>SUM(C34,D34,F34,H34)</f>
        <v>0.19</v>
      </c>
      <c r="V34" s="145"/>
    </row>
    <row r="35" spans="2:22" ht="15.75" x14ac:dyDescent="0.25">
      <c r="B35" s="595" t="s">
        <v>12</v>
      </c>
      <c r="C35" s="69">
        <f>C31+SUM(C34:C34)</f>
        <v>5967.0300000000034</v>
      </c>
      <c r="D35" s="69">
        <f>D31+SUM(D34:D34)</f>
        <v>4476.6200000000026</v>
      </c>
      <c r="E35" s="560">
        <f>+D35-C35</f>
        <v>-1490.4100000000008</v>
      </c>
      <c r="F35" s="69">
        <f>F31+SUM(F34:F34)</f>
        <v>-24805.700000000004</v>
      </c>
      <c r="G35" s="560">
        <f>+F35-D35</f>
        <v>-29282.320000000007</v>
      </c>
      <c r="H35" s="223">
        <f>H31+SUM(H34:H34)</f>
        <v>-23098.603414821988</v>
      </c>
      <c r="I35" s="184">
        <f>+H35-F35</f>
        <v>1707.0965851780165</v>
      </c>
      <c r="J35" s="275"/>
      <c r="K35" s="561">
        <f>K31+SUM(K34:K34)</f>
        <v>-37460.65341482198</v>
      </c>
      <c r="L35" s="196"/>
      <c r="V35" s="145"/>
    </row>
    <row r="36" spans="2:22" x14ac:dyDescent="0.25">
      <c r="B36" s="596" t="s">
        <v>155</v>
      </c>
      <c r="C36" s="504">
        <f>C35/C15</f>
        <v>5.4109813259966132E-2</v>
      </c>
      <c r="D36" s="504">
        <f>D35/D15</f>
        <v>4.2287317451021163E-2</v>
      </c>
      <c r="E36" s="576">
        <f>+D36-C36</f>
        <v>-1.1822495808944969E-2</v>
      </c>
      <c r="F36" s="504">
        <f>F35/F15</f>
        <v>-1.2528131313131314</v>
      </c>
      <c r="G36" s="576">
        <f>+F36-D36</f>
        <v>-1.2951004487641526</v>
      </c>
      <c r="H36" s="505">
        <f>H35/H15</f>
        <v>-0.84505901150089169</v>
      </c>
      <c r="I36" s="191">
        <f>+H36-F36</f>
        <v>0.40775411981223975</v>
      </c>
      <c r="J36" s="7"/>
      <c r="K36" s="565">
        <f>K35/K15</f>
        <v>-0.14228877766085893</v>
      </c>
      <c r="L36" s="196"/>
      <c r="V36" s="145"/>
    </row>
    <row r="37" spans="2:22" ht="2.25" customHeight="1" thickBot="1" x14ac:dyDescent="0.3">
      <c r="B37" s="587"/>
      <c r="E37" s="577"/>
      <c r="G37" s="577"/>
      <c r="H37" s="154"/>
      <c r="I37" s="192"/>
      <c r="K37" s="442"/>
      <c r="V37" s="145"/>
    </row>
    <row r="38" spans="2:22" x14ac:dyDescent="0.25">
      <c r="B38" s="601" t="s">
        <v>156</v>
      </c>
      <c r="C38" s="579">
        <f>+'Monthly Detail'!AD195</f>
        <v>152555.54</v>
      </c>
      <c r="D38" s="579">
        <f>+'Monthly Detail'!AG195</f>
        <v>44539.60000000002</v>
      </c>
      <c r="E38" s="580"/>
      <c r="F38" s="581">
        <f>+'Monthly Detail'!AJ195</f>
        <v>33266.220000000023</v>
      </c>
      <c r="G38" s="580"/>
      <c r="H38" s="581">
        <f>+'Monthly Detail'!AM195</f>
        <v>39586.590000000018</v>
      </c>
      <c r="I38" s="176"/>
      <c r="K38" s="442"/>
      <c r="V38" s="145"/>
    </row>
    <row r="39" spans="2:22" x14ac:dyDescent="0.25">
      <c r="B39" s="602" t="s">
        <v>157</v>
      </c>
      <c r="C39" s="283">
        <f>SUMIF('Monthly Detail'!$2:$2, 'Quarterly Overview'!C$10, 'Monthly Detail'!192:192)</f>
        <v>-5091.3799999999865</v>
      </c>
      <c r="D39" s="283">
        <f>SUMIF('Monthly Detail'!$2:$2, 'Quarterly Overview'!D$10, 'Monthly Detail'!192:192)</f>
        <v>58202.700000000019</v>
      </c>
      <c r="E39" s="613">
        <f>+D39-C39</f>
        <v>63294.080000000002</v>
      </c>
      <c r="F39" s="282">
        <f>SUMIF('Monthly Detail'!$2:$2, 'Quarterly Overview'!F$10, 'Monthly Detail'!192:192)</f>
        <v>-83404.259053853879</v>
      </c>
      <c r="G39" s="613">
        <f>+F39-D39</f>
        <v>-141606.95905385391</v>
      </c>
      <c r="H39" s="282">
        <f>SUMIF('Monthly Detail'!$2:$2, 'Quarterly Overview'!H$10, 'Monthly Detail'!192:192)</f>
        <v>228574.36676859725</v>
      </c>
      <c r="I39" s="578">
        <f>+H39-F39</f>
        <v>311978.62582245114</v>
      </c>
      <c r="J39" s="248"/>
      <c r="K39" s="608"/>
      <c r="V39" s="145"/>
    </row>
    <row r="40" spans="2:22" x14ac:dyDescent="0.25">
      <c r="B40" s="584"/>
      <c r="V40" s="145"/>
    </row>
    <row r="41" spans="2:22" x14ac:dyDescent="0.25">
      <c r="B41" s="584"/>
      <c r="V41" s="145"/>
    </row>
    <row r="42" spans="2:22" x14ac:dyDescent="0.25">
      <c r="B42" s="584"/>
      <c r="V42" s="145"/>
    </row>
    <row r="43" spans="2:22" x14ac:dyDescent="0.25">
      <c r="B43" s="605"/>
      <c r="C43" s="585" t="s">
        <v>500</v>
      </c>
      <c r="D43" s="585" t="s">
        <v>501</v>
      </c>
      <c r="E43" s="585"/>
      <c r="F43" s="585" t="s">
        <v>502</v>
      </c>
      <c r="G43" s="585"/>
      <c r="H43" s="585" t="s">
        <v>503</v>
      </c>
      <c r="V43" s="145"/>
    </row>
    <row r="44" spans="2:22" x14ac:dyDescent="0.25">
      <c r="B44" s="605" t="s">
        <v>504</v>
      </c>
      <c r="C44" s="606"/>
      <c r="D44" s="606"/>
      <c r="E44" s="606"/>
      <c r="F44" s="606"/>
      <c r="G44" s="606"/>
      <c r="H44" s="606"/>
      <c r="V44" s="145"/>
    </row>
    <row r="45" spans="2:22" x14ac:dyDescent="0.25">
      <c r="B45" s="605" t="s">
        <v>505</v>
      </c>
      <c r="C45" s="606"/>
      <c r="D45" s="606"/>
      <c r="E45" s="606"/>
      <c r="F45" s="606"/>
      <c r="G45" s="606"/>
      <c r="H45" s="606"/>
      <c r="V45" s="145"/>
    </row>
    <row r="46" spans="2:22" x14ac:dyDescent="0.25">
      <c r="B46" s="605" t="s">
        <v>506</v>
      </c>
      <c r="C46" s="607"/>
      <c r="D46" s="607"/>
      <c r="E46" s="607"/>
      <c r="F46" s="607"/>
      <c r="G46" s="607"/>
      <c r="H46" s="607"/>
      <c r="V46" s="145"/>
    </row>
    <row r="47" spans="2:22" x14ac:dyDescent="0.25">
      <c r="B47" s="605" t="s">
        <v>507</v>
      </c>
      <c r="C47" s="607"/>
      <c r="D47" s="607"/>
      <c r="E47" s="607"/>
      <c r="F47" s="607"/>
      <c r="G47" s="607"/>
      <c r="H47" s="607"/>
      <c r="V47" s="145"/>
    </row>
    <row r="48" spans="2:22" x14ac:dyDescent="0.25">
      <c r="B48" s="605" t="s">
        <v>508</v>
      </c>
      <c r="C48" s="607"/>
      <c r="D48" s="607"/>
      <c r="E48" s="607"/>
      <c r="F48" s="607"/>
      <c r="G48" s="607"/>
      <c r="H48" s="607"/>
      <c r="V48" s="145"/>
    </row>
    <row r="49" spans="2:22" x14ac:dyDescent="0.25">
      <c r="B49" s="584"/>
      <c r="V49" s="145"/>
    </row>
    <row r="50" spans="2:22" x14ac:dyDescent="0.25">
      <c r="B50" s="584"/>
      <c r="V50" s="145"/>
    </row>
    <row r="51" spans="2:22" x14ac:dyDescent="0.25">
      <c r="B51" s="584"/>
      <c r="V51" s="145"/>
    </row>
    <row r="52" spans="2:22" x14ac:dyDescent="0.25">
      <c r="B52" s="584"/>
      <c r="V52" s="145"/>
    </row>
    <row r="53" spans="2:22" x14ac:dyDescent="0.25">
      <c r="B53" s="584"/>
      <c r="V53" s="145"/>
    </row>
    <row r="54" spans="2:22" x14ac:dyDescent="0.25">
      <c r="B54" s="584"/>
      <c r="V54" s="145"/>
    </row>
    <row r="55" spans="2:22" x14ac:dyDescent="0.25">
      <c r="B55" s="584"/>
      <c r="V55" s="145"/>
    </row>
    <row r="56" spans="2:22" x14ac:dyDescent="0.25">
      <c r="B56" s="584"/>
      <c r="V56" s="145"/>
    </row>
    <row r="57" spans="2:22" x14ac:dyDescent="0.25">
      <c r="B57" s="584"/>
      <c r="V57" s="145"/>
    </row>
    <row r="58" spans="2:22" x14ac:dyDescent="0.25">
      <c r="B58" s="584"/>
      <c r="V58" s="145"/>
    </row>
    <row r="59" spans="2:22" x14ac:dyDescent="0.25">
      <c r="B59" s="584"/>
      <c r="V59" s="145"/>
    </row>
    <row r="60" spans="2:22" x14ac:dyDescent="0.25">
      <c r="B60" s="584"/>
      <c r="V60" s="145"/>
    </row>
    <row r="61" spans="2:22" x14ac:dyDescent="0.25">
      <c r="B61" s="584"/>
      <c r="V61" s="145"/>
    </row>
    <row r="62" spans="2:22" ht="15.75" thickBot="1" x14ac:dyDescent="0.3">
      <c r="B62" s="603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604"/>
    </row>
    <row r="63" spans="2:22" ht="15.75" thickTop="1" x14ac:dyDescent="0.25"/>
  </sheetData>
  <pageMargins left="0.25" right="0.25" top="0.75" bottom="0.75" header="0.3" footer="0.3"/>
  <pageSetup scale="46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97"/>
  <sheetViews>
    <sheetView topLeftCell="B1" workbookViewId="0">
      <pane xSplit="1" ySplit="3" topLeftCell="AO183" activePane="bottomRight" state="frozen"/>
      <selection activeCell="B1" sqref="B1"/>
      <selection pane="topRight" activeCell="C1" sqref="C1"/>
      <selection pane="bottomLeft" activeCell="B4" sqref="B4"/>
      <selection pane="bottomRight" activeCell="AX107" sqref="AX107"/>
    </sheetView>
  </sheetViews>
  <sheetFormatPr defaultRowHeight="15" outlineLevelCol="1" x14ac:dyDescent="0.25"/>
  <cols>
    <col min="1" max="1" width="0" hidden="1" customWidth="1" outlineLevel="1"/>
    <col min="2" max="2" width="48.28515625" bestFit="1" customWidth="1" collapsed="1"/>
    <col min="3" max="3" width="20.140625" bestFit="1" customWidth="1"/>
    <col min="4" max="9" width="10.5703125" hidden="1" customWidth="1" outlineLevel="1"/>
    <col min="10" max="10" width="10.5703125" hidden="1" customWidth="1" outlineLevel="1" collapsed="1"/>
    <col min="11" max="11" width="10.5703125" hidden="1" customWidth="1" outlineLevel="1"/>
    <col min="12" max="15" width="12.85546875" hidden="1" customWidth="1" outlineLevel="1"/>
    <col min="16" max="16" width="12.85546875" hidden="1" customWidth="1" outlineLevel="1" collapsed="1"/>
    <col min="17" max="20" width="12.85546875" hidden="1" customWidth="1" outlineLevel="1"/>
    <col min="21" max="25" width="13.28515625" hidden="1" customWidth="1" outlineLevel="1"/>
    <col min="26" max="26" width="14" hidden="1" customWidth="1" outlineLevel="1"/>
    <col min="27" max="27" width="14.28515625" hidden="1" customWidth="1" outlineLevel="1"/>
    <col min="28" max="28" width="13.85546875" hidden="1" customWidth="1" outlineLevel="1" collapsed="1"/>
    <col min="29" max="29" width="13.28515625" hidden="1" customWidth="1" outlineLevel="1"/>
    <col min="30" max="30" width="14.28515625" hidden="1" customWidth="1" outlineLevel="1"/>
    <col min="31" max="32" width="13.28515625" hidden="1" customWidth="1" outlineLevel="1"/>
    <col min="33" max="36" width="12.5703125" hidden="1" customWidth="1" outlineLevel="1"/>
    <col min="37" max="39" width="14.28515625" hidden="1" customWidth="1" outlineLevel="1"/>
    <col min="40" max="40" width="14.28515625" bestFit="1" customWidth="1" collapsed="1"/>
    <col min="41" max="43" width="14.28515625" bestFit="1" customWidth="1"/>
    <col min="44" max="93" width="14.42578125" bestFit="1" customWidth="1"/>
    <col min="94" max="111" width="15.28515625" bestFit="1" customWidth="1"/>
    <col min="112" max="113" width="5.140625" bestFit="1" customWidth="1"/>
    <col min="114" max="114" width="8.5703125" bestFit="1" customWidth="1"/>
  </cols>
  <sheetData>
    <row r="1" spans="1:114" x14ac:dyDescent="0.25">
      <c r="A1" s="15"/>
      <c r="B1" s="15"/>
      <c r="C1" s="15"/>
      <c r="D1" s="16">
        <f t="shared" ref="D1" si="0">YEAR(D3)</f>
        <v>2022</v>
      </c>
      <c r="E1" s="16">
        <f t="shared" ref="E1:O1" si="1">YEAR(E3)</f>
        <v>2022</v>
      </c>
      <c r="F1" s="16">
        <f t="shared" si="1"/>
        <v>2022</v>
      </c>
      <c r="G1" s="16">
        <f t="shared" si="1"/>
        <v>2022</v>
      </c>
      <c r="H1" s="16">
        <f t="shared" si="1"/>
        <v>2022</v>
      </c>
      <c r="I1" s="16">
        <f t="shared" si="1"/>
        <v>2022</v>
      </c>
      <c r="J1" s="16">
        <f t="shared" si="1"/>
        <v>2022</v>
      </c>
      <c r="K1" s="16">
        <f t="shared" si="1"/>
        <v>2022</v>
      </c>
      <c r="L1" s="16">
        <f t="shared" si="1"/>
        <v>2022</v>
      </c>
      <c r="M1" s="16">
        <f t="shared" si="1"/>
        <v>2022</v>
      </c>
      <c r="N1" s="16">
        <f t="shared" si="1"/>
        <v>2022</v>
      </c>
      <c r="O1" s="16">
        <f t="shared" si="1"/>
        <v>2022</v>
      </c>
      <c r="P1" s="16">
        <f t="shared" ref="P1:AI1" si="2">YEAR(P3)</f>
        <v>2023</v>
      </c>
      <c r="Q1" s="16">
        <f t="shared" si="2"/>
        <v>2023</v>
      </c>
      <c r="R1" s="16">
        <f t="shared" si="2"/>
        <v>2023</v>
      </c>
      <c r="S1" s="16">
        <f t="shared" si="2"/>
        <v>2023</v>
      </c>
      <c r="T1" s="16">
        <f t="shared" si="2"/>
        <v>2023</v>
      </c>
      <c r="U1" s="16">
        <f t="shared" si="2"/>
        <v>2023</v>
      </c>
      <c r="V1" s="16">
        <f t="shared" si="2"/>
        <v>2023</v>
      </c>
      <c r="W1" s="16">
        <f t="shared" si="2"/>
        <v>2023</v>
      </c>
      <c r="X1" s="16">
        <f t="shared" si="2"/>
        <v>2023</v>
      </c>
      <c r="Y1" s="16">
        <f t="shared" si="2"/>
        <v>2023</v>
      </c>
      <c r="Z1" s="16">
        <f t="shared" si="2"/>
        <v>2023</v>
      </c>
      <c r="AA1" s="16">
        <f t="shared" si="2"/>
        <v>2023</v>
      </c>
      <c r="AB1" s="16">
        <f t="shared" si="2"/>
        <v>2024</v>
      </c>
      <c r="AC1" s="16">
        <f t="shared" si="2"/>
        <v>2024</v>
      </c>
      <c r="AD1" s="16">
        <f t="shared" si="2"/>
        <v>2024</v>
      </c>
      <c r="AE1" s="151">
        <f t="shared" si="2"/>
        <v>2024</v>
      </c>
      <c r="AF1" s="16">
        <f t="shared" si="2"/>
        <v>2024</v>
      </c>
      <c r="AG1" s="16">
        <f t="shared" si="2"/>
        <v>2024</v>
      </c>
      <c r="AH1" s="16">
        <f t="shared" si="2"/>
        <v>2024</v>
      </c>
      <c r="AI1" s="16">
        <f t="shared" si="2"/>
        <v>2024</v>
      </c>
      <c r="AJ1" s="16">
        <f t="shared" ref="AJ1:BO1" si="3">YEAR(AJ3)</f>
        <v>2024</v>
      </c>
      <c r="AK1" s="16">
        <f t="shared" si="3"/>
        <v>2024</v>
      </c>
      <c r="AL1" s="16">
        <f t="shared" si="3"/>
        <v>2024</v>
      </c>
      <c r="AM1" s="16">
        <f t="shared" si="3"/>
        <v>2024</v>
      </c>
      <c r="AN1" s="16">
        <f t="shared" si="3"/>
        <v>2025</v>
      </c>
      <c r="AO1" s="16">
        <f t="shared" si="3"/>
        <v>2025</v>
      </c>
      <c r="AP1" s="16">
        <f t="shared" si="3"/>
        <v>2025</v>
      </c>
      <c r="AQ1" s="16">
        <f t="shared" si="3"/>
        <v>2025</v>
      </c>
      <c r="AR1" s="16">
        <f t="shared" si="3"/>
        <v>2025</v>
      </c>
      <c r="AS1" s="151">
        <f t="shared" si="3"/>
        <v>2025</v>
      </c>
      <c r="AT1" s="16">
        <f t="shared" si="3"/>
        <v>2025</v>
      </c>
      <c r="AU1" s="16">
        <f t="shared" si="3"/>
        <v>2025</v>
      </c>
      <c r="AV1" s="16">
        <f t="shared" si="3"/>
        <v>2025</v>
      </c>
      <c r="AW1" s="16">
        <f t="shared" si="3"/>
        <v>2025</v>
      </c>
      <c r="AX1" s="16">
        <f t="shared" si="3"/>
        <v>2025</v>
      </c>
      <c r="AY1" s="151">
        <f t="shared" si="3"/>
        <v>2025</v>
      </c>
      <c r="AZ1" s="16">
        <f t="shared" si="3"/>
        <v>2026</v>
      </c>
      <c r="BA1" s="16">
        <f t="shared" si="3"/>
        <v>2026</v>
      </c>
      <c r="BB1" s="16">
        <f t="shared" si="3"/>
        <v>2026</v>
      </c>
      <c r="BC1" s="16">
        <f t="shared" si="3"/>
        <v>2026</v>
      </c>
      <c r="BD1" s="16">
        <f t="shared" si="3"/>
        <v>2026</v>
      </c>
      <c r="BE1" s="16">
        <f t="shared" si="3"/>
        <v>2026</v>
      </c>
      <c r="BF1" s="16">
        <f t="shared" si="3"/>
        <v>2026</v>
      </c>
      <c r="BG1" s="16">
        <f t="shared" si="3"/>
        <v>2026</v>
      </c>
      <c r="BH1" s="16">
        <f t="shared" si="3"/>
        <v>2026</v>
      </c>
      <c r="BI1" s="16">
        <f t="shared" si="3"/>
        <v>2026</v>
      </c>
      <c r="BJ1" s="16">
        <f t="shared" si="3"/>
        <v>2026</v>
      </c>
      <c r="BK1" s="151">
        <f t="shared" si="3"/>
        <v>2026</v>
      </c>
      <c r="BL1" s="16">
        <f t="shared" si="3"/>
        <v>2027</v>
      </c>
      <c r="BM1" s="16">
        <f t="shared" si="3"/>
        <v>2027</v>
      </c>
      <c r="BN1" s="16">
        <f t="shared" si="3"/>
        <v>2027</v>
      </c>
      <c r="BO1" s="16">
        <f t="shared" si="3"/>
        <v>2027</v>
      </c>
      <c r="BP1" s="16">
        <f t="shared" ref="BP1:CU1" si="4">YEAR(BP3)</f>
        <v>2027</v>
      </c>
      <c r="BQ1" s="16">
        <f t="shared" si="4"/>
        <v>2027</v>
      </c>
      <c r="BR1" s="16">
        <f t="shared" si="4"/>
        <v>2027</v>
      </c>
      <c r="BS1" s="16">
        <f t="shared" si="4"/>
        <v>2027</v>
      </c>
      <c r="BT1" s="16">
        <f t="shared" si="4"/>
        <v>2027</v>
      </c>
      <c r="BU1" s="16">
        <f t="shared" si="4"/>
        <v>2027</v>
      </c>
      <c r="BV1" s="16">
        <f t="shared" si="4"/>
        <v>2027</v>
      </c>
      <c r="BW1" s="151">
        <f t="shared" si="4"/>
        <v>2027</v>
      </c>
      <c r="BX1" s="16">
        <f t="shared" si="4"/>
        <v>2028</v>
      </c>
      <c r="BY1" s="16">
        <f t="shared" si="4"/>
        <v>2028</v>
      </c>
      <c r="BZ1" s="16">
        <f t="shared" si="4"/>
        <v>2028</v>
      </c>
      <c r="CA1" s="16">
        <f t="shared" si="4"/>
        <v>2028</v>
      </c>
      <c r="CB1" s="16">
        <f t="shared" si="4"/>
        <v>2028</v>
      </c>
      <c r="CC1" s="16">
        <f t="shared" si="4"/>
        <v>2028</v>
      </c>
      <c r="CD1" s="16">
        <f t="shared" si="4"/>
        <v>2028</v>
      </c>
      <c r="CE1" s="16">
        <f t="shared" si="4"/>
        <v>2028</v>
      </c>
      <c r="CF1" s="16">
        <f t="shared" si="4"/>
        <v>2028</v>
      </c>
      <c r="CG1" s="16">
        <f t="shared" si="4"/>
        <v>2028</v>
      </c>
      <c r="CH1" s="16">
        <f t="shared" si="4"/>
        <v>2028</v>
      </c>
      <c r="CI1" s="151">
        <f t="shared" si="4"/>
        <v>2028</v>
      </c>
      <c r="CJ1" s="16">
        <f t="shared" si="4"/>
        <v>2029</v>
      </c>
      <c r="CK1" s="16">
        <f t="shared" si="4"/>
        <v>2029</v>
      </c>
      <c r="CL1" s="16">
        <f t="shared" si="4"/>
        <v>2029</v>
      </c>
      <c r="CM1" s="16">
        <f t="shared" si="4"/>
        <v>2029</v>
      </c>
      <c r="CN1" s="16">
        <f t="shared" si="4"/>
        <v>2029</v>
      </c>
      <c r="CO1" s="16">
        <f t="shared" si="4"/>
        <v>2029</v>
      </c>
      <c r="CP1" s="16">
        <f t="shared" si="4"/>
        <v>2029</v>
      </c>
      <c r="CQ1" s="16">
        <f t="shared" si="4"/>
        <v>2029</v>
      </c>
      <c r="CR1" s="16">
        <f t="shared" si="4"/>
        <v>2029</v>
      </c>
      <c r="CS1" s="16">
        <f t="shared" si="4"/>
        <v>2029</v>
      </c>
      <c r="CT1" s="16">
        <f t="shared" si="4"/>
        <v>2029</v>
      </c>
      <c r="CU1" s="151">
        <f t="shared" si="4"/>
        <v>2029</v>
      </c>
      <c r="CV1" s="16">
        <f t="shared" ref="CV1:DG1" si="5">YEAR(CV3)</f>
        <v>2030</v>
      </c>
      <c r="CW1" s="16">
        <f t="shared" si="5"/>
        <v>2030</v>
      </c>
      <c r="CX1" s="16">
        <f t="shared" si="5"/>
        <v>2030</v>
      </c>
      <c r="CY1" s="16">
        <f t="shared" si="5"/>
        <v>2030</v>
      </c>
      <c r="CZ1" s="16">
        <f t="shared" si="5"/>
        <v>2030</v>
      </c>
      <c r="DA1" s="16">
        <f t="shared" si="5"/>
        <v>2030</v>
      </c>
      <c r="DB1" s="16">
        <f t="shared" si="5"/>
        <v>2030</v>
      </c>
      <c r="DC1" s="16">
        <f t="shared" si="5"/>
        <v>2030</v>
      </c>
      <c r="DD1" s="16">
        <f t="shared" si="5"/>
        <v>2030</v>
      </c>
      <c r="DE1" s="16">
        <f t="shared" si="5"/>
        <v>2030</v>
      </c>
      <c r="DF1" s="16">
        <f t="shared" si="5"/>
        <v>2030</v>
      </c>
      <c r="DG1" s="16">
        <f t="shared" si="5"/>
        <v>2030</v>
      </c>
      <c r="DH1" s="16"/>
      <c r="DI1" s="16"/>
      <c r="DJ1" s="34"/>
    </row>
    <row r="2" spans="1:114" x14ac:dyDescent="0.25">
      <c r="A2" s="15"/>
      <c r="B2" s="15"/>
      <c r="C2" s="15"/>
      <c r="D2" s="138" t="str">
        <f t="shared" ref="D2:R2" si="6">+"Q1 "&amp;D1</f>
        <v>Q1 2022</v>
      </c>
      <c r="E2" s="138" t="str">
        <f t="shared" si="6"/>
        <v>Q1 2022</v>
      </c>
      <c r="F2" s="138" t="str">
        <f t="shared" si="6"/>
        <v>Q1 2022</v>
      </c>
      <c r="G2" s="138" t="str">
        <f t="shared" si="6"/>
        <v>Q1 2022</v>
      </c>
      <c r="H2" s="138" t="str">
        <f t="shared" si="6"/>
        <v>Q1 2022</v>
      </c>
      <c r="I2" s="138" t="str">
        <f t="shared" si="6"/>
        <v>Q1 2022</v>
      </c>
      <c r="J2" s="138" t="str">
        <f t="shared" si="6"/>
        <v>Q1 2022</v>
      </c>
      <c r="K2" s="138" t="str">
        <f t="shared" si="6"/>
        <v>Q1 2022</v>
      </c>
      <c r="L2" s="138" t="str">
        <f t="shared" si="6"/>
        <v>Q1 2022</v>
      </c>
      <c r="M2" s="138" t="str">
        <f t="shared" si="6"/>
        <v>Q1 2022</v>
      </c>
      <c r="N2" s="138" t="str">
        <f t="shared" si="6"/>
        <v>Q1 2022</v>
      </c>
      <c r="O2" s="138" t="str">
        <f t="shared" si="6"/>
        <v>Q1 2022</v>
      </c>
      <c r="P2" s="138" t="str">
        <f t="shared" si="6"/>
        <v>Q1 2023</v>
      </c>
      <c r="Q2" s="138" t="str">
        <f t="shared" si="6"/>
        <v>Q1 2023</v>
      </c>
      <c r="R2" s="138" t="str">
        <f t="shared" si="6"/>
        <v>Q1 2023</v>
      </c>
      <c r="S2" s="138" t="str">
        <f>+"Q2 "&amp;S1</f>
        <v>Q2 2023</v>
      </c>
      <c r="T2" s="138" t="str">
        <f>+"Q2 "&amp;T1</f>
        <v>Q2 2023</v>
      </c>
      <c r="U2" s="138" t="str">
        <f>+"Q2 "&amp;U1</f>
        <v>Q2 2023</v>
      </c>
      <c r="V2" s="138" t="str">
        <f>+"Q3 "&amp;V1</f>
        <v>Q3 2023</v>
      </c>
      <c r="W2" s="138" t="str">
        <f>+"Q3 "&amp;W1</f>
        <v>Q3 2023</v>
      </c>
      <c r="X2" s="138" t="str">
        <f>+"Q3 "&amp;X1</f>
        <v>Q3 2023</v>
      </c>
      <c r="Y2" s="138" t="str">
        <f>+"Q4 "&amp;Y1</f>
        <v>Q4 2023</v>
      </c>
      <c r="Z2" s="138" t="str">
        <f>+"Q4 "&amp;Z1</f>
        <v>Q4 2023</v>
      </c>
      <c r="AA2" s="138" t="str">
        <f>+"Q4 "&amp;AA1</f>
        <v>Q4 2023</v>
      </c>
      <c r="AB2" s="138" t="str">
        <f>+"Q1 "&amp;AB1</f>
        <v>Q1 2024</v>
      </c>
      <c r="AC2" s="138" t="str">
        <f>+"Q1 "&amp;AC1</f>
        <v>Q1 2024</v>
      </c>
      <c r="AD2" s="138" t="str">
        <f>+"Q1 "&amp;AD1</f>
        <v>Q1 2024</v>
      </c>
      <c r="AE2" s="152" t="str">
        <f>+"Q2 "&amp;AE1</f>
        <v>Q2 2024</v>
      </c>
      <c r="AF2" s="138" t="str">
        <f>+"Q2 "&amp;AF1</f>
        <v>Q2 2024</v>
      </c>
      <c r="AG2" s="138" t="str">
        <f>+"Q2 "&amp;AG1</f>
        <v>Q2 2024</v>
      </c>
      <c r="AH2" s="138" t="str">
        <f>+"Q3 "&amp;AH1</f>
        <v>Q3 2024</v>
      </c>
      <c r="AI2" s="138" t="str">
        <f>+"Q3 "&amp;AI1</f>
        <v>Q3 2024</v>
      </c>
      <c r="AJ2" s="138" t="str">
        <f>+"Q3 "&amp;AJ1</f>
        <v>Q3 2024</v>
      </c>
      <c r="AK2" s="138" t="str">
        <f>+"Q4 "&amp;AK1</f>
        <v>Q4 2024</v>
      </c>
      <c r="AL2" s="138" t="str">
        <f>+"Q4 "&amp;AL1</f>
        <v>Q4 2024</v>
      </c>
      <c r="AM2" s="138" t="str">
        <f>+"Q4 "&amp;AM1</f>
        <v>Q4 2024</v>
      </c>
      <c r="AN2" s="138" t="str">
        <f>+"Q1 "&amp;AN1</f>
        <v>Q1 2025</v>
      </c>
      <c r="AO2" s="138" t="str">
        <f>+"Q1 "&amp;AO1</f>
        <v>Q1 2025</v>
      </c>
      <c r="AP2" s="138" t="str">
        <f>+"Q1 "&amp;AP1</f>
        <v>Q1 2025</v>
      </c>
      <c r="AQ2" s="138" t="str">
        <f>+"Q2 "&amp;AQ1</f>
        <v>Q2 2025</v>
      </c>
      <c r="AR2" s="138" t="str">
        <f>+"Q2 "&amp;AR1</f>
        <v>Q2 2025</v>
      </c>
      <c r="AS2" s="152" t="str">
        <f>+"Q2 "&amp;AS1</f>
        <v>Q2 2025</v>
      </c>
      <c r="AT2" s="138" t="str">
        <f>+"Q3 "&amp;AT1</f>
        <v>Q3 2025</v>
      </c>
      <c r="AU2" s="138" t="str">
        <f>+"Q3 "&amp;AU1</f>
        <v>Q3 2025</v>
      </c>
      <c r="AV2" s="138" t="str">
        <f>+"Q3 "&amp;AV1</f>
        <v>Q3 2025</v>
      </c>
      <c r="AW2" s="138" t="str">
        <f>+"Q4 "&amp;AW1</f>
        <v>Q4 2025</v>
      </c>
      <c r="AX2" s="138" t="str">
        <f>+"Q4 "&amp;AX1</f>
        <v>Q4 2025</v>
      </c>
      <c r="AY2" s="152" t="str">
        <f>+"Q4 "&amp;AY1</f>
        <v>Q4 2025</v>
      </c>
      <c r="AZ2" s="138" t="str">
        <f>+"Q1 "&amp;AZ1</f>
        <v>Q1 2026</v>
      </c>
      <c r="BA2" s="138" t="str">
        <f>+"Q1 "&amp;BA1</f>
        <v>Q1 2026</v>
      </c>
      <c r="BB2" s="138" t="str">
        <f>+"Q1 "&amp;BB1</f>
        <v>Q1 2026</v>
      </c>
      <c r="BC2" s="138" t="str">
        <f>+"Q2 "&amp;BC1</f>
        <v>Q2 2026</v>
      </c>
      <c r="BD2" s="138" t="str">
        <f>+"Q2 "&amp;BD1</f>
        <v>Q2 2026</v>
      </c>
      <c r="BE2" s="138" t="str">
        <f>+"Q2 "&amp;BE1</f>
        <v>Q2 2026</v>
      </c>
      <c r="BF2" s="138" t="str">
        <f>+"Q3 "&amp;BF1</f>
        <v>Q3 2026</v>
      </c>
      <c r="BG2" s="138" t="str">
        <f>+"Q3 "&amp;BG1</f>
        <v>Q3 2026</v>
      </c>
      <c r="BH2" s="138" t="str">
        <f>+"Q3 "&amp;BH1</f>
        <v>Q3 2026</v>
      </c>
      <c r="BI2" s="138" t="str">
        <f>+"Q4 "&amp;BI1</f>
        <v>Q4 2026</v>
      </c>
      <c r="BJ2" s="138" t="str">
        <f>+"Q4 "&amp;BJ1</f>
        <v>Q4 2026</v>
      </c>
      <c r="BK2" s="152" t="str">
        <f>+"Q4 "&amp;BK1</f>
        <v>Q4 2026</v>
      </c>
      <c r="BL2" s="138" t="str">
        <f>+"Q1 "&amp;BL1</f>
        <v>Q1 2027</v>
      </c>
      <c r="BM2" s="138" t="str">
        <f>+"Q1 "&amp;BM1</f>
        <v>Q1 2027</v>
      </c>
      <c r="BN2" s="138" t="str">
        <f>+"Q1 "&amp;BN1</f>
        <v>Q1 2027</v>
      </c>
      <c r="BO2" s="138" t="str">
        <f>+"Q2 "&amp;BO1</f>
        <v>Q2 2027</v>
      </c>
      <c r="BP2" s="138" t="str">
        <f>+"Q2 "&amp;BP1</f>
        <v>Q2 2027</v>
      </c>
      <c r="BQ2" s="138" t="str">
        <f>+"Q2 "&amp;BQ1</f>
        <v>Q2 2027</v>
      </c>
      <c r="BR2" s="138" t="str">
        <f>+"Q3 "&amp;BR1</f>
        <v>Q3 2027</v>
      </c>
      <c r="BS2" s="138" t="str">
        <f>+"Q3 "&amp;BS1</f>
        <v>Q3 2027</v>
      </c>
      <c r="BT2" s="138" t="str">
        <f>+"Q3 "&amp;BT1</f>
        <v>Q3 2027</v>
      </c>
      <c r="BU2" s="138" t="str">
        <f>+"Q4 "&amp;BU1</f>
        <v>Q4 2027</v>
      </c>
      <c r="BV2" s="138" t="str">
        <f>+"Q4 "&amp;BV1</f>
        <v>Q4 2027</v>
      </c>
      <c r="BW2" s="152" t="str">
        <f>+"Q4 "&amp;BW1</f>
        <v>Q4 2027</v>
      </c>
      <c r="BX2" s="138" t="str">
        <f>+"Q1 "&amp;BX1</f>
        <v>Q1 2028</v>
      </c>
      <c r="BY2" s="138" t="str">
        <f>+"Q1 "&amp;BY1</f>
        <v>Q1 2028</v>
      </c>
      <c r="BZ2" s="138" t="str">
        <f>+"Q1 "&amp;BZ1</f>
        <v>Q1 2028</v>
      </c>
      <c r="CA2" s="138" t="str">
        <f>+"Q2 "&amp;CA1</f>
        <v>Q2 2028</v>
      </c>
      <c r="CB2" s="138" t="str">
        <f>+"Q2 "&amp;CB1</f>
        <v>Q2 2028</v>
      </c>
      <c r="CC2" s="138" t="str">
        <f>+"Q2 "&amp;CC1</f>
        <v>Q2 2028</v>
      </c>
      <c r="CD2" s="138" t="str">
        <f>+"Q3 "&amp;CD1</f>
        <v>Q3 2028</v>
      </c>
      <c r="CE2" s="138" t="str">
        <f>+"Q3 "&amp;CE1</f>
        <v>Q3 2028</v>
      </c>
      <c r="CF2" s="138" t="str">
        <f>+"Q3 "&amp;CF1</f>
        <v>Q3 2028</v>
      </c>
      <c r="CG2" s="138" t="str">
        <f>+"Q4 "&amp;CG1</f>
        <v>Q4 2028</v>
      </c>
      <c r="CH2" s="138" t="str">
        <f>+"Q4 "&amp;CH1</f>
        <v>Q4 2028</v>
      </c>
      <c r="CI2" s="152" t="str">
        <f>+"Q4 "&amp;CI1</f>
        <v>Q4 2028</v>
      </c>
      <c r="CJ2" s="138" t="str">
        <f>+"Q1 "&amp;CJ1</f>
        <v>Q1 2029</v>
      </c>
      <c r="CK2" s="138" t="str">
        <f>+"Q1 "&amp;CK1</f>
        <v>Q1 2029</v>
      </c>
      <c r="CL2" s="138" t="str">
        <f>+"Q1 "&amp;CL1</f>
        <v>Q1 2029</v>
      </c>
      <c r="CM2" s="138" t="str">
        <f>+"Q2 "&amp;CM1</f>
        <v>Q2 2029</v>
      </c>
      <c r="CN2" s="138" t="str">
        <f>+"Q2 "&amp;CN1</f>
        <v>Q2 2029</v>
      </c>
      <c r="CO2" s="138" t="str">
        <f>+"Q2 "&amp;CO1</f>
        <v>Q2 2029</v>
      </c>
      <c r="CP2" s="138" t="str">
        <f>+"Q3 "&amp;CP1</f>
        <v>Q3 2029</v>
      </c>
      <c r="CQ2" s="138" t="str">
        <f>+"Q3 "&amp;CQ1</f>
        <v>Q3 2029</v>
      </c>
      <c r="CR2" s="138" t="str">
        <f>+"Q3 "&amp;CR1</f>
        <v>Q3 2029</v>
      </c>
      <c r="CS2" s="138" t="str">
        <f>+"Q4 "&amp;CS1</f>
        <v>Q4 2029</v>
      </c>
      <c r="CT2" s="138" t="str">
        <f>+"Q4 "&amp;CT1</f>
        <v>Q4 2029</v>
      </c>
      <c r="CU2" s="152" t="str">
        <f>+"Q4 "&amp;CU1</f>
        <v>Q4 2029</v>
      </c>
      <c r="CV2" s="138" t="str">
        <f>+"Q1 "&amp;CV1</f>
        <v>Q1 2030</v>
      </c>
      <c r="CW2" s="138" t="str">
        <f>+"Q1 "&amp;CW1</f>
        <v>Q1 2030</v>
      </c>
      <c r="CX2" s="138" t="str">
        <f>+"Q1 "&amp;CX1</f>
        <v>Q1 2030</v>
      </c>
      <c r="CY2" s="138" t="str">
        <f>+"Q2 "&amp;CY1</f>
        <v>Q2 2030</v>
      </c>
      <c r="CZ2" s="138" t="str">
        <f>+"Q2 "&amp;CZ1</f>
        <v>Q2 2030</v>
      </c>
      <c r="DA2" s="138" t="str">
        <f>+"Q2 "&amp;DA1</f>
        <v>Q2 2030</v>
      </c>
      <c r="DB2" s="138" t="str">
        <f>+"Q3 "&amp;DB1</f>
        <v>Q3 2030</v>
      </c>
      <c r="DC2" s="138" t="str">
        <f>+"Q3 "&amp;DC1</f>
        <v>Q3 2030</v>
      </c>
      <c r="DD2" s="138" t="str">
        <f>+"Q3 "&amp;DD1</f>
        <v>Q3 2030</v>
      </c>
      <c r="DE2" s="138" t="str">
        <f>+"Q4 "&amp;DE1</f>
        <v>Q4 2030</v>
      </c>
      <c r="DF2" s="138" t="str">
        <f>+"Q4 "&amp;DF1</f>
        <v>Q4 2030</v>
      </c>
      <c r="DG2" s="138" t="str">
        <f>+"Q4 "&amp;DG1</f>
        <v>Q4 2030</v>
      </c>
      <c r="DH2" s="16"/>
      <c r="DI2" s="16"/>
      <c r="DJ2" s="16"/>
    </row>
    <row r="3" spans="1:114" ht="15.75" thickBot="1" x14ac:dyDescent="0.3">
      <c r="A3" s="17"/>
      <c r="B3" s="18"/>
      <c r="C3" s="18"/>
      <c r="D3" s="136">
        <v>44592</v>
      </c>
      <c r="E3" s="19">
        <v>44620</v>
      </c>
      <c r="F3" s="136">
        <v>44651</v>
      </c>
      <c r="G3" s="19">
        <v>44681</v>
      </c>
      <c r="H3" s="136">
        <v>44712</v>
      </c>
      <c r="I3" s="19">
        <v>44742</v>
      </c>
      <c r="J3" s="136">
        <v>44773</v>
      </c>
      <c r="K3" s="19">
        <v>44804</v>
      </c>
      <c r="L3" s="136">
        <v>44834</v>
      </c>
      <c r="M3" s="19">
        <v>44865</v>
      </c>
      <c r="N3" s="136">
        <v>44895</v>
      </c>
      <c r="O3" s="19">
        <v>44926</v>
      </c>
      <c r="P3" s="136">
        <v>44957</v>
      </c>
      <c r="Q3" s="20">
        <v>44985</v>
      </c>
      <c r="R3" s="20">
        <v>45016</v>
      </c>
      <c r="S3" s="20">
        <v>45046</v>
      </c>
      <c r="T3" s="20">
        <v>45077</v>
      </c>
      <c r="U3" s="20">
        <v>45107</v>
      </c>
      <c r="V3" s="20">
        <v>45138</v>
      </c>
      <c r="W3" s="20">
        <v>45169</v>
      </c>
      <c r="X3" s="20">
        <v>45199</v>
      </c>
      <c r="Y3" s="20">
        <v>45230</v>
      </c>
      <c r="Z3" s="20">
        <v>45260</v>
      </c>
      <c r="AA3" s="20">
        <v>45291</v>
      </c>
      <c r="AB3" s="20">
        <v>45322</v>
      </c>
      <c r="AC3" s="20">
        <v>45351</v>
      </c>
      <c r="AD3" s="20">
        <v>45382</v>
      </c>
      <c r="AE3" s="153">
        <v>45412</v>
      </c>
      <c r="AF3" s="20">
        <v>45443</v>
      </c>
      <c r="AG3" s="20">
        <v>45473</v>
      </c>
      <c r="AH3" s="20">
        <v>45504</v>
      </c>
      <c r="AI3" s="20">
        <v>45535</v>
      </c>
      <c r="AJ3" s="20">
        <v>45565</v>
      </c>
      <c r="AK3" s="20">
        <v>45596</v>
      </c>
      <c r="AL3" s="20">
        <v>45626</v>
      </c>
      <c r="AM3" s="20">
        <v>45657</v>
      </c>
      <c r="AN3" s="20">
        <v>45688</v>
      </c>
      <c r="AO3" s="20">
        <v>45716</v>
      </c>
      <c r="AP3" s="20">
        <v>45747</v>
      </c>
      <c r="AQ3" s="20">
        <v>45777</v>
      </c>
      <c r="AR3" s="20">
        <v>45808</v>
      </c>
      <c r="AS3" s="153">
        <v>45838</v>
      </c>
      <c r="AT3" s="20">
        <v>45869</v>
      </c>
      <c r="AU3" s="20">
        <v>45900</v>
      </c>
      <c r="AV3" s="20">
        <v>45930</v>
      </c>
      <c r="AW3" s="20">
        <v>45961</v>
      </c>
      <c r="AX3" s="20">
        <v>45991</v>
      </c>
      <c r="AY3" s="153">
        <v>46022</v>
      </c>
      <c r="AZ3" s="20">
        <v>46053</v>
      </c>
      <c r="BA3" s="20">
        <v>46081</v>
      </c>
      <c r="BB3" s="20">
        <v>46112</v>
      </c>
      <c r="BC3" s="20">
        <v>46142</v>
      </c>
      <c r="BD3" s="20">
        <v>46173</v>
      </c>
      <c r="BE3" s="20">
        <v>46203</v>
      </c>
      <c r="BF3" s="20">
        <v>46234</v>
      </c>
      <c r="BG3" s="20">
        <v>46265</v>
      </c>
      <c r="BH3" s="20">
        <v>46295</v>
      </c>
      <c r="BI3" s="20">
        <v>46326</v>
      </c>
      <c r="BJ3" s="20">
        <v>46356</v>
      </c>
      <c r="BK3" s="153">
        <v>46387</v>
      </c>
      <c r="BL3" s="20">
        <v>46418</v>
      </c>
      <c r="BM3" s="20">
        <v>46446</v>
      </c>
      <c r="BN3" s="20">
        <v>46477</v>
      </c>
      <c r="BO3" s="20">
        <v>46507</v>
      </c>
      <c r="BP3" s="20">
        <v>46538</v>
      </c>
      <c r="BQ3" s="20">
        <v>46568</v>
      </c>
      <c r="BR3" s="20">
        <v>46599</v>
      </c>
      <c r="BS3" s="20">
        <v>46630</v>
      </c>
      <c r="BT3" s="20">
        <v>46660</v>
      </c>
      <c r="BU3" s="20">
        <v>46691</v>
      </c>
      <c r="BV3" s="20">
        <v>46721</v>
      </c>
      <c r="BW3" s="153">
        <v>46752</v>
      </c>
      <c r="BX3" s="20">
        <v>46783</v>
      </c>
      <c r="BY3" s="20">
        <v>46812</v>
      </c>
      <c r="BZ3" s="20">
        <v>46843</v>
      </c>
      <c r="CA3" s="20">
        <v>46873</v>
      </c>
      <c r="CB3" s="20">
        <v>46904</v>
      </c>
      <c r="CC3" s="20">
        <v>46934</v>
      </c>
      <c r="CD3" s="20">
        <v>46965</v>
      </c>
      <c r="CE3" s="20">
        <v>46996</v>
      </c>
      <c r="CF3" s="20">
        <v>47026</v>
      </c>
      <c r="CG3" s="20">
        <v>47057</v>
      </c>
      <c r="CH3" s="20">
        <v>47087</v>
      </c>
      <c r="CI3" s="153">
        <v>47118</v>
      </c>
      <c r="CJ3" s="20">
        <v>47149</v>
      </c>
      <c r="CK3" s="20">
        <v>47177</v>
      </c>
      <c r="CL3" s="20">
        <v>47208</v>
      </c>
      <c r="CM3" s="20">
        <v>47238</v>
      </c>
      <c r="CN3" s="20">
        <v>47269</v>
      </c>
      <c r="CO3" s="20">
        <v>47299</v>
      </c>
      <c r="CP3" s="20">
        <v>47330</v>
      </c>
      <c r="CQ3" s="20">
        <v>47361</v>
      </c>
      <c r="CR3" s="20">
        <v>47391</v>
      </c>
      <c r="CS3" s="20">
        <v>47422</v>
      </c>
      <c r="CT3" s="20">
        <v>47452</v>
      </c>
      <c r="CU3" s="153">
        <v>47483</v>
      </c>
      <c r="CV3" s="20">
        <v>47514</v>
      </c>
      <c r="CW3" s="20">
        <v>47542</v>
      </c>
      <c r="CX3" s="20">
        <v>47573</v>
      </c>
      <c r="CY3" s="20">
        <v>47603</v>
      </c>
      <c r="CZ3" s="20">
        <v>47634</v>
      </c>
      <c r="DA3" s="20">
        <v>47664</v>
      </c>
      <c r="DB3" s="20">
        <v>47695</v>
      </c>
      <c r="DC3" s="20">
        <v>47726</v>
      </c>
      <c r="DD3" s="20">
        <v>47756</v>
      </c>
      <c r="DE3" s="20">
        <v>47787</v>
      </c>
      <c r="DF3" s="20">
        <v>47817</v>
      </c>
      <c r="DG3" s="20">
        <v>47848</v>
      </c>
      <c r="DH3" s="20"/>
      <c r="DI3" s="20"/>
      <c r="DJ3" s="35"/>
    </row>
    <row r="4" spans="1:114" x14ac:dyDescent="0.25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AS4" s="154"/>
      <c r="AY4" s="154"/>
      <c r="BK4" s="154"/>
      <c r="BW4" s="154"/>
      <c r="CI4" s="154"/>
      <c r="CU4" s="154"/>
    </row>
    <row r="5" spans="1:114" s="90" customFormat="1" x14ac:dyDescent="0.25">
      <c r="A5"/>
      <c r="B5" s="1"/>
      <c r="C5" s="1"/>
      <c r="M5" s="91"/>
      <c r="N5" s="91"/>
      <c r="O5" s="133"/>
      <c r="P5" s="133"/>
      <c r="R5" s="91"/>
      <c r="V5" s="91"/>
      <c r="W5" s="91"/>
      <c r="X5" s="91"/>
      <c r="Y5" s="91"/>
      <c r="Z5" s="91"/>
      <c r="AA5" s="91"/>
      <c r="AB5" s="91"/>
      <c r="AC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155"/>
      <c r="AY5" s="155"/>
      <c r="BK5" s="155"/>
      <c r="BW5" s="155"/>
      <c r="CI5" s="155"/>
      <c r="CU5" s="155"/>
    </row>
    <row r="6" spans="1:114" s="90" customFormat="1" x14ac:dyDescent="0.25">
      <c r="A6"/>
      <c r="B6" s="1" t="s">
        <v>244</v>
      </c>
      <c r="C6" s="1"/>
      <c r="M6" s="91"/>
      <c r="N6" s="91"/>
      <c r="O6" s="91"/>
      <c r="P6" s="91"/>
      <c r="R6" s="91"/>
      <c r="U6" s="90">
        <v>0</v>
      </c>
      <c r="V6" s="91">
        <v>0</v>
      </c>
      <c r="W6" s="91">
        <v>0</v>
      </c>
      <c r="X6" s="91">
        <v>0</v>
      </c>
      <c r="Y6" s="91">
        <v>150000</v>
      </c>
      <c r="Z6" s="91">
        <v>187500</v>
      </c>
      <c r="AA6" s="91">
        <v>112500</v>
      </c>
      <c r="AB6" s="91"/>
      <c r="AC6" s="91">
        <v>112500</v>
      </c>
      <c r="AD6" s="91">
        <v>112500</v>
      </c>
      <c r="AE6" s="91"/>
      <c r="AF6" s="91">
        <v>76995</v>
      </c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155">
        <v>90000</v>
      </c>
      <c r="AT6" s="330">
        <f>+'Home Builder Revenue Build'!AI71</f>
        <v>0</v>
      </c>
      <c r="AU6" s="331">
        <f>+'Home Builder Revenue Build'!AJ71</f>
        <v>0</v>
      </c>
      <c r="AV6" s="331">
        <f>+'Home Builder Revenue Build'!AK71</f>
        <v>0</v>
      </c>
      <c r="AW6" s="331">
        <f>+'Home Builder Revenue Build'!AL71</f>
        <v>0</v>
      </c>
      <c r="AX6" s="331">
        <f>+'Home Builder Revenue Build'!AM71</f>
        <v>125000</v>
      </c>
      <c r="AY6" s="347">
        <f>+'Home Builder Revenue Build'!AN71</f>
        <v>0</v>
      </c>
      <c r="AZ6" s="331">
        <f>+'Home Builder Revenue Build'!AO71</f>
        <v>0</v>
      </c>
      <c r="BA6" s="331">
        <f>+'Home Builder Revenue Build'!AP71</f>
        <v>0</v>
      </c>
      <c r="BB6" s="331">
        <f>+'Home Builder Revenue Build'!AQ71</f>
        <v>250000</v>
      </c>
      <c r="BC6" s="331">
        <f>+'Home Builder Revenue Build'!AR71</f>
        <v>312500</v>
      </c>
      <c r="BD6" s="331">
        <f>+'Home Builder Revenue Build'!AS71</f>
        <v>187500</v>
      </c>
      <c r="BE6" s="331">
        <f>+'Home Builder Revenue Build'!AT71</f>
        <v>0</v>
      </c>
      <c r="BF6" s="331">
        <f>+'Home Builder Revenue Build'!AU71</f>
        <v>187500</v>
      </c>
      <c r="BG6" s="331">
        <f>+'Home Builder Revenue Build'!AV71</f>
        <v>0</v>
      </c>
      <c r="BH6" s="331">
        <f>+'Home Builder Revenue Build'!AW71</f>
        <v>187500</v>
      </c>
      <c r="BI6" s="331">
        <f>+'Home Builder Revenue Build'!AX71</f>
        <v>0</v>
      </c>
      <c r="BJ6" s="331">
        <f>+'Home Builder Revenue Build'!AY71</f>
        <v>215000</v>
      </c>
      <c r="BK6" s="347">
        <f>+'Home Builder Revenue Build'!AZ71</f>
        <v>0</v>
      </c>
      <c r="BL6" s="331">
        <f>+'Home Builder Revenue Build'!BA71</f>
        <v>0</v>
      </c>
      <c r="BM6" s="331">
        <f>+'Home Builder Revenue Build'!BB71</f>
        <v>0</v>
      </c>
      <c r="BN6" s="331">
        <f>+'Home Builder Revenue Build'!BC71</f>
        <v>430000</v>
      </c>
      <c r="BO6" s="331">
        <f>+'Home Builder Revenue Build'!BD71</f>
        <v>537500</v>
      </c>
      <c r="BP6" s="331">
        <f>+'Home Builder Revenue Build'!BE71</f>
        <v>322500</v>
      </c>
      <c r="BQ6" s="331">
        <f>+'Home Builder Revenue Build'!BF71</f>
        <v>0</v>
      </c>
      <c r="BR6" s="331">
        <f>+'Home Builder Revenue Build'!BG71</f>
        <v>322500</v>
      </c>
      <c r="BS6" s="331">
        <f>+'Home Builder Revenue Build'!BH71</f>
        <v>0</v>
      </c>
      <c r="BT6" s="331">
        <f>+'Home Builder Revenue Build'!BI71</f>
        <v>322500</v>
      </c>
      <c r="BU6" s="331">
        <f>+'Home Builder Revenue Build'!BJ71</f>
        <v>0</v>
      </c>
      <c r="BV6" s="331">
        <f>+'Home Builder Revenue Build'!BK71</f>
        <v>295000</v>
      </c>
      <c r="BW6" s="347">
        <f>+'Home Builder Revenue Build'!BL71</f>
        <v>0</v>
      </c>
      <c r="BX6" s="331">
        <f>+'Home Builder Revenue Build'!BM71</f>
        <v>0</v>
      </c>
      <c r="BY6" s="331">
        <f>+'Home Builder Revenue Build'!BN71</f>
        <v>0</v>
      </c>
      <c r="BZ6" s="331">
        <f>+'Home Builder Revenue Build'!BO71</f>
        <v>590000</v>
      </c>
      <c r="CA6" s="331">
        <f>+'Home Builder Revenue Build'!BP71</f>
        <v>737500</v>
      </c>
      <c r="CB6" s="331">
        <f>+'Home Builder Revenue Build'!BQ71</f>
        <v>442500</v>
      </c>
      <c r="CC6" s="331">
        <f>+'Home Builder Revenue Build'!BR71</f>
        <v>0</v>
      </c>
      <c r="CD6" s="331">
        <f>+'Home Builder Revenue Build'!BS71</f>
        <v>442500</v>
      </c>
      <c r="CE6" s="331">
        <f>+'Home Builder Revenue Build'!BT71</f>
        <v>0</v>
      </c>
      <c r="CF6" s="331">
        <f>+'Home Builder Revenue Build'!BU71</f>
        <v>442500</v>
      </c>
      <c r="CG6" s="331">
        <f>+'Home Builder Revenue Build'!BV71</f>
        <v>0</v>
      </c>
      <c r="CH6" s="331">
        <f>+'Home Builder Revenue Build'!BW71</f>
        <v>340000</v>
      </c>
      <c r="CI6" s="347">
        <f>+'Home Builder Revenue Build'!BX71</f>
        <v>0</v>
      </c>
      <c r="CJ6" s="331">
        <f>+'Home Builder Revenue Build'!BY71</f>
        <v>0</v>
      </c>
      <c r="CK6" s="331">
        <f>+'Home Builder Revenue Build'!BZ71</f>
        <v>0</v>
      </c>
      <c r="CL6" s="331">
        <f>+'Home Builder Revenue Build'!CA71</f>
        <v>680000</v>
      </c>
      <c r="CM6" s="331">
        <f>+'Home Builder Revenue Build'!CB71</f>
        <v>850000</v>
      </c>
      <c r="CN6" s="331">
        <f>+'Home Builder Revenue Build'!CC71</f>
        <v>510000</v>
      </c>
      <c r="CO6" s="331">
        <f>+'Home Builder Revenue Build'!CD71</f>
        <v>0</v>
      </c>
      <c r="CP6" s="331">
        <f>+'Home Builder Revenue Build'!CE71</f>
        <v>510000</v>
      </c>
      <c r="CQ6" s="331">
        <f>+'Home Builder Revenue Build'!CF71</f>
        <v>0</v>
      </c>
      <c r="CR6" s="331">
        <f>+'Home Builder Revenue Build'!CG71</f>
        <v>510000</v>
      </c>
      <c r="CS6" s="331">
        <f>+'Home Builder Revenue Build'!CH71</f>
        <v>0</v>
      </c>
      <c r="CT6" s="331">
        <f>+'Home Builder Revenue Build'!CI71</f>
        <v>450000</v>
      </c>
      <c r="CU6" s="347">
        <f>+'Home Builder Revenue Build'!CJ71</f>
        <v>0</v>
      </c>
      <c r="CV6" s="331">
        <f>+'Home Builder Revenue Build'!CK71</f>
        <v>0</v>
      </c>
      <c r="CW6" s="331">
        <f>+'Home Builder Revenue Build'!CL71</f>
        <v>0</v>
      </c>
      <c r="CX6" s="331">
        <f>+'Home Builder Revenue Build'!CM71</f>
        <v>900000</v>
      </c>
      <c r="CY6" s="331">
        <f>+'Home Builder Revenue Build'!CN71</f>
        <v>1125000</v>
      </c>
      <c r="CZ6" s="331">
        <f>+'Home Builder Revenue Build'!CO71</f>
        <v>675000</v>
      </c>
      <c r="DA6" s="331">
        <f>+'Home Builder Revenue Build'!CP71</f>
        <v>0</v>
      </c>
      <c r="DB6" s="331">
        <f>+'Home Builder Revenue Build'!CQ71</f>
        <v>675000</v>
      </c>
      <c r="DC6" s="331">
        <f>+'Home Builder Revenue Build'!CR71</f>
        <v>0</v>
      </c>
      <c r="DD6" s="331">
        <f>+'Home Builder Revenue Build'!CS71</f>
        <v>675000</v>
      </c>
      <c r="DE6" s="331">
        <f>+'Home Builder Revenue Build'!CT71</f>
        <v>0</v>
      </c>
      <c r="DF6" s="331">
        <f>+'Home Builder Revenue Build'!CU71</f>
        <v>490000</v>
      </c>
      <c r="DG6" s="331">
        <f>+'Home Builder Revenue Build'!CV71</f>
        <v>0</v>
      </c>
    </row>
    <row r="7" spans="1:114" s="90" customFormat="1" x14ac:dyDescent="0.25">
      <c r="A7"/>
      <c r="B7" s="1" t="s">
        <v>335</v>
      </c>
      <c r="C7" s="1"/>
      <c r="M7" s="91"/>
      <c r="N7" s="91"/>
      <c r="O7" s="91"/>
      <c r="P7" s="91"/>
      <c r="R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>
        <v>5464.32</v>
      </c>
      <c r="AG7" s="91">
        <v>10928.64</v>
      </c>
      <c r="AH7" s="91">
        <v>700</v>
      </c>
      <c r="AI7" s="91">
        <v>45897</v>
      </c>
      <c r="AJ7" s="91">
        <v>49010.3</v>
      </c>
      <c r="AK7" s="91">
        <v>24753.5</v>
      </c>
      <c r="AL7" s="91">
        <v>23117.99</v>
      </c>
      <c r="AM7" s="91">
        <v>77453.3</v>
      </c>
      <c r="AN7" s="91">
        <v>70951.44</v>
      </c>
      <c r="AO7" s="91">
        <v>20473.86</v>
      </c>
      <c r="AP7" s="91"/>
      <c r="AQ7" s="91">
        <v>11761.5</v>
      </c>
      <c r="AR7" s="91">
        <v>4100.5</v>
      </c>
      <c r="AS7" s="155"/>
      <c r="AT7" s="330">
        <f>+'Contractor Revenue Build'!Y39</f>
        <v>6600</v>
      </c>
      <c r="AU7" s="330">
        <f>+'Contractor Revenue Build'!Z39</f>
        <v>8000</v>
      </c>
      <c r="AV7" s="330">
        <f>+'Contractor Revenue Build'!AA39</f>
        <v>5400</v>
      </c>
      <c r="AW7" s="330">
        <f>+'Contractor Revenue Build'!AB39</f>
        <v>6600</v>
      </c>
      <c r="AX7" s="330">
        <f>+'Contractor Revenue Build'!AC39</f>
        <v>8000</v>
      </c>
      <c r="AY7" s="347">
        <f>+'Contractor Revenue Build'!AD39</f>
        <v>5400</v>
      </c>
      <c r="AZ7" s="330">
        <f>+'Contractor Revenue Build'!AE39</f>
        <v>19800</v>
      </c>
      <c r="BA7" s="330">
        <f>+'Contractor Revenue Build'!AF39</f>
        <v>24000</v>
      </c>
      <c r="BB7" s="330">
        <f>+'Contractor Revenue Build'!AG39</f>
        <v>16200.000000000002</v>
      </c>
      <c r="BC7" s="330">
        <f>+'Contractor Revenue Build'!AH39</f>
        <v>19800</v>
      </c>
      <c r="BD7" s="330">
        <f>+'Contractor Revenue Build'!AI39</f>
        <v>24000</v>
      </c>
      <c r="BE7" s="330">
        <f>+'Contractor Revenue Build'!AJ39</f>
        <v>16200.000000000002</v>
      </c>
      <c r="BF7" s="330">
        <f>+'Contractor Revenue Build'!AK39</f>
        <v>26400</v>
      </c>
      <c r="BG7" s="330">
        <f>+'Contractor Revenue Build'!AL39</f>
        <v>32000</v>
      </c>
      <c r="BH7" s="330">
        <f>+'Contractor Revenue Build'!AM39</f>
        <v>21600</v>
      </c>
      <c r="BI7" s="330">
        <f>+'Contractor Revenue Build'!AN39</f>
        <v>26400</v>
      </c>
      <c r="BJ7" s="330">
        <f>+'Contractor Revenue Build'!AO39</f>
        <v>32000</v>
      </c>
      <c r="BK7" s="347">
        <f>+'Contractor Revenue Build'!AP39</f>
        <v>21600</v>
      </c>
      <c r="BL7" s="330">
        <f>+'Contractor Revenue Build'!AQ39</f>
        <v>33000</v>
      </c>
      <c r="BM7" s="330">
        <f>+'Contractor Revenue Build'!AR39</f>
        <v>40000</v>
      </c>
      <c r="BN7" s="330">
        <f>+'Contractor Revenue Build'!AS39</f>
        <v>27000</v>
      </c>
      <c r="BO7" s="330">
        <f>+'Contractor Revenue Build'!AT39</f>
        <v>33000</v>
      </c>
      <c r="BP7" s="330">
        <f>+'Contractor Revenue Build'!AU39</f>
        <v>40000</v>
      </c>
      <c r="BQ7" s="330">
        <f>+'Contractor Revenue Build'!AV39</f>
        <v>27000</v>
      </c>
      <c r="BR7" s="330">
        <f>+'Contractor Revenue Build'!AW39</f>
        <v>33000</v>
      </c>
      <c r="BS7" s="330">
        <f>+'Contractor Revenue Build'!AX39</f>
        <v>40000</v>
      </c>
      <c r="BT7" s="330">
        <f>+'Contractor Revenue Build'!AY39</f>
        <v>27000</v>
      </c>
      <c r="BU7" s="330">
        <f>+'Contractor Revenue Build'!AZ39</f>
        <v>33000</v>
      </c>
      <c r="BV7" s="330">
        <f>+'Contractor Revenue Build'!BA39</f>
        <v>40000</v>
      </c>
      <c r="BW7" s="347">
        <f>+'Contractor Revenue Build'!BB39</f>
        <v>27000</v>
      </c>
      <c r="BX7" s="330">
        <f>+'Contractor Revenue Build'!BC39</f>
        <v>39600</v>
      </c>
      <c r="BY7" s="330">
        <f>+'Contractor Revenue Build'!BD39</f>
        <v>48000</v>
      </c>
      <c r="BZ7" s="330">
        <f>+'Contractor Revenue Build'!BE39</f>
        <v>32400.000000000004</v>
      </c>
      <c r="CA7" s="330">
        <f>+'Contractor Revenue Build'!BF39</f>
        <v>39600</v>
      </c>
      <c r="CB7" s="330">
        <f>+'Contractor Revenue Build'!BG39</f>
        <v>48000</v>
      </c>
      <c r="CC7" s="330">
        <f>+'Contractor Revenue Build'!BH39</f>
        <v>32400.000000000004</v>
      </c>
      <c r="CD7" s="330">
        <f>+'Contractor Revenue Build'!BI39</f>
        <v>39600</v>
      </c>
      <c r="CE7" s="330">
        <f>+'Contractor Revenue Build'!BJ39</f>
        <v>48000</v>
      </c>
      <c r="CF7" s="330">
        <f>+'Contractor Revenue Build'!BK39</f>
        <v>32400.000000000004</v>
      </c>
      <c r="CG7" s="330">
        <f>+'Contractor Revenue Build'!BL39</f>
        <v>39600</v>
      </c>
      <c r="CH7" s="330">
        <f>+'Contractor Revenue Build'!BM39</f>
        <v>48000</v>
      </c>
      <c r="CI7" s="347">
        <f>+'Contractor Revenue Build'!BN39</f>
        <v>32400.000000000004</v>
      </c>
      <c r="CJ7" s="330">
        <f>+'Contractor Revenue Build'!BO39</f>
        <v>46200</v>
      </c>
      <c r="CK7" s="330">
        <f>+'Contractor Revenue Build'!BP39</f>
        <v>56000</v>
      </c>
      <c r="CL7" s="330">
        <f>+'Contractor Revenue Build'!BQ39</f>
        <v>37800</v>
      </c>
      <c r="CM7" s="330">
        <f>+'Contractor Revenue Build'!BR39</f>
        <v>46200</v>
      </c>
      <c r="CN7" s="330">
        <f>+'Contractor Revenue Build'!BS39</f>
        <v>56000</v>
      </c>
      <c r="CO7" s="330">
        <f>+'Contractor Revenue Build'!BT39</f>
        <v>37800</v>
      </c>
      <c r="CP7" s="330">
        <f>+'Contractor Revenue Build'!BU39</f>
        <v>52800</v>
      </c>
      <c r="CQ7" s="330">
        <f>+'Contractor Revenue Build'!BV39</f>
        <v>64000</v>
      </c>
      <c r="CR7" s="330">
        <f>+'Contractor Revenue Build'!BW39</f>
        <v>43200</v>
      </c>
      <c r="CS7" s="330">
        <f>+'Contractor Revenue Build'!BX39</f>
        <v>52800</v>
      </c>
      <c r="CT7" s="330">
        <f>+'Contractor Revenue Build'!BY39</f>
        <v>64000</v>
      </c>
      <c r="CU7" s="347">
        <f>+'Contractor Revenue Build'!BZ39</f>
        <v>43200</v>
      </c>
      <c r="CV7" s="330">
        <f>+'Contractor Revenue Build'!CA39</f>
        <v>52800</v>
      </c>
      <c r="CW7" s="330">
        <f>+'Contractor Revenue Build'!CB39</f>
        <v>64000</v>
      </c>
      <c r="CX7" s="330">
        <f>+'Contractor Revenue Build'!CC39</f>
        <v>43200</v>
      </c>
      <c r="CY7" s="330">
        <f>+'Contractor Revenue Build'!CD39</f>
        <v>52800</v>
      </c>
      <c r="CZ7" s="330">
        <f>+'Contractor Revenue Build'!CE39</f>
        <v>64000</v>
      </c>
      <c r="DA7" s="330">
        <f>+'Contractor Revenue Build'!CF39</f>
        <v>43200</v>
      </c>
      <c r="DB7" s="330">
        <f>+'Contractor Revenue Build'!CG39</f>
        <v>59400</v>
      </c>
      <c r="DC7" s="330">
        <f>+'Contractor Revenue Build'!CH39</f>
        <v>72000</v>
      </c>
      <c r="DD7" s="330">
        <f>+'Contractor Revenue Build'!CI39</f>
        <v>48600</v>
      </c>
      <c r="DE7" s="330">
        <f>+'Contractor Revenue Build'!CJ39</f>
        <v>59400</v>
      </c>
      <c r="DF7" s="330">
        <f>+'Contractor Revenue Build'!CK39</f>
        <v>72000</v>
      </c>
      <c r="DG7" s="330">
        <f>+'Contractor Revenue Build'!CL39</f>
        <v>48600</v>
      </c>
    </row>
    <row r="8" spans="1:114" s="90" customFormat="1" x14ac:dyDescent="0.25">
      <c r="A8"/>
      <c r="B8" s="1" t="s">
        <v>512</v>
      </c>
      <c r="C8" s="1"/>
      <c r="M8" s="91"/>
      <c r="N8" s="91"/>
      <c r="O8" s="91"/>
      <c r="P8" s="91"/>
      <c r="R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>
        <v>3534</v>
      </c>
      <c r="AN8" s="91">
        <v>18851</v>
      </c>
      <c r="AO8" s="91"/>
      <c r="AP8" s="91"/>
      <c r="AQ8" s="91"/>
      <c r="AR8" s="91"/>
      <c r="AS8" s="155"/>
      <c r="AT8" s="330"/>
      <c r="AU8" s="330"/>
      <c r="AV8" s="330"/>
      <c r="AW8" s="330"/>
      <c r="AX8" s="330"/>
      <c r="AY8" s="347"/>
      <c r="AZ8" s="330"/>
      <c r="BA8" s="330"/>
      <c r="BB8" s="330"/>
      <c r="BC8" s="330"/>
      <c r="BD8" s="330"/>
      <c r="BE8" s="330"/>
      <c r="BF8" s="330"/>
      <c r="BG8" s="330"/>
      <c r="BH8" s="330"/>
      <c r="BI8" s="330"/>
      <c r="BJ8" s="330"/>
      <c r="BK8" s="347"/>
      <c r="BL8" s="330"/>
      <c r="BM8" s="330"/>
      <c r="BN8" s="330"/>
      <c r="BO8" s="330"/>
      <c r="BP8" s="330"/>
      <c r="BQ8" s="330"/>
      <c r="BR8" s="330"/>
      <c r="BS8" s="330"/>
      <c r="BT8" s="330"/>
      <c r="BU8" s="330"/>
      <c r="BV8" s="330"/>
      <c r="BW8" s="347"/>
      <c r="BX8" s="330"/>
      <c r="BY8" s="330"/>
      <c r="BZ8" s="330"/>
      <c r="CA8" s="330"/>
      <c r="CB8" s="330"/>
      <c r="CC8" s="330"/>
      <c r="CD8" s="330"/>
      <c r="CE8" s="330"/>
      <c r="CF8" s="330"/>
      <c r="CG8" s="330"/>
      <c r="CH8" s="330"/>
      <c r="CI8" s="347"/>
      <c r="CJ8" s="330"/>
      <c r="CK8" s="330"/>
      <c r="CL8" s="330"/>
      <c r="CM8" s="330"/>
      <c r="CN8" s="330"/>
      <c r="CO8" s="330"/>
      <c r="CP8" s="330"/>
      <c r="CQ8" s="330"/>
      <c r="CR8" s="330"/>
      <c r="CS8" s="330"/>
      <c r="CT8" s="330"/>
      <c r="CU8" s="347"/>
      <c r="CV8" s="330"/>
      <c r="CW8" s="330"/>
      <c r="CX8" s="330"/>
      <c r="CY8" s="330"/>
      <c r="CZ8" s="330"/>
      <c r="DA8" s="330"/>
      <c r="DB8" s="330"/>
      <c r="DC8" s="330"/>
      <c r="DD8" s="330"/>
      <c r="DE8" s="330"/>
      <c r="DF8" s="330"/>
      <c r="DG8" s="330"/>
    </row>
    <row r="9" spans="1:114" s="3" customFormat="1" x14ac:dyDescent="0.25">
      <c r="B9" s="4" t="s">
        <v>2</v>
      </c>
      <c r="C9" s="4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>
        <f t="shared" ref="P9:AA9" si="7">SUM(P6:P6)</f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150000</v>
      </c>
      <c r="Z9" s="37">
        <f t="shared" si="7"/>
        <v>187500</v>
      </c>
      <c r="AA9" s="37">
        <f t="shared" si="7"/>
        <v>112500</v>
      </c>
      <c r="AB9" s="37">
        <f t="shared" ref="AB9:AL9" si="8">SUM(AB6:AB8)</f>
        <v>0</v>
      </c>
      <c r="AC9" s="37">
        <f t="shared" si="8"/>
        <v>112500</v>
      </c>
      <c r="AD9" s="37">
        <f t="shared" si="8"/>
        <v>112500</v>
      </c>
      <c r="AE9" s="37">
        <f t="shared" si="8"/>
        <v>0</v>
      </c>
      <c r="AF9" s="37">
        <f t="shared" si="8"/>
        <v>82459.320000000007</v>
      </c>
      <c r="AG9" s="37">
        <f t="shared" si="8"/>
        <v>10928.64</v>
      </c>
      <c r="AH9" s="37">
        <f t="shared" si="8"/>
        <v>700</v>
      </c>
      <c r="AI9" s="37">
        <f t="shared" si="8"/>
        <v>45897</v>
      </c>
      <c r="AJ9" s="37">
        <f t="shared" si="8"/>
        <v>49010.3</v>
      </c>
      <c r="AK9" s="37">
        <f t="shared" si="8"/>
        <v>24753.5</v>
      </c>
      <c r="AL9" s="37">
        <f t="shared" si="8"/>
        <v>23117.99</v>
      </c>
      <c r="AM9" s="37">
        <f t="shared" ref="AM9:AS9" si="9">SUM(AM6:AM8)</f>
        <v>80987.3</v>
      </c>
      <c r="AN9" s="37">
        <f t="shared" si="9"/>
        <v>89802.44</v>
      </c>
      <c r="AO9" s="37">
        <f t="shared" si="9"/>
        <v>20473.86</v>
      </c>
      <c r="AP9" s="37">
        <f t="shared" si="9"/>
        <v>0</v>
      </c>
      <c r="AQ9" s="37">
        <f t="shared" si="9"/>
        <v>11761.5</v>
      </c>
      <c r="AR9" s="37">
        <f t="shared" si="9"/>
        <v>4100.5</v>
      </c>
      <c r="AS9" s="156">
        <f t="shared" si="9"/>
        <v>90000</v>
      </c>
      <c r="AT9" s="46">
        <f t="shared" ref="AT9" si="10">SUM(AT6:AT8)</f>
        <v>6600</v>
      </c>
      <c r="AU9" s="46">
        <f t="shared" ref="AU9:CY9" si="11">SUM(AU6:AU8)</f>
        <v>8000</v>
      </c>
      <c r="AV9" s="46">
        <f t="shared" si="11"/>
        <v>5400</v>
      </c>
      <c r="AW9" s="46">
        <f t="shared" si="11"/>
        <v>6600</v>
      </c>
      <c r="AX9" s="46">
        <f t="shared" si="11"/>
        <v>133000</v>
      </c>
      <c r="AY9" s="348">
        <f t="shared" si="11"/>
        <v>5400</v>
      </c>
      <c r="AZ9" s="46">
        <f t="shared" si="11"/>
        <v>19800</v>
      </c>
      <c r="BA9" s="46">
        <f t="shared" si="11"/>
        <v>24000</v>
      </c>
      <c r="BB9" s="46">
        <f t="shared" si="11"/>
        <v>266200</v>
      </c>
      <c r="BC9" s="46">
        <f t="shared" si="11"/>
        <v>332300</v>
      </c>
      <c r="BD9" s="46">
        <f t="shared" si="11"/>
        <v>211500</v>
      </c>
      <c r="BE9" s="46">
        <f t="shared" si="11"/>
        <v>16200.000000000002</v>
      </c>
      <c r="BF9" s="46">
        <f t="shared" si="11"/>
        <v>213900</v>
      </c>
      <c r="BG9" s="46">
        <f t="shared" si="11"/>
        <v>32000</v>
      </c>
      <c r="BH9" s="46">
        <f t="shared" si="11"/>
        <v>209100</v>
      </c>
      <c r="BI9" s="46">
        <f t="shared" si="11"/>
        <v>26400</v>
      </c>
      <c r="BJ9" s="46">
        <f t="shared" si="11"/>
        <v>247000</v>
      </c>
      <c r="BK9" s="348">
        <f t="shared" si="11"/>
        <v>21600</v>
      </c>
      <c r="BL9" s="46">
        <f t="shared" si="11"/>
        <v>33000</v>
      </c>
      <c r="BM9" s="46">
        <f t="shared" si="11"/>
        <v>40000</v>
      </c>
      <c r="BN9" s="46">
        <f t="shared" si="11"/>
        <v>457000</v>
      </c>
      <c r="BO9" s="46">
        <f t="shared" si="11"/>
        <v>570500</v>
      </c>
      <c r="BP9" s="46">
        <f t="shared" si="11"/>
        <v>362500</v>
      </c>
      <c r="BQ9" s="46">
        <f t="shared" si="11"/>
        <v>27000</v>
      </c>
      <c r="BR9" s="46">
        <f t="shared" si="11"/>
        <v>355500</v>
      </c>
      <c r="BS9" s="46">
        <f t="shared" si="11"/>
        <v>40000</v>
      </c>
      <c r="BT9" s="46">
        <f t="shared" si="11"/>
        <v>349500</v>
      </c>
      <c r="BU9" s="46">
        <f t="shared" si="11"/>
        <v>33000</v>
      </c>
      <c r="BV9" s="46">
        <f t="shared" si="11"/>
        <v>335000</v>
      </c>
      <c r="BW9" s="348">
        <f t="shared" si="11"/>
        <v>27000</v>
      </c>
      <c r="BX9" s="46">
        <f t="shared" si="11"/>
        <v>39600</v>
      </c>
      <c r="BY9" s="46">
        <f t="shared" si="11"/>
        <v>48000</v>
      </c>
      <c r="BZ9" s="46">
        <f t="shared" si="11"/>
        <v>622400</v>
      </c>
      <c r="CA9" s="46">
        <f t="shared" si="11"/>
        <v>777100</v>
      </c>
      <c r="CB9" s="46">
        <f t="shared" si="11"/>
        <v>490500</v>
      </c>
      <c r="CC9" s="46">
        <f t="shared" si="11"/>
        <v>32400.000000000004</v>
      </c>
      <c r="CD9" s="46">
        <f t="shared" si="11"/>
        <v>482100</v>
      </c>
      <c r="CE9" s="46">
        <f t="shared" si="11"/>
        <v>48000</v>
      </c>
      <c r="CF9" s="46">
        <f t="shared" si="11"/>
        <v>474900</v>
      </c>
      <c r="CG9" s="46">
        <f t="shared" si="11"/>
        <v>39600</v>
      </c>
      <c r="CH9" s="46">
        <f t="shared" si="11"/>
        <v>388000</v>
      </c>
      <c r="CI9" s="348">
        <f t="shared" si="11"/>
        <v>32400.000000000004</v>
      </c>
      <c r="CJ9" s="46">
        <f t="shared" si="11"/>
        <v>46200</v>
      </c>
      <c r="CK9" s="46">
        <f t="shared" si="11"/>
        <v>56000</v>
      </c>
      <c r="CL9" s="46">
        <f t="shared" si="11"/>
        <v>717800</v>
      </c>
      <c r="CM9" s="46">
        <f t="shared" si="11"/>
        <v>896200</v>
      </c>
      <c r="CN9" s="46">
        <f t="shared" si="11"/>
        <v>566000</v>
      </c>
      <c r="CO9" s="46">
        <f t="shared" si="11"/>
        <v>37800</v>
      </c>
      <c r="CP9" s="46">
        <f t="shared" si="11"/>
        <v>562800</v>
      </c>
      <c r="CQ9" s="46">
        <f t="shared" si="11"/>
        <v>64000</v>
      </c>
      <c r="CR9" s="46">
        <f t="shared" si="11"/>
        <v>553200</v>
      </c>
      <c r="CS9" s="46">
        <f t="shared" si="11"/>
        <v>52800</v>
      </c>
      <c r="CT9" s="46">
        <f t="shared" si="11"/>
        <v>514000</v>
      </c>
      <c r="CU9" s="348">
        <f t="shared" si="11"/>
        <v>43200</v>
      </c>
      <c r="CV9" s="46">
        <f t="shared" si="11"/>
        <v>52800</v>
      </c>
      <c r="CW9" s="46">
        <f t="shared" si="11"/>
        <v>64000</v>
      </c>
      <c r="CX9" s="46">
        <f t="shared" si="11"/>
        <v>943200</v>
      </c>
      <c r="CY9" s="46">
        <f t="shared" si="11"/>
        <v>1177800</v>
      </c>
      <c r="CZ9" s="46">
        <f t="shared" ref="CZ9:DG9" si="12">SUM(CZ6:CZ8)</f>
        <v>739000</v>
      </c>
      <c r="DA9" s="46">
        <f t="shared" si="12"/>
        <v>43200</v>
      </c>
      <c r="DB9" s="46">
        <f t="shared" si="12"/>
        <v>734400</v>
      </c>
      <c r="DC9" s="46">
        <f t="shared" si="12"/>
        <v>72000</v>
      </c>
      <c r="DD9" s="46">
        <f t="shared" si="12"/>
        <v>723600</v>
      </c>
      <c r="DE9" s="46">
        <f t="shared" si="12"/>
        <v>59400</v>
      </c>
      <c r="DF9" s="46">
        <f t="shared" si="12"/>
        <v>562000</v>
      </c>
      <c r="DG9" s="46">
        <f t="shared" si="12"/>
        <v>48600</v>
      </c>
    </row>
    <row r="10" spans="1:114" s="3" customFormat="1" x14ac:dyDescent="0.25">
      <c r="B10" s="4" t="s">
        <v>3</v>
      </c>
      <c r="C10" s="4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f>P9</f>
        <v>0</v>
      </c>
      <c r="Q10" s="37">
        <f t="shared" ref="Q10:CB10" si="13">Q9</f>
        <v>0</v>
      </c>
      <c r="R10" s="37">
        <f t="shared" si="13"/>
        <v>0</v>
      </c>
      <c r="S10" s="37">
        <f t="shared" si="13"/>
        <v>0</v>
      </c>
      <c r="T10" s="37">
        <f t="shared" si="13"/>
        <v>0</v>
      </c>
      <c r="U10" s="37">
        <f t="shared" si="13"/>
        <v>0</v>
      </c>
      <c r="V10" s="37">
        <f t="shared" si="13"/>
        <v>0</v>
      </c>
      <c r="W10" s="37">
        <f t="shared" si="13"/>
        <v>0</v>
      </c>
      <c r="X10" s="37">
        <f t="shared" si="13"/>
        <v>0</v>
      </c>
      <c r="Y10" s="37">
        <f t="shared" si="13"/>
        <v>150000</v>
      </c>
      <c r="Z10" s="37">
        <f t="shared" si="13"/>
        <v>187500</v>
      </c>
      <c r="AA10" s="37">
        <f t="shared" si="13"/>
        <v>112500</v>
      </c>
      <c r="AB10" s="37">
        <f t="shared" si="13"/>
        <v>0</v>
      </c>
      <c r="AC10" s="37">
        <f t="shared" ref="AC10" si="14">AC9</f>
        <v>112500</v>
      </c>
      <c r="AD10" s="37">
        <f t="shared" ref="AD10:AE10" si="15">AD9</f>
        <v>112500</v>
      </c>
      <c r="AE10" s="37">
        <f t="shared" si="15"/>
        <v>0</v>
      </c>
      <c r="AF10" s="37">
        <f t="shared" ref="AF10:AG10" si="16">AF9</f>
        <v>82459.320000000007</v>
      </c>
      <c r="AG10" s="37">
        <f t="shared" si="16"/>
        <v>10928.64</v>
      </c>
      <c r="AH10" s="37">
        <f t="shared" ref="AH10:AI10" si="17">AH9</f>
        <v>700</v>
      </c>
      <c r="AI10" s="37">
        <f t="shared" si="17"/>
        <v>45897</v>
      </c>
      <c r="AJ10" s="37">
        <f t="shared" ref="AJ10:AK10" si="18">AJ9</f>
        <v>49010.3</v>
      </c>
      <c r="AK10" s="37">
        <f t="shared" si="18"/>
        <v>24753.5</v>
      </c>
      <c r="AL10" s="37">
        <f t="shared" ref="AL10:AM10" si="19">AL9</f>
        <v>23117.99</v>
      </c>
      <c r="AM10" s="37">
        <f t="shared" si="19"/>
        <v>80987.3</v>
      </c>
      <c r="AN10" s="37">
        <f t="shared" ref="AN10:AO10" si="20">AN9</f>
        <v>89802.44</v>
      </c>
      <c r="AO10" s="37">
        <f t="shared" si="20"/>
        <v>20473.86</v>
      </c>
      <c r="AP10" s="37">
        <f t="shared" ref="AP10:AQ10" si="21">AP9</f>
        <v>0</v>
      </c>
      <c r="AQ10" s="37">
        <f t="shared" si="21"/>
        <v>11761.5</v>
      </c>
      <c r="AR10" s="37">
        <f t="shared" ref="AR10:AS10" si="22">AR9</f>
        <v>4100.5</v>
      </c>
      <c r="AS10" s="156">
        <f t="shared" si="22"/>
        <v>90000</v>
      </c>
      <c r="AT10" s="37">
        <f t="shared" ref="AT10" si="23">AT9</f>
        <v>6600</v>
      </c>
      <c r="AU10" s="37">
        <f t="shared" si="13"/>
        <v>8000</v>
      </c>
      <c r="AV10" s="37">
        <f t="shared" si="13"/>
        <v>5400</v>
      </c>
      <c r="AW10" s="37">
        <f t="shared" si="13"/>
        <v>6600</v>
      </c>
      <c r="AX10" s="37">
        <f t="shared" si="13"/>
        <v>133000</v>
      </c>
      <c r="AY10" s="156">
        <f t="shared" si="13"/>
        <v>5400</v>
      </c>
      <c r="AZ10" s="37">
        <f t="shared" si="13"/>
        <v>19800</v>
      </c>
      <c r="BA10" s="37">
        <f t="shared" si="13"/>
        <v>24000</v>
      </c>
      <c r="BB10" s="37">
        <f t="shared" si="13"/>
        <v>266200</v>
      </c>
      <c r="BC10" s="37">
        <f t="shared" si="13"/>
        <v>332300</v>
      </c>
      <c r="BD10" s="37">
        <f t="shared" si="13"/>
        <v>211500</v>
      </c>
      <c r="BE10" s="37">
        <f t="shared" si="13"/>
        <v>16200.000000000002</v>
      </c>
      <c r="BF10" s="37">
        <f t="shared" si="13"/>
        <v>213900</v>
      </c>
      <c r="BG10" s="37">
        <f t="shared" si="13"/>
        <v>32000</v>
      </c>
      <c r="BH10" s="37">
        <f t="shared" si="13"/>
        <v>209100</v>
      </c>
      <c r="BI10" s="37">
        <f t="shared" si="13"/>
        <v>26400</v>
      </c>
      <c r="BJ10" s="37">
        <f t="shared" si="13"/>
        <v>247000</v>
      </c>
      <c r="BK10" s="156">
        <f t="shared" si="13"/>
        <v>21600</v>
      </c>
      <c r="BL10" s="37">
        <f t="shared" si="13"/>
        <v>33000</v>
      </c>
      <c r="BM10" s="37">
        <f t="shared" si="13"/>
        <v>40000</v>
      </c>
      <c r="BN10" s="37">
        <f t="shared" si="13"/>
        <v>457000</v>
      </c>
      <c r="BO10" s="37">
        <f t="shared" si="13"/>
        <v>570500</v>
      </c>
      <c r="BP10" s="37">
        <f t="shared" si="13"/>
        <v>362500</v>
      </c>
      <c r="BQ10" s="37">
        <f t="shared" si="13"/>
        <v>27000</v>
      </c>
      <c r="BR10" s="37">
        <f t="shared" si="13"/>
        <v>355500</v>
      </c>
      <c r="BS10" s="37">
        <f t="shared" si="13"/>
        <v>40000</v>
      </c>
      <c r="BT10" s="37">
        <f t="shared" si="13"/>
        <v>349500</v>
      </c>
      <c r="BU10" s="37">
        <f t="shared" si="13"/>
        <v>33000</v>
      </c>
      <c r="BV10" s="37">
        <f t="shared" si="13"/>
        <v>335000</v>
      </c>
      <c r="BW10" s="156">
        <f t="shared" si="13"/>
        <v>27000</v>
      </c>
      <c r="BX10" s="37">
        <f t="shared" si="13"/>
        <v>39600</v>
      </c>
      <c r="BY10" s="37">
        <f t="shared" si="13"/>
        <v>48000</v>
      </c>
      <c r="BZ10" s="37">
        <f t="shared" si="13"/>
        <v>622400</v>
      </c>
      <c r="CA10" s="37">
        <f t="shared" si="13"/>
        <v>777100</v>
      </c>
      <c r="CB10" s="37">
        <f t="shared" si="13"/>
        <v>490500</v>
      </c>
      <c r="CC10" s="37">
        <f t="shared" ref="CC10:DG10" si="24">CC9</f>
        <v>32400.000000000004</v>
      </c>
      <c r="CD10" s="37">
        <f t="shared" si="24"/>
        <v>482100</v>
      </c>
      <c r="CE10" s="37">
        <f t="shared" si="24"/>
        <v>48000</v>
      </c>
      <c r="CF10" s="37">
        <f t="shared" si="24"/>
        <v>474900</v>
      </c>
      <c r="CG10" s="37">
        <f t="shared" si="24"/>
        <v>39600</v>
      </c>
      <c r="CH10" s="37">
        <f t="shared" si="24"/>
        <v>388000</v>
      </c>
      <c r="CI10" s="156">
        <f t="shared" si="24"/>
        <v>32400.000000000004</v>
      </c>
      <c r="CJ10" s="37">
        <f t="shared" si="24"/>
        <v>46200</v>
      </c>
      <c r="CK10" s="37">
        <f t="shared" si="24"/>
        <v>56000</v>
      </c>
      <c r="CL10" s="37">
        <f t="shared" si="24"/>
        <v>717800</v>
      </c>
      <c r="CM10" s="37">
        <f t="shared" si="24"/>
        <v>896200</v>
      </c>
      <c r="CN10" s="37">
        <f t="shared" si="24"/>
        <v>566000</v>
      </c>
      <c r="CO10" s="37">
        <f t="shared" si="24"/>
        <v>37800</v>
      </c>
      <c r="CP10" s="37">
        <f t="shared" si="24"/>
        <v>562800</v>
      </c>
      <c r="CQ10" s="37">
        <f t="shared" si="24"/>
        <v>64000</v>
      </c>
      <c r="CR10" s="37">
        <f t="shared" si="24"/>
        <v>553200</v>
      </c>
      <c r="CS10" s="37">
        <f t="shared" si="24"/>
        <v>52800</v>
      </c>
      <c r="CT10" s="37">
        <f t="shared" si="24"/>
        <v>514000</v>
      </c>
      <c r="CU10" s="156">
        <f t="shared" si="24"/>
        <v>43200</v>
      </c>
      <c r="CV10" s="37">
        <f t="shared" si="24"/>
        <v>52800</v>
      </c>
      <c r="CW10" s="37">
        <f t="shared" si="24"/>
        <v>64000</v>
      </c>
      <c r="CX10" s="37">
        <f t="shared" si="24"/>
        <v>943200</v>
      </c>
      <c r="CY10" s="37">
        <f t="shared" si="24"/>
        <v>1177800</v>
      </c>
      <c r="CZ10" s="37">
        <f t="shared" si="24"/>
        <v>739000</v>
      </c>
      <c r="DA10" s="37">
        <f t="shared" si="24"/>
        <v>43200</v>
      </c>
      <c r="DB10" s="37">
        <f t="shared" si="24"/>
        <v>734400</v>
      </c>
      <c r="DC10" s="37">
        <f t="shared" si="24"/>
        <v>72000</v>
      </c>
      <c r="DD10" s="37">
        <f t="shared" si="24"/>
        <v>723600</v>
      </c>
      <c r="DE10" s="37">
        <f t="shared" si="24"/>
        <v>59400</v>
      </c>
      <c r="DF10" s="37">
        <f t="shared" si="24"/>
        <v>562000</v>
      </c>
      <c r="DG10" s="37">
        <f t="shared" si="24"/>
        <v>48600</v>
      </c>
    </row>
    <row r="11" spans="1:114" s="333" customFormat="1" x14ac:dyDescent="0.25">
      <c r="B11" s="334" t="s">
        <v>345</v>
      </c>
      <c r="C11" s="334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>
        <f>+'Home Builder Revenue Build'!E72</f>
        <v>0</v>
      </c>
      <c r="Q11" s="335">
        <f>+'Home Builder Revenue Build'!F72</f>
        <v>0</v>
      </c>
      <c r="R11" s="335">
        <f>+'Home Builder Revenue Build'!G72</f>
        <v>0</v>
      </c>
      <c r="S11" s="335">
        <f>+'Home Builder Revenue Build'!H72</f>
        <v>0</v>
      </c>
      <c r="T11" s="335">
        <f>+'Home Builder Revenue Build'!I72</f>
        <v>0</v>
      </c>
      <c r="U11" s="335">
        <f>+'Home Builder Revenue Build'!J72</f>
        <v>0</v>
      </c>
      <c r="V11" s="335">
        <f>+'Home Builder Revenue Build'!K72</f>
        <v>0</v>
      </c>
      <c r="W11" s="335">
        <f>+'Home Builder Revenue Build'!L72</f>
        <v>27721.396153846152</v>
      </c>
      <c r="X11" s="335">
        <f>+'Home Builder Revenue Build'!M72</f>
        <v>2097.830769230769</v>
      </c>
      <c r="Y11" s="335">
        <f>+'Home Builder Revenue Build'!N72</f>
        <v>94903.523076923069</v>
      </c>
      <c r="Z11" s="335">
        <f>+'Home Builder Revenue Build'!O72</f>
        <v>170208.46153846153</v>
      </c>
      <c r="AA11" s="335">
        <f>+'Home Builder Revenue Build'!P72</f>
        <v>155068.78692307702</v>
      </c>
      <c r="AB11" s="335">
        <f>+'Home Builder Revenue Build'!Q72</f>
        <v>87244.400821314324</v>
      </c>
      <c r="AC11" s="335">
        <f>+'Home Builder Revenue Build'!R72</f>
        <v>18265.480044688287</v>
      </c>
      <c r="AD11" s="335">
        <f>+'Home Builder Revenue Build'!S72</f>
        <v>139877.15670038012</v>
      </c>
      <c r="AE11" s="335">
        <f>+'Home Builder Revenue Build'!T72</f>
        <v>54612.964280799766</v>
      </c>
      <c r="AF11" s="335">
        <f>+'Home Builder Revenue Build'!U72</f>
        <v>1995</v>
      </c>
      <c r="AG11" s="335">
        <f>+'Home Builder Revenue Build'!V72</f>
        <v>0</v>
      </c>
      <c r="AH11" s="335">
        <f>+'Home Builder Revenue Build'!W72</f>
        <v>0</v>
      </c>
      <c r="AI11" s="335">
        <f>+'Home Builder Revenue Build'!X72</f>
        <v>0</v>
      </c>
      <c r="AJ11" s="335">
        <f>+'Home Builder Revenue Build'!Y72</f>
        <v>0</v>
      </c>
      <c r="AK11" s="335">
        <f>+'Home Builder Revenue Build'!Z72</f>
        <v>0</v>
      </c>
      <c r="AL11" s="335">
        <f>+'Home Builder Revenue Build'!AA72</f>
        <v>0</v>
      </c>
      <c r="AM11" s="335">
        <f>+'Home Builder Revenue Build'!AB72</f>
        <v>0</v>
      </c>
      <c r="AN11" s="335">
        <f>+'Home Builder Revenue Build'!AC72</f>
        <v>0</v>
      </c>
      <c r="AO11" s="335">
        <f>+'Home Builder Revenue Build'!AD72</f>
        <v>0</v>
      </c>
      <c r="AP11" s="335">
        <f>+'Home Builder Revenue Build'!AE72</f>
        <v>0</v>
      </c>
      <c r="AQ11" s="335">
        <f>+'Home Builder Revenue Build'!AF72</f>
        <v>0</v>
      </c>
      <c r="AR11" s="335">
        <f>+'Home Builder Revenue Build'!AG72</f>
        <v>0</v>
      </c>
      <c r="AS11" s="336">
        <f>+'Home Builder Revenue Build'!AH72</f>
        <v>90000</v>
      </c>
      <c r="AT11" s="335">
        <f>+'Home Builder Revenue Build'!AI72</f>
        <v>0</v>
      </c>
      <c r="AU11" s="335">
        <f>+'Home Builder Revenue Build'!AJ72</f>
        <v>0</v>
      </c>
      <c r="AV11" s="335">
        <f>+'Home Builder Revenue Build'!AK72</f>
        <v>0</v>
      </c>
      <c r="AW11" s="335">
        <f>+'Home Builder Revenue Build'!AL72</f>
        <v>0</v>
      </c>
      <c r="AX11" s="335">
        <f>+'Home Builder Revenue Build'!AM72</f>
        <v>0</v>
      </c>
      <c r="AY11" s="336">
        <f>+'Home Builder Revenue Build'!AN72</f>
        <v>7533.7164629450408</v>
      </c>
      <c r="AZ11" s="335">
        <f>+'Home Builder Revenue Build'!AO72</f>
        <v>1077.5121250710095</v>
      </c>
      <c r="BA11" s="335">
        <f>+'Home Builder Revenue Build'!AP72</f>
        <v>44655.139894241693</v>
      </c>
      <c r="BB11" s="335">
        <f>+'Home Builder Revenue Build'!AQ72</f>
        <v>4030.9595572718176</v>
      </c>
      <c r="BC11" s="335">
        <f>+'Home Builder Revenue Build'!AR72</f>
        <v>182356.11231213066</v>
      </c>
      <c r="BD11" s="335">
        <f>+'Home Builder Revenue Build'!AS72</f>
        <v>327026.28239196556</v>
      </c>
      <c r="BE11" s="335">
        <f>+'Home Builder Revenue Build'!AT72</f>
        <v>220355.97417773673</v>
      </c>
      <c r="BF11" s="335">
        <f>+'Home Builder Revenue Build'!AU72</f>
        <v>145407.33470219054</v>
      </c>
      <c r="BG11" s="335">
        <f>+'Home Builder Revenue Build'!AV72</f>
        <v>30442.466741147146</v>
      </c>
      <c r="BH11" s="335">
        <f>+'Home Builder Revenue Build'!AW72</f>
        <v>233128.59450063354</v>
      </c>
      <c r="BI11" s="335">
        <f>+'Home Builder Revenue Build'!AX72</f>
        <v>53985.907134666275</v>
      </c>
      <c r="BJ11" s="335">
        <f>+'Home Builder Revenue Build'!AY72</f>
        <v>0</v>
      </c>
      <c r="BK11" s="336">
        <f>+'Home Builder Revenue Build'!AZ72</f>
        <v>12957.99231626547</v>
      </c>
      <c r="BL11" s="335">
        <f>+'Home Builder Revenue Build'!BA72</f>
        <v>1853.3208551221362</v>
      </c>
      <c r="BM11" s="335">
        <f>+'Home Builder Revenue Build'!BB72</f>
        <v>76806.84061809571</v>
      </c>
      <c r="BN11" s="335">
        <f>+'Home Builder Revenue Build'!BC72</f>
        <v>6933.2504385075263</v>
      </c>
      <c r="BO11" s="335">
        <f>+'Home Builder Revenue Build'!BD72</f>
        <v>313652.51317686471</v>
      </c>
      <c r="BP11" s="335">
        <f>+'Home Builder Revenue Build'!BE72</f>
        <v>562485.20571418072</v>
      </c>
      <c r="BQ11" s="335">
        <f>+'Home Builder Revenue Build'!BF72</f>
        <v>379012.27558570716</v>
      </c>
      <c r="BR11" s="335">
        <f>+'Home Builder Revenue Build'!BG72</f>
        <v>250100.61568776774</v>
      </c>
      <c r="BS11" s="335">
        <f>+'Home Builder Revenue Build'!BH72</f>
        <v>52361.042794773093</v>
      </c>
      <c r="BT11" s="335">
        <f>+'Home Builder Revenue Build'!BI72</f>
        <v>400981.18254108966</v>
      </c>
      <c r="BU11" s="335">
        <f>+'Home Builder Revenue Build'!BJ72</f>
        <v>92855.760271626001</v>
      </c>
      <c r="BV11" s="335">
        <f>+'Home Builder Revenue Build'!BK72</f>
        <v>0</v>
      </c>
      <c r="BW11" s="336">
        <f>+'Home Builder Revenue Build'!BL72</f>
        <v>17779.570852550296</v>
      </c>
      <c r="BX11" s="335">
        <f>+'Home Builder Revenue Build'!BM72</f>
        <v>2542.9286151675819</v>
      </c>
      <c r="BY11" s="335">
        <f>+'Home Builder Revenue Build'!BN72</f>
        <v>105386.13015041039</v>
      </c>
      <c r="BZ11" s="335">
        <f>+'Home Builder Revenue Build'!BO72</f>
        <v>9513.0645551614889</v>
      </c>
      <c r="CA11" s="335">
        <f>+'Home Builder Revenue Build'!BP72</f>
        <v>430360.42505662836</v>
      </c>
      <c r="CB11" s="335">
        <f>+'Home Builder Revenue Build'!BQ72</f>
        <v>771782.02644503873</v>
      </c>
      <c r="CC11" s="335">
        <f>+'Home Builder Revenue Build'!BR72</f>
        <v>520040.09905945871</v>
      </c>
      <c r="CD11" s="335">
        <f>+'Home Builder Revenue Build'!BS72</f>
        <v>343161.3098971697</v>
      </c>
      <c r="CE11" s="335">
        <f>+'Home Builder Revenue Build'!BT72</f>
        <v>71844.221509107258</v>
      </c>
      <c r="CF11" s="335">
        <f>+'Home Builder Revenue Build'!BU72</f>
        <v>550183.48302149517</v>
      </c>
      <c r="CG11" s="335">
        <f>+'Home Builder Revenue Build'!BV72</f>
        <v>127406.74083781241</v>
      </c>
      <c r="CH11" s="335">
        <f>+'Home Builder Revenue Build'!BW72</f>
        <v>0</v>
      </c>
      <c r="CI11" s="336">
        <f>+'Home Builder Revenue Build'!BX72</f>
        <v>20491.708779210512</v>
      </c>
      <c r="CJ11" s="335">
        <f>+'Home Builder Revenue Build'!BY72</f>
        <v>2930.8329801931454</v>
      </c>
      <c r="CK11" s="335">
        <f>+'Home Builder Revenue Build'!BZ72</f>
        <v>121461.98051233741</v>
      </c>
      <c r="CL11" s="335">
        <f>+'Home Builder Revenue Build'!CA72</f>
        <v>10964.209995779343</v>
      </c>
      <c r="CM11" s="335">
        <f>+'Home Builder Revenue Build'!CB72</f>
        <v>496008.62548899534</v>
      </c>
      <c r="CN11" s="335">
        <f>+'Home Builder Revenue Build'!CC72</f>
        <v>889511.48810614634</v>
      </c>
      <c r="CO11" s="335">
        <f>+'Home Builder Revenue Build'!CD72</f>
        <v>599368.24976344395</v>
      </c>
      <c r="CP11" s="335">
        <f>+'Home Builder Revenue Build'!CE72</f>
        <v>395507.95038995828</v>
      </c>
      <c r="CQ11" s="335">
        <f>+'Home Builder Revenue Build'!CF72</f>
        <v>82803.509535920239</v>
      </c>
      <c r="CR11" s="335">
        <f>+'Home Builder Revenue Build'!CG72</f>
        <v>634109.77704172325</v>
      </c>
      <c r="CS11" s="335">
        <f>+'Home Builder Revenue Build'!CH72</f>
        <v>146841.66740629228</v>
      </c>
      <c r="CT11" s="335">
        <f>+'Home Builder Revenue Build'!CI72</f>
        <v>0</v>
      </c>
      <c r="CU11" s="336">
        <f>+'Home Builder Revenue Build'!CJ72</f>
        <v>27121.379266602147</v>
      </c>
      <c r="CV11" s="335">
        <f>+'Home Builder Revenue Build'!CK72</f>
        <v>3879.0436502556336</v>
      </c>
      <c r="CW11" s="335">
        <f>+'Home Builder Revenue Build'!CL72</f>
        <v>160758.50361927011</v>
      </c>
      <c r="CX11" s="335">
        <f>+'Home Builder Revenue Build'!CM72</f>
        <v>14511.454406178544</v>
      </c>
      <c r="CY11" s="335">
        <f>+'Home Builder Revenue Build'!CN72</f>
        <v>656482.00432367029</v>
      </c>
      <c r="CZ11" s="335">
        <f>+'Home Builder Revenue Build'!CO72</f>
        <v>1177294.6166110761</v>
      </c>
      <c r="DA11" s="335">
        <f>+'Home Builder Revenue Build'!CP72</f>
        <v>793281.50703985221</v>
      </c>
      <c r="DB11" s="335">
        <f>+'Home Builder Revenue Build'!CQ72</f>
        <v>523466.40492788597</v>
      </c>
      <c r="DC11" s="335">
        <f>+'Home Builder Revenue Build'!CR72</f>
        <v>109592.88026812972</v>
      </c>
      <c r="DD11" s="335">
        <f>+'Home Builder Revenue Build'!CS72</f>
        <v>839262.94020228076</v>
      </c>
      <c r="DE11" s="335">
        <f>+'Home Builder Revenue Build'!CT72</f>
        <v>194349.26568479859</v>
      </c>
      <c r="DF11" s="335">
        <f>+'Home Builder Revenue Build'!CU72</f>
        <v>0</v>
      </c>
      <c r="DG11" s="335">
        <f>+'Home Builder Revenue Build'!CV72</f>
        <v>29532.16853474456</v>
      </c>
    </row>
    <row r="12" spans="1:114" s="333" customFormat="1" x14ac:dyDescent="0.25">
      <c r="B12" s="334" t="s">
        <v>346</v>
      </c>
      <c r="C12" s="334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35"/>
      <c r="AB12" s="335">
        <f>+'Contractor Revenue Build'!G38</f>
        <v>0</v>
      </c>
      <c r="AC12" s="335">
        <f>+'Contractor Revenue Build'!H38</f>
        <v>0</v>
      </c>
      <c r="AD12" s="335">
        <f>+'Contractor Revenue Build'!I38</f>
        <v>0</v>
      </c>
      <c r="AE12" s="335">
        <f>+'Contractor Revenue Build'!J38</f>
        <v>0</v>
      </c>
      <c r="AF12" s="335">
        <f>+'Contractor Revenue Build'!K38</f>
        <v>5464.32</v>
      </c>
      <c r="AG12" s="335">
        <f>+'Contractor Revenue Build'!L38</f>
        <v>10928.64</v>
      </c>
      <c r="AH12" s="335">
        <f>+'Contractor Revenue Build'!M38</f>
        <v>700</v>
      </c>
      <c r="AI12" s="335">
        <f>+'Contractor Revenue Build'!N38</f>
        <v>45897</v>
      </c>
      <c r="AJ12" s="335">
        <f>+'Contractor Revenue Build'!O38</f>
        <v>49010.3</v>
      </c>
      <c r="AK12" s="335">
        <f>+'Contractor Revenue Build'!P38</f>
        <v>24753.5</v>
      </c>
      <c r="AL12" s="335">
        <f>+'Contractor Revenue Build'!Q38</f>
        <v>23117.99</v>
      </c>
      <c r="AM12" s="335">
        <f>+'Contractor Revenue Build'!R38</f>
        <v>77453.3</v>
      </c>
      <c r="AN12" s="335">
        <f>+'Contractor Revenue Build'!S38</f>
        <v>70951.44</v>
      </c>
      <c r="AO12" s="335">
        <f>+'Contractor Revenue Build'!T38</f>
        <v>20473.86</v>
      </c>
      <c r="AP12" s="335">
        <f>+'Contractor Revenue Build'!U38</f>
        <v>0</v>
      </c>
      <c r="AQ12" s="335">
        <f>+'Contractor Revenue Build'!V38</f>
        <v>11761.5</v>
      </c>
      <c r="AR12" s="335">
        <f>+'Contractor Revenue Build'!W38</f>
        <v>4100.5</v>
      </c>
      <c r="AS12" s="336">
        <f>+'Contractor Revenue Build'!X38</f>
        <v>0</v>
      </c>
      <c r="AT12" s="335">
        <f>+'Contractor Revenue Build'!Y38</f>
        <v>6600</v>
      </c>
      <c r="AU12" s="335">
        <f>+'Contractor Revenue Build'!Z38</f>
        <v>6600</v>
      </c>
      <c r="AV12" s="335">
        <f>+'Contractor Revenue Build'!AA38</f>
        <v>6600</v>
      </c>
      <c r="AW12" s="335">
        <f>+'Contractor Revenue Build'!AB38</f>
        <v>6600</v>
      </c>
      <c r="AX12" s="335">
        <f>+'Contractor Revenue Build'!AC38</f>
        <v>6600</v>
      </c>
      <c r="AY12" s="336">
        <f>+'Contractor Revenue Build'!AD38</f>
        <v>6600</v>
      </c>
      <c r="AZ12" s="335">
        <f>+'Contractor Revenue Build'!AE38</f>
        <v>19800</v>
      </c>
      <c r="BA12" s="335">
        <f>+'Contractor Revenue Build'!AF38</f>
        <v>19800</v>
      </c>
      <c r="BB12" s="335">
        <f>+'Contractor Revenue Build'!AG38</f>
        <v>19800</v>
      </c>
      <c r="BC12" s="335">
        <f>+'Contractor Revenue Build'!AH38</f>
        <v>19800</v>
      </c>
      <c r="BD12" s="335">
        <f>+'Contractor Revenue Build'!AI38</f>
        <v>19800</v>
      </c>
      <c r="BE12" s="335">
        <f>+'Contractor Revenue Build'!AJ38</f>
        <v>19800</v>
      </c>
      <c r="BF12" s="335">
        <f>+'Contractor Revenue Build'!AK38</f>
        <v>26400</v>
      </c>
      <c r="BG12" s="335">
        <f>+'Contractor Revenue Build'!AL38</f>
        <v>26400</v>
      </c>
      <c r="BH12" s="335">
        <f>+'Contractor Revenue Build'!AM38</f>
        <v>26400</v>
      </c>
      <c r="BI12" s="335">
        <f>+'Contractor Revenue Build'!AN38</f>
        <v>26400</v>
      </c>
      <c r="BJ12" s="335">
        <f>+'Contractor Revenue Build'!AO38</f>
        <v>26400</v>
      </c>
      <c r="BK12" s="336">
        <f>+'Contractor Revenue Build'!AP38</f>
        <v>26400</v>
      </c>
      <c r="BL12" s="335">
        <f>+'Contractor Revenue Build'!AQ38</f>
        <v>33000</v>
      </c>
      <c r="BM12" s="335">
        <f>+'Contractor Revenue Build'!AR38</f>
        <v>33000</v>
      </c>
      <c r="BN12" s="335">
        <f>+'Contractor Revenue Build'!AS38</f>
        <v>33000</v>
      </c>
      <c r="BO12" s="335">
        <f>+'Contractor Revenue Build'!AT38</f>
        <v>33000</v>
      </c>
      <c r="BP12" s="335">
        <f>+'Contractor Revenue Build'!AU38</f>
        <v>33000</v>
      </c>
      <c r="BQ12" s="335">
        <f>+'Contractor Revenue Build'!AV38</f>
        <v>33000</v>
      </c>
      <c r="BR12" s="335">
        <f>+'Contractor Revenue Build'!AW38</f>
        <v>33000</v>
      </c>
      <c r="BS12" s="335">
        <f>+'Contractor Revenue Build'!AX38</f>
        <v>33000</v>
      </c>
      <c r="BT12" s="335">
        <f>+'Contractor Revenue Build'!AY38</f>
        <v>33000</v>
      </c>
      <c r="BU12" s="335">
        <f>+'Contractor Revenue Build'!AZ38</f>
        <v>33000</v>
      </c>
      <c r="BV12" s="335">
        <f>+'Contractor Revenue Build'!BA38</f>
        <v>33000</v>
      </c>
      <c r="BW12" s="336">
        <f>+'Contractor Revenue Build'!BB38</f>
        <v>33000</v>
      </c>
      <c r="BX12" s="335">
        <f>+'Contractor Revenue Build'!BC38</f>
        <v>39600</v>
      </c>
      <c r="BY12" s="335">
        <f>+'Contractor Revenue Build'!BD38</f>
        <v>39600</v>
      </c>
      <c r="BZ12" s="335">
        <f>+'Contractor Revenue Build'!BE38</f>
        <v>39600</v>
      </c>
      <c r="CA12" s="335">
        <f>+'Contractor Revenue Build'!BF38</f>
        <v>39600</v>
      </c>
      <c r="CB12" s="335">
        <f>+'Contractor Revenue Build'!BG38</f>
        <v>39600</v>
      </c>
      <c r="CC12" s="335">
        <f>+'Contractor Revenue Build'!BH38</f>
        <v>39600</v>
      </c>
      <c r="CD12" s="335">
        <f>+'Contractor Revenue Build'!BI38</f>
        <v>39600</v>
      </c>
      <c r="CE12" s="335">
        <f>+'Contractor Revenue Build'!BJ38</f>
        <v>39600</v>
      </c>
      <c r="CF12" s="335">
        <f>+'Contractor Revenue Build'!BK38</f>
        <v>39600</v>
      </c>
      <c r="CG12" s="335">
        <f>+'Contractor Revenue Build'!BL38</f>
        <v>39600</v>
      </c>
      <c r="CH12" s="335">
        <f>+'Contractor Revenue Build'!BM38</f>
        <v>39600</v>
      </c>
      <c r="CI12" s="336">
        <f>+'Contractor Revenue Build'!BN38</f>
        <v>39600</v>
      </c>
      <c r="CJ12" s="335">
        <f>+'Contractor Revenue Build'!BO38</f>
        <v>46200</v>
      </c>
      <c r="CK12" s="335">
        <f>+'Contractor Revenue Build'!BP38</f>
        <v>46200</v>
      </c>
      <c r="CL12" s="335">
        <f>+'Contractor Revenue Build'!BQ38</f>
        <v>46200</v>
      </c>
      <c r="CM12" s="335">
        <f>+'Contractor Revenue Build'!BR38</f>
        <v>46200</v>
      </c>
      <c r="CN12" s="335">
        <f>+'Contractor Revenue Build'!BS38</f>
        <v>46200</v>
      </c>
      <c r="CO12" s="335">
        <f>+'Contractor Revenue Build'!BT38</f>
        <v>46200</v>
      </c>
      <c r="CP12" s="335">
        <f>+'Contractor Revenue Build'!BU38</f>
        <v>52800</v>
      </c>
      <c r="CQ12" s="335">
        <f>+'Contractor Revenue Build'!BV38</f>
        <v>52800</v>
      </c>
      <c r="CR12" s="335">
        <f>+'Contractor Revenue Build'!BW38</f>
        <v>52800</v>
      </c>
      <c r="CS12" s="335">
        <f>+'Contractor Revenue Build'!BX38</f>
        <v>52800</v>
      </c>
      <c r="CT12" s="335">
        <f>+'Contractor Revenue Build'!BY38</f>
        <v>52800</v>
      </c>
      <c r="CU12" s="336">
        <f>+'Contractor Revenue Build'!BZ38</f>
        <v>52800</v>
      </c>
      <c r="CV12" s="335">
        <f>+'Contractor Revenue Build'!CA38</f>
        <v>52800</v>
      </c>
      <c r="CW12" s="335">
        <f>+'Contractor Revenue Build'!CB38</f>
        <v>52800</v>
      </c>
      <c r="CX12" s="335">
        <f>+'Contractor Revenue Build'!CC38</f>
        <v>52800</v>
      </c>
      <c r="CY12" s="335">
        <f>+'Contractor Revenue Build'!CD38</f>
        <v>52800</v>
      </c>
      <c r="CZ12" s="335">
        <f>+'Contractor Revenue Build'!CE38</f>
        <v>52800</v>
      </c>
      <c r="DA12" s="335">
        <f>+'Contractor Revenue Build'!CF38</f>
        <v>52800</v>
      </c>
      <c r="DB12" s="335">
        <f>+'Contractor Revenue Build'!CG38</f>
        <v>59400</v>
      </c>
      <c r="DC12" s="335">
        <f>+'Contractor Revenue Build'!CH38</f>
        <v>59400</v>
      </c>
      <c r="DD12" s="335">
        <f>+'Contractor Revenue Build'!CI38</f>
        <v>59400</v>
      </c>
      <c r="DE12" s="335">
        <f>+'Contractor Revenue Build'!CJ38</f>
        <v>59400</v>
      </c>
      <c r="DF12" s="335">
        <f>+'Contractor Revenue Build'!CK38</f>
        <v>59400</v>
      </c>
      <c r="DG12" s="335">
        <f>+'Contractor Revenue Build'!CL38</f>
        <v>59400</v>
      </c>
    </row>
    <row r="13" spans="1:114" s="333" customFormat="1" x14ac:dyDescent="0.25">
      <c r="B13" s="334"/>
      <c r="C13" s="334" t="s">
        <v>493</v>
      </c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335"/>
      <c r="X13" s="335"/>
      <c r="Y13" s="335"/>
      <c r="Z13" s="335"/>
      <c r="AA13" s="335"/>
      <c r="AB13" s="526">
        <f>+'Contractor Revenue Build'!G4</f>
        <v>0</v>
      </c>
      <c r="AC13" s="526">
        <f>+'Contractor Revenue Build'!H4</f>
        <v>0</v>
      </c>
      <c r="AD13" s="526">
        <f>+'Contractor Revenue Build'!I4</f>
        <v>1</v>
      </c>
      <c r="AE13" s="526">
        <f>+'Contractor Revenue Build'!J4</f>
        <v>0</v>
      </c>
      <c r="AF13" s="526">
        <f>+'Contractor Revenue Build'!K4</f>
        <v>2</v>
      </c>
      <c r="AG13" s="526">
        <f>+'Contractor Revenue Build'!L4</f>
        <v>0</v>
      </c>
      <c r="AH13" s="527">
        <f>+'Contractor Revenue Build'!M4</f>
        <v>1</v>
      </c>
      <c r="AI13" s="527">
        <f>+'Contractor Revenue Build'!N4</f>
        <v>4</v>
      </c>
      <c r="AJ13" s="527">
        <f>+'Contractor Revenue Build'!O4</f>
        <v>2</v>
      </c>
      <c r="AK13" s="527">
        <f>+'Contractor Revenue Build'!P4</f>
        <v>3</v>
      </c>
      <c r="AL13" s="527">
        <f>+'Contractor Revenue Build'!Q4</f>
        <v>1</v>
      </c>
      <c r="AM13" s="527">
        <f>+'Contractor Revenue Build'!R4</f>
        <v>1</v>
      </c>
      <c r="AN13" s="527">
        <f>+'Contractor Revenue Build'!S4</f>
        <v>1</v>
      </c>
      <c r="AO13" s="527">
        <f>+'Contractor Revenue Build'!T4</f>
        <v>0</v>
      </c>
      <c r="AP13" s="527">
        <f>+'Contractor Revenue Build'!U4</f>
        <v>1</v>
      </c>
      <c r="AQ13" s="527">
        <f>+'Contractor Revenue Build'!V4</f>
        <v>0</v>
      </c>
      <c r="AR13" s="527">
        <f>+'Contractor Revenue Build'!W4</f>
        <v>0</v>
      </c>
      <c r="AS13" s="528">
        <f>+'Contractor Revenue Build'!X4</f>
        <v>0</v>
      </c>
      <c r="AT13" s="527">
        <f>+'Contractor Revenue Build'!Y4</f>
        <v>1</v>
      </c>
      <c r="AU13" s="526">
        <f>+'Contractor Revenue Build'!Z4</f>
        <v>0</v>
      </c>
      <c r="AV13" s="526">
        <f>+'Contractor Revenue Build'!AA4</f>
        <v>0</v>
      </c>
      <c r="AW13" s="526">
        <f>+'Contractor Revenue Build'!AB4</f>
        <v>1</v>
      </c>
      <c r="AX13" s="526">
        <f>+'Contractor Revenue Build'!AC4</f>
        <v>0</v>
      </c>
      <c r="AY13" s="528">
        <f>+'Contractor Revenue Build'!AD4</f>
        <v>0</v>
      </c>
      <c r="AZ13" s="526">
        <f>+'Contractor Revenue Build'!AE4</f>
        <v>3</v>
      </c>
      <c r="BA13" s="526">
        <f>+'Contractor Revenue Build'!AF4</f>
        <v>0</v>
      </c>
      <c r="BB13" s="526">
        <f>+'Contractor Revenue Build'!AG4</f>
        <v>0</v>
      </c>
      <c r="BC13" s="526">
        <f>+'Contractor Revenue Build'!AH4</f>
        <v>3</v>
      </c>
      <c r="BD13" s="526">
        <f>+'Contractor Revenue Build'!AI4</f>
        <v>0</v>
      </c>
      <c r="BE13" s="526">
        <f>+'Contractor Revenue Build'!AJ4</f>
        <v>0</v>
      </c>
      <c r="BF13" s="526">
        <f>+'Contractor Revenue Build'!AK4</f>
        <v>4</v>
      </c>
      <c r="BG13" s="526">
        <f>+'Contractor Revenue Build'!AL4</f>
        <v>0</v>
      </c>
      <c r="BH13" s="526">
        <f>+'Contractor Revenue Build'!AM4</f>
        <v>0</v>
      </c>
      <c r="BI13" s="526">
        <f>+'Contractor Revenue Build'!AN4</f>
        <v>4</v>
      </c>
      <c r="BJ13" s="526">
        <f>+'Contractor Revenue Build'!AO4</f>
        <v>0</v>
      </c>
      <c r="BK13" s="528">
        <f>+'Contractor Revenue Build'!AP4</f>
        <v>0</v>
      </c>
      <c r="BL13" s="526">
        <f>+'Contractor Revenue Build'!AQ4</f>
        <v>5</v>
      </c>
      <c r="BM13" s="526">
        <f>+'Contractor Revenue Build'!AR4</f>
        <v>0</v>
      </c>
      <c r="BN13" s="526">
        <f>+'Contractor Revenue Build'!AS4</f>
        <v>0</v>
      </c>
      <c r="BO13" s="526">
        <f>+'Contractor Revenue Build'!AT4</f>
        <v>5</v>
      </c>
      <c r="BP13" s="526">
        <f>+'Contractor Revenue Build'!AU4</f>
        <v>0</v>
      </c>
      <c r="BQ13" s="526">
        <f>+'Contractor Revenue Build'!AV4</f>
        <v>0</v>
      </c>
      <c r="BR13" s="526">
        <f>+'Contractor Revenue Build'!AW4</f>
        <v>5</v>
      </c>
      <c r="BS13" s="526">
        <f>+'Contractor Revenue Build'!AX4</f>
        <v>0</v>
      </c>
      <c r="BT13" s="526">
        <f>+'Contractor Revenue Build'!AY4</f>
        <v>0</v>
      </c>
      <c r="BU13" s="526">
        <f>+'Contractor Revenue Build'!AZ4</f>
        <v>5</v>
      </c>
      <c r="BV13" s="526">
        <f>+'Contractor Revenue Build'!BA4</f>
        <v>0</v>
      </c>
      <c r="BW13" s="528">
        <f>+'Contractor Revenue Build'!BB4</f>
        <v>0</v>
      </c>
      <c r="BX13" s="526">
        <f>+'Contractor Revenue Build'!BC4</f>
        <v>6</v>
      </c>
      <c r="BY13" s="526">
        <f>+'Contractor Revenue Build'!BD4</f>
        <v>0</v>
      </c>
      <c r="BZ13" s="526">
        <f>+'Contractor Revenue Build'!BE4</f>
        <v>0</v>
      </c>
      <c r="CA13" s="526">
        <f>+'Contractor Revenue Build'!BF4</f>
        <v>6</v>
      </c>
      <c r="CB13" s="526">
        <f>+'Contractor Revenue Build'!BG4</f>
        <v>0</v>
      </c>
      <c r="CC13" s="526">
        <f>+'Contractor Revenue Build'!BH4</f>
        <v>0</v>
      </c>
      <c r="CD13" s="526">
        <f>+'Contractor Revenue Build'!BI4</f>
        <v>6</v>
      </c>
      <c r="CE13" s="526">
        <f>+'Contractor Revenue Build'!BJ4</f>
        <v>0</v>
      </c>
      <c r="CF13" s="526">
        <f>+'Contractor Revenue Build'!BK4</f>
        <v>0</v>
      </c>
      <c r="CG13" s="526">
        <f>+'Contractor Revenue Build'!BL4</f>
        <v>6</v>
      </c>
      <c r="CH13" s="526">
        <f>+'Contractor Revenue Build'!BM4</f>
        <v>0</v>
      </c>
      <c r="CI13" s="528">
        <f>+'Contractor Revenue Build'!BN4</f>
        <v>0</v>
      </c>
      <c r="CJ13" s="526">
        <f>+'Contractor Revenue Build'!BO4</f>
        <v>7</v>
      </c>
      <c r="CK13" s="526">
        <f>+'Contractor Revenue Build'!BP4</f>
        <v>0</v>
      </c>
      <c r="CL13" s="526">
        <f>+'Contractor Revenue Build'!BQ4</f>
        <v>0</v>
      </c>
      <c r="CM13" s="526">
        <f>+'Contractor Revenue Build'!BR4</f>
        <v>7</v>
      </c>
      <c r="CN13" s="526">
        <f>+'Contractor Revenue Build'!BS4</f>
        <v>0</v>
      </c>
      <c r="CO13" s="526">
        <f>+'Contractor Revenue Build'!BT4</f>
        <v>0</v>
      </c>
      <c r="CP13" s="526">
        <f>+'Contractor Revenue Build'!BU4</f>
        <v>8</v>
      </c>
      <c r="CQ13" s="526">
        <f>+'Contractor Revenue Build'!BV4</f>
        <v>0</v>
      </c>
      <c r="CR13" s="526">
        <f>+'Contractor Revenue Build'!BW4</f>
        <v>0</v>
      </c>
      <c r="CS13" s="526">
        <f>+'Contractor Revenue Build'!BX4</f>
        <v>8</v>
      </c>
      <c r="CT13" s="526">
        <f>+'Contractor Revenue Build'!BY4</f>
        <v>0</v>
      </c>
      <c r="CU13" s="528">
        <f>+'Contractor Revenue Build'!BZ4</f>
        <v>0</v>
      </c>
      <c r="CV13" s="526">
        <f>+'Contractor Revenue Build'!CA4</f>
        <v>8</v>
      </c>
      <c r="CW13" s="526">
        <f>+'Contractor Revenue Build'!CB4</f>
        <v>0</v>
      </c>
      <c r="CX13" s="526">
        <f>+'Contractor Revenue Build'!CC4</f>
        <v>0</v>
      </c>
      <c r="CY13" s="526">
        <f>+'Contractor Revenue Build'!CD4</f>
        <v>8</v>
      </c>
      <c r="CZ13" s="526">
        <f>+'Contractor Revenue Build'!CE4</f>
        <v>0</v>
      </c>
      <c r="DA13" s="526">
        <f>+'Contractor Revenue Build'!CF4</f>
        <v>0</v>
      </c>
      <c r="DB13" s="526">
        <f>+'Contractor Revenue Build'!CG4</f>
        <v>9</v>
      </c>
      <c r="DC13" s="526">
        <f>+'Contractor Revenue Build'!CH4</f>
        <v>0</v>
      </c>
      <c r="DD13" s="526">
        <f>+'Contractor Revenue Build'!CI4</f>
        <v>0</v>
      </c>
      <c r="DE13" s="526">
        <f>+'Contractor Revenue Build'!CJ4</f>
        <v>9</v>
      </c>
      <c r="DF13" s="526">
        <f>+'Contractor Revenue Build'!CK4</f>
        <v>0</v>
      </c>
      <c r="DG13" s="526">
        <f>+'Contractor Revenue Build'!CL4</f>
        <v>0</v>
      </c>
    </row>
    <row r="14" spans="1:114" x14ac:dyDescent="0.25">
      <c r="B14" s="1"/>
      <c r="C14" s="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157"/>
      <c r="AT14" s="39"/>
      <c r="AU14" s="39"/>
      <c r="AV14" s="39"/>
      <c r="AW14" s="39"/>
      <c r="AX14" s="39"/>
      <c r="AY14" s="157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157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157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157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157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</row>
    <row r="15" spans="1:114" hidden="1" x14ac:dyDescent="0.25">
      <c r="B15" s="1"/>
      <c r="C15" s="1"/>
      <c r="D15" s="39"/>
      <c r="O15" s="39"/>
      <c r="Q15">
        <v>2022</v>
      </c>
      <c r="R15">
        <v>2023</v>
      </c>
      <c r="S15">
        <v>2024</v>
      </c>
      <c r="T15">
        <v>2025</v>
      </c>
      <c r="U15">
        <v>2026</v>
      </c>
      <c r="V15">
        <v>2027</v>
      </c>
      <c r="W15">
        <v>2028</v>
      </c>
      <c r="X15">
        <v>2028</v>
      </c>
      <c r="Y15">
        <v>2028</v>
      </c>
      <c r="Z15">
        <v>2029</v>
      </c>
      <c r="AA15">
        <v>2029</v>
      </c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157"/>
      <c r="AT15" s="39"/>
      <c r="AU15" s="39"/>
      <c r="AV15" s="39"/>
      <c r="AW15" s="39"/>
      <c r="AX15" s="39"/>
      <c r="AY15" s="157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157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157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157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157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</row>
    <row r="16" spans="1:114" hidden="1" x14ac:dyDescent="0.25">
      <c r="B16" s="1"/>
      <c r="C16" s="1"/>
      <c r="D16" s="39"/>
      <c r="O16" s="39"/>
      <c r="P16" t="s">
        <v>190</v>
      </c>
      <c r="Q16" t="e">
        <f>ROUNDUP(AVERAGE(Q17:Q19), 0)</f>
        <v>#REF!</v>
      </c>
      <c r="R16" t="e">
        <f t="shared" ref="R16:W16" si="25">ROUNDUP(AVERAGE(R17:R19), 0)</f>
        <v>#REF!</v>
      </c>
      <c r="S16" t="e">
        <f t="shared" si="25"/>
        <v>#REF!</v>
      </c>
      <c r="T16" t="e">
        <f t="shared" si="25"/>
        <v>#REF!</v>
      </c>
      <c r="U16" t="e">
        <f t="shared" si="25"/>
        <v>#REF!</v>
      </c>
      <c r="V16" t="e">
        <f t="shared" si="25"/>
        <v>#REF!</v>
      </c>
      <c r="W16" t="e">
        <f t="shared" si="25"/>
        <v>#REF!</v>
      </c>
      <c r="X16" t="e">
        <f t="shared" ref="X16:Y16" si="26">ROUNDUP(AVERAGE(X17:X19), 0)</f>
        <v>#REF!</v>
      </c>
      <c r="Y16" t="e">
        <f t="shared" si="26"/>
        <v>#REF!</v>
      </c>
      <c r="Z16" t="e">
        <f t="shared" ref="Z16:AA16" si="27">ROUNDUP(AVERAGE(Z17:Z19), 0)</f>
        <v>#REF!</v>
      </c>
      <c r="AA16" t="e">
        <f t="shared" si="27"/>
        <v>#REF!</v>
      </c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157"/>
      <c r="AT16" s="39"/>
      <c r="AU16" s="39"/>
      <c r="AV16" s="39"/>
      <c r="AW16" s="39"/>
      <c r="AX16" s="39"/>
      <c r="AY16" s="157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157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157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157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157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</row>
    <row r="17" spans="1:111" hidden="1" x14ac:dyDescent="0.25">
      <c r="B17" s="1"/>
      <c r="C17" s="1"/>
      <c r="D17" s="39"/>
      <c r="F17" s="178"/>
      <c r="G17" s="178"/>
      <c r="H17" s="178"/>
      <c r="I17" s="178"/>
      <c r="J17" s="178"/>
      <c r="K17" s="178"/>
      <c r="L17" s="178"/>
      <c r="M17" s="178"/>
      <c r="N17" s="178"/>
      <c r="O17" s="39"/>
      <c r="P17" t="s">
        <v>187</v>
      </c>
      <c r="Q17" s="150" t="e">
        <f>AVERAGEIFS(#REF!,#REF!, $E$17, $H$1:$DJ$1, Q15)</f>
        <v>#REF!</v>
      </c>
      <c r="R17" s="150" t="e">
        <f>AVERAGEIFS(#REF!,#REF!, $E$17, $H$1:$DJ$1, R15)</f>
        <v>#REF!</v>
      </c>
      <c r="S17" s="150" t="e">
        <f>AVERAGEIFS(#REF!,#REF!, $E$17, $H$1:$DJ$1, S15)</f>
        <v>#REF!</v>
      </c>
      <c r="T17" s="150" t="e">
        <f>AVERAGEIFS(#REF!,#REF!, $E$17, $H$1:$DJ$1, T15)</f>
        <v>#REF!</v>
      </c>
      <c r="U17" s="150" t="e">
        <f>AVERAGEIFS(#REF!,#REF!, $E$17, $H$1:$DJ$1, U15)</f>
        <v>#REF!</v>
      </c>
      <c r="V17" s="150" t="e">
        <f>AVERAGEIFS(#REF!,#REF!, $E$17, $H$1:$DJ$1, V15)</f>
        <v>#REF!</v>
      </c>
      <c r="W17" s="150" t="e">
        <f>AVERAGEIFS(#REF!,#REF!, $E$17, $H$1:$DJ$1, W15)</f>
        <v>#REF!</v>
      </c>
      <c r="X17" s="150" t="e">
        <f>AVERAGEIFS(#REF!,#REF!, $E$17, $H$1:$DJ$1, X15)</f>
        <v>#REF!</v>
      </c>
      <c r="Y17" s="150" t="e">
        <f>AVERAGEIFS(#REF!,#REF!, $E$17, $H$1:$DJ$1, Y15)</f>
        <v>#REF!</v>
      </c>
      <c r="Z17" s="150" t="e">
        <f>AVERAGEIFS(#REF!,#REF!, $E$17, $H$1:$DJ$1, Z15)</f>
        <v>#REF!</v>
      </c>
      <c r="AA17" s="150" t="e">
        <f>AVERAGEIFS(#REF!,#REF!, $E$17, $H$1:$DJ$1, AA15)</f>
        <v>#REF!</v>
      </c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157"/>
      <c r="AT17" s="39"/>
      <c r="AU17" s="39"/>
      <c r="AV17" s="39"/>
      <c r="AW17" s="39"/>
      <c r="AX17" s="39"/>
      <c r="AY17" s="157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157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157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157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157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</row>
    <row r="18" spans="1:111" hidden="1" x14ac:dyDescent="0.25">
      <c r="B18" s="1"/>
      <c r="C18" s="1"/>
      <c r="D18" s="39"/>
      <c r="F18" s="178"/>
      <c r="G18" s="178"/>
      <c r="H18" s="178"/>
      <c r="I18" s="178"/>
      <c r="J18" s="178"/>
      <c r="K18" s="178"/>
      <c r="L18" s="178"/>
      <c r="M18" s="178"/>
      <c r="N18" s="178"/>
      <c r="O18" s="39"/>
      <c r="P18" t="s">
        <v>189</v>
      </c>
      <c r="Q18" s="150" t="e">
        <f>+AVERAGEIFS(#REF!,#REF!, $E$18, $H$1:$DJ$1, Q15)</f>
        <v>#REF!</v>
      </c>
      <c r="R18" s="150" t="e">
        <f>+AVERAGEIFS(#REF!,#REF!, $E$18, $H$1:$DJ$1, R15)</f>
        <v>#REF!</v>
      </c>
      <c r="S18" s="150" t="e">
        <f>+AVERAGEIFS(#REF!,#REF!, $E$18, $H$1:$DJ$1, S15)</f>
        <v>#REF!</v>
      </c>
      <c r="T18" s="150" t="e">
        <f>+AVERAGEIFS(#REF!,#REF!, $E$18, $H$1:$DJ$1, T15)</f>
        <v>#REF!</v>
      </c>
      <c r="U18" s="150" t="e">
        <f>+AVERAGEIFS(#REF!,#REF!, $E$18, $H$1:$DJ$1, U15)</f>
        <v>#REF!</v>
      </c>
      <c r="V18" s="150" t="e">
        <f>+AVERAGEIFS(#REF!,#REF!, $E$18, $H$1:$DJ$1, V15)</f>
        <v>#REF!</v>
      </c>
      <c r="W18" s="150" t="e">
        <f>+AVERAGEIFS(#REF!,#REF!, $E$18, $H$1:$DJ$1, W15)</f>
        <v>#REF!</v>
      </c>
      <c r="X18" s="150" t="e">
        <f>+AVERAGEIFS(#REF!,#REF!, $E$18, $H$1:$DJ$1, X15)</f>
        <v>#REF!</v>
      </c>
      <c r="Y18" s="150" t="e">
        <f>+AVERAGEIFS(#REF!,#REF!, $E$18, $H$1:$DJ$1, Y15)</f>
        <v>#REF!</v>
      </c>
      <c r="Z18" s="150" t="e">
        <f>+AVERAGEIFS(#REF!,#REF!, $E$18, $H$1:$DJ$1, Z15)</f>
        <v>#REF!</v>
      </c>
      <c r="AA18" s="150" t="e">
        <f>+AVERAGEIFS(#REF!,#REF!, $E$18, $H$1:$DJ$1, AA15)</f>
        <v>#REF!</v>
      </c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157"/>
      <c r="AT18" s="39"/>
      <c r="AU18" s="39"/>
      <c r="AV18" s="39"/>
      <c r="AW18" s="39"/>
      <c r="AX18" s="39"/>
      <c r="AY18" s="157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157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157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157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157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</row>
    <row r="19" spans="1:111" hidden="1" x14ac:dyDescent="0.25">
      <c r="B19" s="1"/>
      <c r="C19" s="1"/>
      <c r="D19" s="39"/>
      <c r="F19" s="178"/>
      <c r="G19" s="178"/>
      <c r="H19" s="178"/>
      <c r="I19" s="178"/>
      <c r="J19" s="178"/>
      <c r="K19" s="178"/>
      <c r="L19" s="178"/>
      <c r="M19" s="178"/>
      <c r="N19" s="178"/>
      <c r="O19" s="39"/>
      <c r="P19" t="s">
        <v>188</v>
      </c>
      <c r="Q19" s="150" t="e">
        <f>AVERAGEIFS(#REF!,#REF!, $E$19, $H$1:$DJ$1, Q15)</f>
        <v>#REF!</v>
      </c>
      <c r="R19" s="150" t="e">
        <f>AVERAGEIFS(#REF!,#REF!, $E$19, $H$1:$DJ$1, R15)</f>
        <v>#REF!</v>
      </c>
      <c r="S19" s="150" t="e">
        <f>AVERAGEIFS(#REF!,#REF!, $E$19, $H$1:$DJ$1, S15)</f>
        <v>#REF!</v>
      </c>
      <c r="T19" s="150" t="e">
        <f>AVERAGEIFS(#REF!,#REF!, $E$19, $H$1:$DJ$1, T15)</f>
        <v>#REF!</v>
      </c>
      <c r="U19" s="150" t="e">
        <f>AVERAGEIFS(#REF!,#REF!, $E$19, $H$1:$DJ$1, U15)</f>
        <v>#REF!</v>
      </c>
      <c r="V19" s="150" t="e">
        <f>AVERAGEIFS(#REF!,#REF!, $E$19, $H$1:$DJ$1, V15)</f>
        <v>#REF!</v>
      </c>
      <c r="W19" s="150" t="e">
        <f>AVERAGEIFS(#REF!,#REF!, $E$19, $H$1:$DJ$1, W15)</f>
        <v>#REF!</v>
      </c>
      <c r="X19" s="150" t="e">
        <f>AVERAGEIFS(#REF!,#REF!, $E$19, $H$1:$DJ$1, X15)</f>
        <v>#REF!</v>
      </c>
      <c r="Y19" s="150" t="e">
        <f>AVERAGEIFS(#REF!,#REF!, $E$19, $H$1:$DJ$1, Y15)</f>
        <v>#REF!</v>
      </c>
      <c r="Z19" s="150" t="e">
        <f>AVERAGEIFS(#REF!,#REF!, $E$19, $H$1:$DJ$1, Z15)</f>
        <v>#REF!</v>
      </c>
      <c r="AA19" s="150" t="e">
        <f>AVERAGEIFS(#REF!,#REF!, $E$19, $H$1:$DJ$1, AA15)</f>
        <v>#REF!</v>
      </c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157"/>
      <c r="AT19" s="39"/>
      <c r="AU19" s="39"/>
      <c r="AV19" s="39"/>
      <c r="AW19" s="39"/>
      <c r="AX19" s="39"/>
      <c r="AY19" s="157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157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157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157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157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</row>
    <row r="20" spans="1:111" hidden="1" x14ac:dyDescent="0.25">
      <c r="B20" s="1"/>
      <c r="C20" s="1"/>
      <c r="D20" s="39"/>
      <c r="F20" s="107"/>
      <c r="G20" s="107"/>
      <c r="H20" s="107"/>
      <c r="I20" s="107"/>
      <c r="J20" s="107"/>
      <c r="K20" s="107"/>
      <c r="L20" s="107"/>
      <c r="M20" s="107"/>
      <c r="N20" s="107"/>
      <c r="O20" s="39"/>
      <c r="P20" t="s">
        <v>188</v>
      </c>
      <c r="Q20" s="149" t="e">
        <f>Q19/Q16-1</f>
        <v>#REF!</v>
      </c>
      <c r="R20" s="149" t="e">
        <f t="shared" ref="R20:W20" si="28">R19/R16-1</f>
        <v>#REF!</v>
      </c>
      <c r="S20" s="149" t="e">
        <f t="shared" si="28"/>
        <v>#REF!</v>
      </c>
      <c r="T20" s="149" t="e">
        <f t="shared" si="28"/>
        <v>#REF!</v>
      </c>
      <c r="U20" s="149" t="e">
        <f t="shared" si="28"/>
        <v>#REF!</v>
      </c>
      <c r="V20" s="149" t="e">
        <f t="shared" si="28"/>
        <v>#REF!</v>
      </c>
      <c r="W20" s="179" t="e">
        <f t="shared" si="28"/>
        <v>#REF!</v>
      </c>
      <c r="X20" s="179" t="e">
        <f t="shared" ref="X20:Y20" si="29">X19/X16-1</f>
        <v>#REF!</v>
      </c>
      <c r="Y20" s="179" t="e">
        <f t="shared" si="29"/>
        <v>#REF!</v>
      </c>
      <c r="Z20" s="179" t="e">
        <f t="shared" ref="Z20:AA20" si="30">Z19/Z16-1</f>
        <v>#REF!</v>
      </c>
      <c r="AA20" s="179" t="e">
        <f t="shared" si="30"/>
        <v>#REF!</v>
      </c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57"/>
      <c r="AT20" s="39"/>
      <c r="AU20" s="39"/>
      <c r="AV20" s="39"/>
      <c r="AW20" s="39"/>
      <c r="AX20" s="39"/>
      <c r="AY20" s="157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157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157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157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157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</row>
    <row r="21" spans="1:111" hidden="1" x14ac:dyDescent="0.25">
      <c r="B21" s="1"/>
      <c r="C21" s="1"/>
      <c r="D21" s="39"/>
      <c r="F21" s="107"/>
      <c r="G21" s="107"/>
      <c r="H21" s="107"/>
      <c r="I21" s="107"/>
      <c r="J21" s="107"/>
      <c r="K21" s="107"/>
      <c r="L21" s="107"/>
      <c r="M21" s="107"/>
      <c r="N21" s="107"/>
      <c r="O21" s="39"/>
      <c r="P21" t="s">
        <v>189</v>
      </c>
      <c r="Q21" s="149" t="e">
        <f>Q18/Q16-1</f>
        <v>#REF!</v>
      </c>
      <c r="R21" s="149" t="e">
        <f t="shared" ref="R21:W21" si="31">R18/R16-1</f>
        <v>#REF!</v>
      </c>
      <c r="S21" s="149" t="e">
        <f t="shared" si="31"/>
        <v>#REF!</v>
      </c>
      <c r="T21" s="149" t="e">
        <f t="shared" si="31"/>
        <v>#REF!</v>
      </c>
      <c r="U21" s="149" t="e">
        <f t="shared" si="31"/>
        <v>#REF!</v>
      </c>
      <c r="V21" s="149" t="e">
        <f t="shared" si="31"/>
        <v>#REF!</v>
      </c>
      <c r="W21" s="179" t="e">
        <f t="shared" si="31"/>
        <v>#REF!</v>
      </c>
      <c r="X21" s="179" t="e">
        <f t="shared" ref="X21:Y21" si="32">X18/X16-1</f>
        <v>#REF!</v>
      </c>
      <c r="Y21" s="179" t="e">
        <f t="shared" si="32"/>
        <v>#REF!</v>
      </c>
      <c r="Z21" s="179" t="e">
        <f t="shared" ref="Z21:AA21" si="33">Z18/Z16-1</f>
        <v>#REF!</v>
      </c>
      <c r="AA21" s="179" t="e">
        <f t="shared" si="33"/>
        <v>#REF!</v>
      </c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57"/>
      <c r="AT21" s="39"/>
      <c r="AU21" s="39"/>
      <c r="AV21" s="39"/>
      <c r="AW21" s="39"/>
      <c r="AX21" s="39"/>
      <c r="AY21" s="157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157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157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157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157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</row>
    <row r="22" spans="1:111" x14ac:dyDescent="0.25">
      <c r="B22" s="1" t="s">
        <v>240</v>
      </c>
      <c r="C22" s="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157"/>
      <c r="AT22" s="39"/>
      <c r="AU22" s="39"/>
      <c r="AV22" s="39"/>
      <c r="AW22" s="39"/>
      <c r="AX22" s="39"/>
      <c r="AY22" s="157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157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157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157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157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</row>
    <row r="23" spans="1:111" x14ac:dyDescent="0.25">
      <c r="B23" s="1" t="s">
        <v>297</v>
      </c>
      <c r="C23" s="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91">
        <v>3398</v>
      </c>
      <c r="V23" s="91">
        <v>486</v>
      </c>
      <c r="W23" s="91">
        <v>20141.21</v>
      </c>
      <c r="X23" s="91">
        <v>204</v>
      </c>
      <c r="Y23" s="91">
        <v>82159.839999999997</v>
      </c>
      <c r="Z23" s="91">
        <v>48172.28</v>
      </c>
      <c r="AA23" s="91">
        <v>18424.82</v>
      </c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155"/>
      <c r="AT23" s="91">
        <f>+AT29*'Home Builder Revenue Build'!AI$73</f>
        <v>0</v>
      </c>
      <c r="AU23" s="91">
        <f>+AU29*'Home Builder Revenue Build'!AJ$73</f>
        <v>0</v>
      </c>
      <c r="AV23" s="91">
        <f>+AV29*'Home Builder Revenue Build'!AK$73</f>
        <v>0</v>
      </c>
      <c r="AW23" s="91">
        <f>+AW29*'Home Builder Revenue Build'!AL$73</f>
        <v>0</v>
      </c>
      <c r="AX23" s="91">
        <f>+AX29*'Home Builder Revenue Build'!AM$73</f>
        <v>0</v>
      </c>
      <c r="AY23" s="155">
        <f>+AY29*'Home Builder Revenue Build'!AN$73</f>
        <v>0</v>
      </c>
      <c r="AZ23" s="91">
        <f>+AZ29*'Home Builder Revenue Build'!AO$73</f>
        <v>0</v>
      </c>
      <c r="BA23" s="91">
        <f>+BA29*'Home Builder Revenue Build'!AP$73</f>
        <v>0</v>
      </c>
      <c r="BB23" s="91">
        <f>+BB29*'Home Builder Revenue Build'!AQ$73</f>
        <v>0</v>
      </c>
      <c r="BC23" s="91">
        <f>+BC29*'Home Builder Revenue Build'!AR$73</f>
        <v>0</v>
      </c>
      <c r="BD23" s="91">
        <f>+BD29*'Home Builder Revenue Build'!AS$73</f>
        <v>0</v>
      </c>
      <c r="BE23" s="91">
        <f>+BE29*'Home Builder Revenue Build'!AT$73</f>
        <v>0</v>
      </c>
      <c r="BF23" s="91">
        <f>+BF29*'Home Builder Revenue Build'!AU$73</f>
        <v>0</v>
      </c>
      <c r="BG23" s="91">
        <f>+BG29*'Home Builder Revenue Build'!AV$73</f>
        <v>0</v>
      </c>
      <c r="BH23" s="91">
        <f>+BH29*'Home Builder Revenue Build'!AW$73</f>
        <v>0</v>
      </c>
      <c r="BI23" s="91">
        <f>+BI29*'Home Builder Revenue Build'!AX$73</f>
        <v>0</v>
      </c>
      <c r="BJ23" s="91">
        <f>+BJ29*'Home Builder Revenue Build'!AY$73</f>
        <v>0</v>
      </c>
      <c r="BK23" s="155">
        <f>+BK29*'Home Builder Revenue Build'!AZ$73</f>
        <v>0</v>
      </c>
      <c r="BL23" s="91">
        <f>+BL29*'Home Builder Revenue Build'!BA$73</f>
        <v>0</v>
      </c>
      <c r="BM23" s="91">
        <f>+BM29*'Home Builder Revenue Build'!BB$73</f>
        <v>0</v>
      </c>
      <c r="BN23" s="91">
        <f>+BN29*'Home Builder Revenue Build'!BC$73</f>
        <v>0</v>
      </c>
      <c r="BO23" s="91">
        <f>+BO29*'Home Builder Revenue Build'!BD$73</f>
        <v>0</v>
      </c>
      <c r="BP23" s="91">
        <f>+BP29*'Home Builder Revenue Build'!BE$73</f>
        <v>0</v>
      </c>
      <c r="BQ23" s="91">
        <f>+BQ29*'Home Builder Revenue Build'!BF$73</f>
        <v>0</v>
      </c>
      <c r="BR23" s="91">
        <f>+BR29*'Home Builder Revenue Build'!BG$73</f>
        <v>0</v>
      </c>
      <c r="BS23" s="91">
        <f>+BS29*'Home Builder Revenue Build'!BH$73</f>
        <v>0</v>
      </c>
      <c r="BT23" s="91">
        <f>+BT29*'Home Builder Revenue Build'!BI$73</f>
        <v>0</v>
      </c>
      <c r="BU23" s="91">
        <f>+BU29*'Home Builder Revenue Build'!BJ$73</f>
        <v>0</v>
      </c>
      <c r="BV23" s="91">
        <f>+BV29*'Home Builder Revenue Build'!BK$73</f>
        <v>0</v>
      </c>
      <c r="BW23" s="155">
        <f>+BW29*'Home Builder Revenue Build'!BL$73</f>
        <v>0</v>
      </c>
      <c r="BX23" s="91">
        <f>+BX29*'Home Builder Revenue Build'!BM$73</f>
        <v>0</v>
      </c>
      <c r="BY23" s="91">
        <f>+BY29*'Home Builder Revenue Build'!BN$73</f>
        <v>0</v>
      </c>
      <c r="BZ23" s="91">
        <f>+BZ29*'Home Builder Revenue Build'!BO$73</f>
        <v>0</v>
      </c>
      <c r="CA23" s="91">
        <f>+CA29*'Home Builder Revenue Build'!BP$73</f>
        <v>0</v>
      </c>
      <c r="CB23" s="91">
        <f>+CB29*'Home Builder Revenue Build'!BQ$73</f>
        <v>0</v>
      </c>
      <c r="CC23" s="91">
        <f>+CC29*'Home Builder Revenue Build'!BR$73</f>
        <v>0</v>
      </c>
      <c r="CD23" s="91">
        <f>+CD29*'Home Builder Revenue Build'!BS$73</f>
        <v>0</v>
      </c>
      <c r="CE23" s="91">
        <f>+CE29*'Home Builder Revenue Build'!BT$73</f>
        <v>0</v>
      </c>
      <c r="CF23" s="91">
        <f>+CF29*'Home Builder Revenue Build'!BU$73</f>
        <v>0</v>
      </c>
      <c r="CG23" s="91">
        <f>+CG29*'Home Builder Revenue Build'!BV$73</f>
        <v>0</v>
      </c>
      <c r="CH23" s="91">
        <f>+CH29*'Home Builder Revenue Build'!BW$73</f>
        <v>0</v>
      </c>
      <c r="CI23" s="155">
        <f>+CI29*'Home Builder Revenue Build'!BX$73</f>
        <v>0</v>
      </c>
      <c r="CJ23" s="91">
        <f>+CJ29*'Home Builder Revenue Build'!BY$73</f>
        <v>0</v>
      </c>
      <c r="CK23" s="91">
        <f>+CK29*'Home Builder Revenue Build'!BZ$73</f>
        <v>0</v>
      </c>
      <c r="CL23" s="91">
        <f>+CL29*'Home Builder Revenue Build'!CA$73</f>
        <v>0</v>
      </c>
      <c r="CM23" s="91">
        <f>+CM29*'Home Builder Revenue Build'!CB$73</f>
        <v>0</v>
      </c>
      <c r="CN23" s="91">
        <f>+CN29*'Home Builder Revenue Build'!CC$73</f>
        <v>0</v>
      </c>
      <c r="CO23" s="91">
        <f>+CO29*'Home Builder Revenue Build'!CD$73</f>
        <v>0</v>
      </c>
      <c r="CP23" s="91">
        <f>+CP29*'Home Builder Revenue Build'!CE$73</f>
        <v>0</v>
      </c>
      <c r="CQ23" s="91">
        <f>+CQ29*'Home Builder Revenue Build'!CF$73</f>
        <v>0</v>
      </c>
      <c r="CR23" s="91">
        <f>+CR29*'Home Builder Revenue Build'!CG$73</f>
        <v>0</v>
      </c>
      <c r="CS23" s="91">
        <f>+CS29*'Home Builder Revenue Build'!CH$73</f>
        <v>0</v>
      </c>
      <c r="CT23" s="91">
        <f>+CT29*'Home Builder Revenue Build'!CI$73</f>
        <v>0</v>
      </c>
      <c r="CU23" s="155">
        <f>+CU29*'Home Builder Revenue Build'!CJ$73</f>
        <v>0</v>
      </c>
      <c r="CV23" s="91">
        <f>+CV29*'Home Builder Revenue Build'!CK$73</f>
        <v>0</v>
      </c>
      <c r="CW23" s="91">
        <f>+CW29*'Home Builder Revenue Build'!CL$73</f>
        <v>0</v>
      </c>
      <c r="CX23" s="91">
        <f>+CX29*'Home Builder Revenue Build'!CM$73</f>
        <v>0</v>
      </c>
      <c r="CY23" s="91">
        <f>+CY29*'Home Builder Revenue Build'!CN$73</f>
        <v>0</v>
      </c>
      <c r="CZ23" s="91">
        <f>+CZ29*'Home Builder Revenue Build'!CO$73</f>
        <v>0</v>
      </c>
      <c r="DA23" s="91">
        <f>+DA29*'Home Builder Revenue Build'!CP$73</f>
        <v>0</v>
      </c>
      <c r="DB23" s="91">
        <f>+DB29*'Home Builder Revenue Build'!CQ$73</f>
        <v>0</v>
      </c>
      <c r="DC23" s="91">
        <f>+DC29*'Home Builder Revenue Build'!CR$73</f>
        <v>0</v>
      </c>
      <c r="DD23" s="91">
        <f>+DD29*'Home Builder Revenue Build'!CS$73</f>
        <v>0</v>
      </c>
      <c r="DE23" s="91">
        <f>+DE29*'Home Builder Revenue Build'!CT$73</f>
        <v>0</v>
      </c>
      <c r="DF23" s="91">
        <f>+DF29*'Home Builder Revenue Build'!CU$73</f>
        <v>0</v>
      </c>
      <c r="DG23" s="91">
        <f>+DG29*'Home Builder Revenue Build'!CV$73</f>
        <v>0</v>
      </c>
    </row>
    <row r="24" spans="1:111" x14ac:dyDescent="0.25">
      <c r="B24" s="1" t="s">
        <v>298</v>
      </c>
      <c r="C24" s="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91"/>
      <c r="V24" s="91"/>
      <c r="W24" s="91"/>
      <c r="X24" s="91">
        <v>1614.12</v>
      </c>
      <c r="Y24" s="91">
        <v>89.88</v>
      </c>
      <c r="Z24" s="91">
        <v>93513.99</v>
      </c>
      <c r="AA24" s="91">
        <v>29268.52</v>
      </c>
      <c r="AB24" s="91">
        <v>9331.41</v>
      </c>
      <c r="AC24" s="91">
        <v>11043.19</v>
      </c>
      <c r="AD24" s="91">
        <v>12624.47</v>
      </c>
      <c r="AE24" s="91">
        <v>2249.58</v>
      </c>
      <c r="AF24" s="91">
        <v>1056.1600000000001</v>
      </c>
      <c r="AG24" s="91">
        <v>9369.24</v>
      </c>
      <c r="AH24" s="91">
        <v>1419</v>
      </c>
      <c r="AI24" s="91">
        <v>75</v>
      </c>
      <c r="AJ24" s="91">
        <v>9411.4699999999993</v>
      </c>
      <c r="AK24" s="91">
        <v>83.38</v>
      </c>
      <c r="AL24" s="91"/>
      <c r="AM24" s="91">
        <v>1041.3499999999999</v>
      </c>
      <c r="AN24" s="91">
        <v>97.52</v>
      </c>
      <c r="AO24" s="91">
        <v>659.89</v>
      </c>
      <c r="AP24" s="91">
        <v>0</v>
      </c>
      <c r="AQ24" s="91">
        <v>0</v>
      </c>
      <c r="AR24" s="91">
        <v>0</v>
      </c>
      <c r="AS24" s="155">
        <v>595.5</v>
      </c>
      <c r="AT24" s="91">
        <f>+AT30*'Home Builder Revenue Build'!AI$73</f>
        <v>0</v>
      </c>
      <c r="AU24" s="91">
        <f>+AU30*'Home Builder Revenue Build'!AJ$73</f>
        <v>0</v>
      </c>
      <c r="AV24" s="91">
        <f>+AV30*'Home Builder Revenue Build'!AK$73</f>
        <v>0</v>
      </c>
      <c r="AW24" s="91">
        <f>+AW30*'Home Builder Revenue Build'!AL$73</f>
        <v>0</v>
      </c>
      <c r="AX24" s="91">
        <f>+AX30*'Home Builder Revenue Build'!AM$73</f>
        <v>0</v>
      </c>
      <c r="AY24" s="155">
        <f>+AY30*'Home Builder Revenue Build'!AN$73</f>
        <v>2765.4379833580592</v>
      </c>
      <c r="AZ24" s="91">
        <f>+AZ30*'Home Builder Revenue Build'!AO$73</f>
        <v>395.52762210477243</v>
      </c>
      <c r="BA24" s="91">
        <f>+BA30*'Home Builder Revenue Build'!AP$73</f>
        <v>16391.779624717823</v>
      </c>
      <c r="BB24" s="91">
        <f>+BB30*'Home Builder Revenue Build'!AQ$73</f>
        <v>1479.6639512368904</v>
      </c>
      <c r="BC24" s="91">
        <f>+BC30*'Home Builder Revenue Build'!AR$73</f>
        <v>66938.346029595341</v>
      </c>
      <c r="BD24" s="91">
        <f>+BD30*'Home Builder Revenue Build'!AS$73</f>
        <v>120043.12975293318</v>
      </c>
      <c r="BE24" s="91">
        <f>+BE30*'Home Builder Revenue Build'!AT$73</f>
        <v>80887.140344111758</v>
      </c>
      <c r="BF24" s="91">
        <f>+BF30*'Home Builder Revenue Build'!AU$73</f>
        <v>53375.378330485168</v>
      </c>
      <c r="BG24" s="91">
        <f>+BG30*'Home Builder Revenue Build'!AV$73</f>
        <v>11174.664489586179</v>
      </c>
      <c r="BH24" s="91">
        <f>+BH30*'Home Builder Revenue Build'!AW$73</f>
        <v>85575.648275314423</v>
      </c>
      <c r="BI24" s="91">
        <f>+BI30*'Home Builder Revenue Build'!AX$73</f>
        <v>19816.869786719511</v>
      </c>
      <c r="BJ24" s="91">
        <f>+BJ30*'Home Builder Revenue Build'!AY$73</f>
        <v>0</v>
      </c>
      <c r="BK24" s="155">
        <f>+BK30*'Home Builder Revenue Build'!AZ$73</f>
        <v>3134.1630478058</v>
      </c>
      <c r="BL24" s="91">
        <f>+BL30*'Home Builder Revenue Build'!BA$73</f>
        <v>448.26463838540872</v>
      </c>
      <c r="BM24" s="91">
        <f>+BM30*'Home Builder Revenue Build'!BB$73</f>
        <v>18577.350241346867</v>
      </c>
      <c r="BN24" s="91">
        <f>+BN30*'Home Builder Revenue Build'!BC$73</f>
        <v>1676.9524780684758</v>
      </c>
      <c r="BO24" s="91">
        <f>+BO30*'Home Builder Revenue Build'!BD$73</f>
        <v>75863.458833541386</v>
      </c>
      <c r="BP24" s="91">
        <f>+BP30*'Home Builder Revenue Build'!BE$73</f>
        <v>136048.88038665761</v>
      </c>
      <c r="BQ24" s="91">
        <f>+BQ30*'Home Builder Revenue Build'!BF$73</f>
        <v>91672.09238999334</v>
      </c>
      <c r="BR24" s="91">
        <f>+BR30*'Home Builder Revenue Build'!BG$73</f>
        <v>60492.095441216523</v>
      </c>
      <c r="BS24" s="91">
        <f>+BS30*'Home Builder Revenue Build'!BH$73</f>
        <v>12664.619754864338</v>
      </c>
      <c r="BT24" s="91">
        <f>+BT30*'Home Builder Revenue Build'!BI$73</f>
        <v>96985.734712023012</v>
      </c>
      <c r="BU24" s="91">
        <f>+BU30*'Home Builder Revenue Build'!BJ$73</f>
        <v>22459.119091615445</v>
      </c>
      <c r="BV24" s="91">
        <f>+BV30*'Home Builder Revenue Build'!BK$73</f>
        <v>0</v>
      </c>
      <c r="BW24" s="155">
        <f>+BW30*'Home Builder Revenue Build'!BL$73</f>
        <v>3595.0693783654765</v>
      </c>
      <c r="BX24" s="91">
        <f>+BX30*'Home Builder Revenue Build'!BM$73</f>
        <v>514.18590873620406</v>
      </c>
      <c r="BY24" s="91">
        <f>+BY30*'Home Builder Revenue Build'!BN$73</f>
        <v>21309.313512133169</v>
      </c>
      <c r="BZ24" s="91">
        <f>+BZ30*'Home Builder Revenue Build'!BO$73</f>
        <v>1923.5631366079574</v>
      </c>
      <c r="CA24" s="91">
        <f>+CA30*'Home Builder Revenue Build'!BP$73</f>
        <v>87019.849838473936</v>
      </c>
      <c r="CB24" s="91">
        <f>+CB30*'Home Builder Revenue Build'!BQ$73</f>
        <v>156056.06867881311</v>
      </c>
      <c r="CC24" s="91">
        <f>+CC30*'Home Builder Revenue Build'!BR$73</f>
        <v>105153.28244734529</v>
      </c>
      <c r="CD24" s="91">
        <f>+CD30*'Home Builder Revenue Build'!BS$73</f>
        <v>69387.991829630715</v>
      </c>
      <c r="CE24" s="91">
        <f>+CE30*'Home Builder Revenue Build'!BT$73</f>
        <v>14527.063836462034</v>
      </c>
      <c r="CF24" s="91">
        <f>+CF30*'Home Builder Revenue Build'!BU$73</f>
        <v>111248.34275790876</v>
      </c>
      <c r="CG24" s="91">
        <f>+CG30*'Home Builder Revenue Build'!BV$73</f>
        <v>25761.930722735364</v>
      </c>
      <c r="CH24" s="91">
        <f>+CH30*'Home Builder Revenue Build'!BW$73</f>
        <v>0</v>
      </c>
      <c r="CI24" s="155">
        <f>+CI30*'Home Builder Revenue Build'!BX$73</f>
        <v>4424.7007733728942</v>
      </c>
      <c r="CJ24" s="91">
        <f>+CJ30*'Home Builder Revenue Build'!BY$73</f>
        <v>632.84419536763585</v>
      </c>
      <c r="CK24" s="91">
        <f>+CK30*'Home Builder Revenue Build'!BZ$73</f>
        <v>26226.847399548518</v>
      </c>
      <c r="CL24" s="91">
        <f>+CL30*'Home Builder Revenue Build'!CA$73</f>
        <v>2367.4623219790246</v>
      </c>
      <c r="CM24" s="91">
        <f>+CM30*'Home Builder Revenue Build'!CB$73</f>
        <v>107101.35364735255</v>
      </c>
      <c r="CN24" s="91">
        <f>+CN30*'Home Builder Revenue Build'!CC$73</f>
        <v>192069.00760469306</v>
      </c>
      <c r="CO24" s="91">
        <f>+CO30*'Home Builder Revenue Build'!CD$73</f>
        <v>129419.42455057881</v>
      </c>
      <c r="CP24" s="91">
        <f>+CP30*'Home Builder Revenue Build'!CE$73</f>
        <v>85400.605328776262</v>
      </c>
      <c r="CQ24" s="91">
        <f>+CQ30*'Home Builder Revenue Build'!CF$73</f>
        <v>17879.463183337888</v>
      </c>
      <c r="CR24" s="91">
        <f>+CR30*'Home Builder Revenue Build'!CG$73</f>
        <v>136921.03724050306</v>
      </c>
      <c r="CS24" s="91">
        <f>+CS30*'Home Builder Revenue Build'!CH$73</f>
        <v>31706.991658751216</v>
      </c>
      <c r="CT24" s="91">
        <f>+CT30*'Home Builder Revenue Build'!CI$73</f>
        <v>0</v>
      </c>
      <c r="CU24" s="155">
        <f>+CU30*'Home Builder Revenue Build'!CJ$73</f>
        <v>5530.8759667161185</v>
      </c>
      <c r="CV24" s="91">
        <f>+CV30*'Home Builder Revenue Build'!CK$73</f>
        <v>791.05524420954487</v>
      </c>
      <c r="CW24" s="91">
        <f>+CW30*'Home Builder Revenue Build'!CL$73</f>
        <v>32783.559249435646</v>
      </c>
      <c r="CX24" s="91">
        <f>+CX30*'Home Builder Revenue Build'!CM$73</f>
        <v>2959.3279024737808</v>
      </c>
      <c r="CY24" s="91">
        <f>+CY30*'Home Builder Revenue Build'!CN$73</f>
        <v>133876.69205919068</v>
      </c>
      <c r="CZ24" s="91">
        <f>+CZ30*'Home Builder Revenue Build'!CO$73</f>
        <v>240086.25950586636</v>
      </c>
      <c r="DA24" s="91">
        <f>+DA30*'Home Builder Revenue Build'!CP$73</f>
        <v>161774.28068822352</v>
      </c>
      <c r="DB24" s="91">
        <f>+DB30*'Home Builder Revenue Build'!CQ$73</f>
        <v>106750.75666097034</v>
      </c>
      <c r="DC24" s="91">
        <f>+DC30*'Home Builder Revenue Build'!CR$73</f>
        <v>22349.328979172358</v>
      </c>
      <c r="DD24" s="91">
        <f>+DD30*'Home Builder Revenue Build'!CS$73</f>
        <v>171151.29655062885</v>
      </c>
      <c r="DE24" s="91">
        <f>+DE30*'Home Builder Revenue Build'!CT$73</f>
        <v>39633.739573439023</v>
      </c>
      <c r="DF24" s="91">
        <f>+DF30*'Home Builder Revenue Build'!CU$73</f>
        <v>0</v>
      </c>
      <c r="DG24" s="91">
        <f>+DG30*'Home Builder Revenue Build'!CV$73</f>
        <v>6637.0511600593418</v>
      </c>
    </row>
    <row r="25" spans="1:111" x14ac:dyDescent="0.25">
      <c r="B25" s="1" t="s">
        <v>299</v>
      </c>
      <c r="C25" s="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91"/>
      <c r="V25" s="91"/>
      <c r="W25" s="91"/>
      <c r="X25" s="91"/>
      <c r="Y25" s="91"/>
      <c r="Z25" s="91">
        <v>2490</v>
      </c>
      <c r="AA25" s="91">
        <v>51400</v>
      </c>
      <c r="AB25" s="91">
        <v>56252.97</v>
      </c>
      <c r="AC25" s="91">
        <v>2687.55</v>
      </c>
      <c r="AD25" s="91">
        <v>92525.62</v>
      </c>
      <c r="AE25" s="91">
        <v>22100.17</v>
      </c>
      <c r="AF25" s="91">
        <v>22336</v>
      </c>
      <c r="AG25" s="91">
        <v>14367</v>
      </c>
      <c r="AH25" s="91">
        <v>880</v>
      </c>
      <c r="AI25" s="91">
        <v>0</v>
      </c>
      <c r="AJ25" s="91">
        <v>0</v>
      </c>
      <c r="AK25" s="91">
        <v>0</v>
      </c>
      <c r="AL25" s="91">
        <v>0</v>
      </c>
      <c r="AM25" s="91">
        <v>0</v>
      </c>
      <c r="AN25" s="91">
        <v>0</v>
      </c>
      <c r="AO25" s="91">
        <v>0</v>
      </c>
      <c r="AP25" s="91">
        <v>0</v>
      </c>
      <c r="AQ25" s="91">
        <v>0</v>
      </c>
      <c r="AR25" s="91">
        <v>0</v>
      </c>
      <c r="AS25" s="155">
        <v>63894.879999999997</v>
      </c>
      <c r="AT25" s="91">
        <f>+AT31*'Home Builder Revenue Build'!AI$73</f>
        <v>0</v>
      </c>
      <c r="AU25" s="91">
        <f>+AU31*'Home Builder Revenue Build'!AJ$73</f>
        <v>0</v>
      </c>
      <c r="AV25" s="91">
        <f>+AV31*'Home Builder Revenue Build'!AK$73</f>
        <v>0</v>
      </c>
      <c r="AW25" s="91">
        <f>+AW31*'Home Builder Revenue Build'!AL$73</f>
        <v>0</v>
      </c>
      <c r="AX25" s="91">
        <f>+AX31*'Home Builder Revenue Build'!AM$73</f>
        <v>0</v>
      </c>
      <c r="AY25" s="155">
        <f>+AY31*'Home Builder Revenue Build'!AN$73</f>
        <v>1754.7918944089658</v>
      </c>
      <c r="AZ25" s="91">
        <f>+AZ31*'Home Builder Revenue Build'!AO$73</f>
        <v>250.97965293783324</v>
      </c>
      <c r="BA25" s="91">
        <f>+BA31*'Home Builder Revenue Build'!AP$73</f>
        <v>10401.304311827193</v>
      </c>
      <c r="BB25" s="91">
        <f>+BB31*'Home Builder Revenue Build'!AQ$73</f>
        <v>938.91178312620025</v>
      </c>
      <c r="BC25" s="91">
        <f>+BC31*'Home Builder Revenue Build'!AR$73</f>
        <v>42475.321357683039</v>
      </c>
      <c r="BD25" s="91">
        <f>+BD31*'Home Builder Revenue Build'!AS$73</f>
        <v>76172.639682246154</v>
      </c>
      <c r="BE25" s="91">
        <f>+BE31*'Home Builder Revenue Build'!AT$73</f>
        <v>51326.444162530279</v>
      </c>
      <c r="BF25" s="91">
        <f>+BF31*'Home Builder Revenue Build'!AU$73</f>
        <v>33869.022490829157</v>
      </c>
      <c r="BG25" s="91">
        <f>+BG31*'Home Builder Revenue Build'!AV$73</f>
        <v>7090.8155551021082</v>
      </c>
      <c r="BH25" s="91">
        <f>+BH31*'Home Builder Revenue Build'!AW$73</f>
        <v>54301.508425065695</v>
      </c>
      <c r="BI25" s="91">
        <f>+BI31*'Home Builder Revenue Build'!AX$73</f>
        <v>12574.674494080256</v>
      </c>
      <c r="BJ25" s="91">
        <f>+BJ31*'Home Builder Revenue Build'!AY$73</f>
        <v>0</v>
      </c>
      <c r="BK25" s="155">
        <f>+BK31*'Home Builder Revenue Build'!AZ$73</f>
        <v>1988.7641469968278</v>
      </c>
      <c r="BL25" s="91">
        <f>+BL31*'Home Builder Revenue Build'!BA$73</f>
        <v>284.44360666287764</v>
      </c>
      <c r="BM25" s="91">
        <f>+BM31*'Home Builder Revenue Build'!BB$73</f>
        <v>11788.144886737486</v>
      </c>
      <c r="BN25" s="91">
        <f>+BN31*'Home Builder Revenue Build'!BC$73</f>
        <v>1064.1000208763601</v>
      </c>
      <c r="BO25" s="91">
        <f>+BO31*'Home Builder Revenue Build'!BD$73</f>
        <v>48138.697538707449</v>
      </c>
      <c r="BP25" s="91">
        <f>+BP31*'Home Builder Revenue Build'!BE$73</f>
        <v>86328.991639878979</v>
      </c>
      <c r="BQ25" s="91">
        <f>+BQ31*'Home Builder Revenue Build'!BF$73</f>
        <v>58169.970050867654</v>
      </c>
      <c r="BR25" s="91">
        <f>+BR31*'Home Builder Revenue Build'!BG$73</f>
        <v>38384.892156273047</v>
      </c>
      <c r="BS25" s="91">
        <f>+BS31*'Home Builder Revenue Build'!BH$73</f>
        <v>8036.2576291157229</v>
      </c>
      <c r="BT25" s="91">
        <f>+BT31*'Home Builder Revenue Build'!BI$73</f>
        <v>61541.709548407795</v>
      </c>
      <c r="BU25" s="91">
        <f>+BU31*'Home Builder Revenue Build'!BJ$73</f>
        <v>14251.297759957624</v>
      </c>
      <c r="BV25" s="91">
        <f>+BV31*'Home Builder Revenue Build'!BK$73</f>
        <v>0</v>
      </c>
      <c r="BW25" s="155">
        <f>+BW31*'Home Builder Revenue Build'!BL$73</f>
        <v>2281.2294627316555</v>
      </c>
      <c r="BX25" s="91">
        <f>+BX31*'Home Builder Revenue Build'!BM$73</f>
        <v>326.27354881918319</v>
      </c>
      <c r="BY25" s="91">
        <f>+BY31*'Home Builder Revenue Build'!BN$73</f>
        <v>13521.695605375349</v>
      </c>
      <c r="BZ25" s="91">
        <f>+BZ31*'Home Builder Revenue Build'!BO$73</f>
        <v>1220.5853180640602</v>
      </c>
      <c r="CA25" s="91">
        <f>+CA31*'Home Builder Revenue Build'!BP$73</f>
        <v>55217.917764987949</v>
      </c>
      <c r="CB25" s="91">
        <f>+CB31*'Home Builder Revenue Build'!BQ$73</f>
        <v>99024.431586920007</v>
      </c>
      <c r="CC25" s="91">
        <f>+CC31*'Home Builder Revenue Build'!BR$73</f>
        <v>66724.377411289373</v>
      </c>
      <c r="CD25" s="91">
        <f>+CD31*'Home Builder Revenue Build'!BS$73</f>
        <v>44029.729238077904</v>
      </c>
      <c r="CE25" s="91">
        <f>+CE31*'Home Builder Revenue Build'!BT$73</f>
        <v>9218.0602216327406</v>
      </c>
      <c r="CF25" s="91">
        <f>+CF31*'Home Builder Revenue Build'!BU$73</f>
        <v>70591.960952585403</v>
      </c>
      <c r="CG25" s="91">
        <f>+CG31*'Home Builder Revenue Build'!BV$73</f>
        <v>16347.076842304334</v>
      </c>
      <c r="CH25" s="91">
        <f>+CH31*'Home Builder Revenue Build'!BW$73</f>
        <v>0</v>
      </c>
      <c r="CI25" s="155">
        <f>+CI31*'Home Builder Revenue Build'!BX$73</f>
        <v>2807.667031054345</v>
      </c>
      <c r="CJ25" s="91">
        <f>+CJ31*'Home Builder Revenue Build'!BY$73</f>
        <v>401.56744470053314</v>
      </c>
      <c r="CK25" s="91">
        <f>+CK31*'Home Builder Revenue Build'!BZ$73</f>
        <v>16642.08689892351</v>
      </c>
      <c r="CL25" s="91">
        <f>+CL31*'Home Builder Revenue Build'!CA$73</f>
        <v>1502.2588530019202</v>
      </c>
      <c r="CM25" s="91">
        <f>+CM31*'Home Builder Revenue Build'!CB$73</f>
        <v>67960.514172292867</v>
      </c>
      <c r="CN25" s="91">
        <f>+CN31*'Home Builder Revenue Build'!CC$73</f>
        <v>121876.22349159385</v>
      </c>
      <c r="CO25" s="91">
        <f>+CO31*'Home Builder Revenue Build'!CD$73</f>
        <v>82122.310660048446</v>
      </c>
      <c r="CP25" s="91">
        <f>+CP31*'Home Builder Revenue Build'!CE$73</f>
        <v>54190.435985326651</v>
      </c>
      <c r="CQ25" s="91">
        <f>+CQ31*'Home Builder Revenue Build'!CF$73</f>
        <v>11345.304888163373</v>
      </c>
      <c r="CR25" s="91">
        <f>+CR31*'Home Builder Revenue Build'!CG$73</f>
        <v>86882.413480105111</v>
      </c>
      <c r="CS25" s="91">
        <f>+CS31*'Home Builder Revenue Build'!CH$73</f>
        <v>20119.479190528411</v>
      </c>
      <c r="CT25" s="91">
        <f>+CT31*'Home Builder Revenue Build'!CI$73</f>
        <v>0</v>
      </c>
      <c r="CU25" s="155">
        <f>+CU31*'Home Builder Revenue Build'!CJ$73</f>
        <v>3509.5837888179317</v>
      </c>
      <c r="CV25" s="91">
        <f>+CV31*'Home Builder Revenue Build'!CK$73</f>
        <v>501.95930587566647</v>
      </c>
      <c r="CW25" s="91">
        <f>+CW31*'Home Builder Revenue Build'!CL$73</f>
        <v>20802.608623654385</v>
      </c>
      <c r="CX25" s="91">
        <f>+CX31*'Home Builder Revenue Build'!CM$73</f>
        <v>1877.8235662524005</v>
      </c>
      <c r="CY25" s="91">
        <f>+CY31*'Home Builder Revenue Build'!CN$73</f>
        <v>84950.642715366077</v>
      </c>
      <c r="CZ25" s="91">
        <f>+CZ31*'Home Builder Revenue Build'!CO$73</f>
        <v>152345.27936449231</v>
      </c>
      <c r="DA25" s="91">
        <f>+DA31*'Home Builder Revenue Build'!CP$73</f>
        <v>102652.88832506056</v>
      </c>
      <c r="DB25" s="91">
        <f>+DB31*'Home Builder Revenue Build'!CQ$73</f>
        <v>67738.044981658313</v>
      </c>
      <c r="DC25" s="91">
        <f>+DC31*'Home Builder Revenue Build'!CR$73</f>
        <v>14181.631110204216</v>
      </c>
      <c r="DD25" s="91">
        <f>+DD31*'Home Builder Revenue Build'!CS$73</f>
        <v>108603.01685013139</v>
      </c>
      <c r="DE25" s="91">
        <f>+DE31*'Home Builder Revenue Build'!CT$73</f>
        <v>25149.348988160513</v>
      </c>
      <c r="DF25" s="91">
        <f>+DF31*'Home Builder Revenue Build'!CU$73</f>
        <v>0</v>
      </c>
      <c r="DG25" s="91">
        <f>+DG31*'Home Builder Revenue Build'!CV$73</f>
        <v>4211.5005465815175</v>
      </c>
    </row>
    <row r="26" spans="1:111" x14ac:dyDescent="0.25">
      <c r="B26" s="1" t="s">
        <v>343</v>
      </c>
      <c r="C26" s="1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>
        <v>735</v>
      </c>
      <c r="AG26" s="91">
        <v>11876</v>
      </c>
      <c r="AH26" s="91">
        <v>600</v>
      </c>
      <c r="AI26" s="91">
        <v>39200</v>
      </c>
      <c r="AJ26" s="91">
        <v>26774</v>
      </c>
      <c r="AK26" s="91">
        <v>19166</v>
      </c>
      <c r="AL26" s="91">
        <v>23286</v>
      </c>
      <c r="AM26" s="91">
        <v>74443.42</v>
      </c>
      <c r="AN26" s="91">
        <v>34675.019999999997</v>
      </c>
      <c r="AO26" s="91">
        <v>18537.52</v>
      </c>
      <c r="AP26" s="91">
        <v>0</v>
      </c>
      <c r="AQ26" s="91">
        <v>10184</v>
      </c>
      <c r="AR26" s="91">
        <v>1682.5</v>
      </c>
      <c r="AS26" s="155">
        <v>0</v>
      </c>
      <c r="AT26" s="91">
        <f>+AT32*AT12</f>
        <v>5643</v>
      </c>
      <c r="AU26" s="91">
        <f t="shared" ref="AU26:CR26" si="34">+AU32*AU12</f>
        <v>5643</v>
      </c>
      <c r="AV26" s="91">
        <f t="shared" si="34"/>
        <v>5643</v>
      </c>
      <c r="AW26" s="91">
        <f t="shared" si="34"/>
        <v>5643</v>
      </c>
      <c r="AX26" s="91">
        <f t="shared" si="34"/>
        <v>5643</v>
      </c>
      <c r="AY26" s="155">
        <f t="shared" si="34"/>
        <v>5643</v>
      </c>
      <c r="AZ26" s="91">
        <f t="shared" si="34"/>
        <v>16830</v>
      </c>
      <c r="BA26" s="91">
        <f t="shared" si="34"/>
        <v>16830</v>
      </c>
      <c r="BB26" s="91">
        <f t="shared" si="34"/>
        <v>16830</v>
      </c>
      <c r="BC26" s="91">
        <f t="shared" si="34"/>
        <v>16830</v>
      </c>
      <c r="BD26" s="91">
        <f t="shared" si="34"/>
        <v>16830</v>
      </c>
      <c r="BE26" s="91">
        <f t="shared" si="34"/>
        <v>16830</v>
      </c>
      <c r="BF26" s="91">
        <f t="shared" si="34"/>
        <v>22440</v>
      </c>
      <c r="BG26" s="91">
        <f t="shared" si="34"/>
        <v>22440</v>
      </c>
      <c r="BH26" s="91">
        <f t="shared" si="34"/>
        <v>22440</v>
      </c>
      <c r="BI26" s="91">
        <f t="shared" si="34"/>
        <v>22440</v>
      </c>
      <c r="BJ26" s="91">
        <f t="shared" si="34"/>
        <v>22440</v>
      </c>
      <c r="BK26" s="155">
        <f t="shared" si="34"/>
        <v>22440</v>
      </c>
      <c r="BL26" s="91">
        <f t="shared" si="34"/>
        <v>26400</v>
      </c>
      <c r="BM26" s="91">
        <f t="shared" si="34"/>
        <v>26400</v>
      </c>
      <c r="BN26" s="91">
        <f t="shared" si="34"/>
        <v>26400</v>
      </c>
      <c r="BO26" s="91">
        <f t="shared" si="34"/>
        <v>26400</v>
      </c>
      <c r="BP26" s="91">
        <f t="shared" si="34"/>
        <v>26400</v>
      </c>
      <c r="BQ26" s="91">
        <f t="shared" si="34"/>
        <v>26400</v>
      </c>
      <c r="BR26" s="91">
        <f t="shared" si="34"/>
        <v>26400</v>
      </c>
      <c r="BS26" s="91">
        <f t="shared" si="34"/>
        <v>26400</v>
      </c>
      <c r="BT26" s="91">
        <f t="shared" si="34"/>
        <v>26400</v>
      </c>
      <c r="BU26" s="91">
        <f t="shared" si="34"/>
        <v>26400</v>
      </c>
      <c r="BV26" s="91">
        <f t="shared" si="34"/>
        <v>26400</v>
      </c>
      <c r="BW26" s="155">
        <f t="shared" si="34"/>
        <v>26400</v>
      </c>
      <c r="BX26" s="91">
        <f t="shared" si="34"/>
        <v>31680</v>
      </c>
      <c r="BY26" s="91">
        <f t="shared" si="34"/>
        <v>31680</v>
      </c>
      <c r="BZ26" s="91">
        <f t="shared" si="34"/>
        <v>31680</v>
      </c>
      <c r="CA26" s="91">
        <f t="shared" si="34"/>
        <v>31680</v>
      </c>
      <c r="CB26" s="91">
        <f t="shared" si="34"/>
        <v>31680</v>
      </c>
      <c r="CC26" s="91">
        <f t="shared" si="34"/>
        <v>31680</v>
      </c>
      <c r="CD26" s="91">
        <f t="shared" si="34"/>
        <v>31680</v>
      </c>
      <c r="CE26" s="91">
        <f t="shared" si="34"/>
        <v>31680</v>
      </c>
      <c r="CF26" s="91">
        <f t="shared" si="34"/>
        <v>31680</v>
      </c>
      <c r="CG26" s="91">
        <f t="shared" si="34"/>
        <v>31680</v>
      </c>
      <c r="CH26" s="91">
        <f t="shared" si="34"/>
        <v>31680</v>
      </c>
      <c r="CI26" s="155">
        <f t="shared" si="34"/>
        <v>31680</v>
      </c>
      <c r="CJ26" s="91">
        <f t="shared" si="34"/>
        <v>36960</v>
      </c>
      <c r="CK26" s="91">
        <f t="shared" si="34"/>
        <v>36960</v>
      </c>
      <c r="CL26" s="91">
        <f t="shared" si="34"/>
        <v>36960</v>
      </c>
      <c r="CM26" s="91">
        <f t="shared" si="34"/>
        <v>36960</v>
      </c>
      <c r="CN26" s="91">
        <f t="shared" si="34"/>
        <v>36960</v>
      </c>
      <c r="CO26" s="91">
        <f t="shared" si="34"/>
        <v>36960</v>
      </c>
      <c r="CP26" s="91">
        <f t="shared" si="34"/>
        <v>42240</v>
      </c>
      <c r="CQ26" s="91">
        <f t="shared" si="34"/>
        <v>42240</v>
      </c>
      <c r="CR26" s="91">
        <f t="shared" si="34"/>
        <v>42240</v>
      </c>
      <c r="CS26" s="91">
        <f t="shared" ref="CS26:DG26" si="35">+CS32*CS12</f>
        <v>42240</v>
      </c>
      <c r="CT26" s="91">
        <f t="shared" si="35"/>
        <v>42240</v>
      </c>
      <c r="CU26" s="155">
        <f t="shared" si="35"/>
        <v>42240</v>
      </c>
      <c r="CV26" s="91">
        <f t="shared" si="35"/>
        <v>42240</v>
      </c>
      <c r="CW26" s="91">
        <f t="shared" si="35"/>
        <v>42240</v>
      </c>
      <c r="CX26" s="91">
        <f t="shared" si="35"/>
        <v>42240</v>
      </c>
      <c r="CY26" s="91">
        <f t="shared" si="35"/>
        <v>42240</v>
      </c>
      <c r="CZ26" s="91">
        <f t="shared" si="35"/>
        <v>42240</v>
      </c>
      <c r="DA26" s="91">
        <f t="shared" si="35"/>
        <v>42240</v>
      </c>
      <c r="DB26" s="91">
        <f t="shared" si="35"/>
        <v>47520</v>
      </c>
      <c r="DC26" s="91">
        <f t="shared" si="35"/>
        <v>47520</v>
      </c>
      <c r="DD26" s="91">
        <f t="shared" si="35"/>
        <v>47520</v>
      </c>
      <c r="DE26" s="91">
        <f t="shared" si="35"/>
        <v>47520</v>
      </c>
      <c r="DF26" s="91">
        <f t="shared" si="35"/>
        <v>47520</v>
      </c>
      <c r="DG26" s="91">
        <f t="shared" si="35"/>
        <v>47520</v>
      </c>
    </row>
    <row r="27" spans="1:111" s="37" customFormat="1" x14ac:dyDescent="0.25">
      <c r="A27" s="3"/>
      <c r="B27" s="4" t="s">
        <v>241</v>
      </c>
      <c r="C27" s="4"/>
      <c r="U27" s="37">
        <f t="shared" ref="U27:AA27" si="36">SUM(U23:U25)</f>
        <v>3398</v>
      </c>
      <c r="V27" s="37">
        <f t="shared" si="36"/>
        <v>486</v>
      </c>
      <c r="W27" s="37">
        <f t="shared" si="36"/>
        <v>20141.21</v>
      </c>
      <c r="X27" s="37">
        <f t="shared" si="36"/>
        <v>1818.12</v>
      </c>
      <c r="Y27" s="37">
        <f t="shared" si="36"/>
        <v>82249.72</v>
      </c>
      <c r="Z27" s="37">
        <f t="shared" si="36"/>
        <v>144176.27000000002</v>
      </c>
      <c r="AA27" s="37">
        <f t="shared" si="36"/>
        <v>99093.34</v>
      </c>
      <c r="AB27" s="37">
        <f t="shared" ref="AB27:AE27" si="37">SUM(AB23:AB26)</f>
        <v>65584.38</v>
      </c>
      <c r="AC27" s="37">
        <f t="shared" si="37"/>
        <v>13730.740000000002</v>
      </c>
      <c r="AD27" s="37">
        <f t="shared" si="37"/>
        <v>105150.09</v>
      </c>
      <c r="AE27" s="37">
        <f t="shared" si="37"/>
        <v>24349.75</v>
      </c>
      <c r="AF27" s="37">
        <f t="shared" ref="AF27:AK27" si="38">SUM(AF23:AF26)</f>
        <v>24127.16</v>
      </c>
      <c r="AG27" s="37">
        <f t="shared" si="38"/>
        <v>35612.239999999998</v>
      </c>
      <c r="AH27" s="37">
        <f t="shared" si="38"/>
        <v>2899</v>
      </c>
      <c r="AI27" s="37">
        <f t="shared" si="38"/>
        <v>39275</v>
      </c>
      <c r="AJ27" s="37">
        <f t="shared" si="38"/>
        <v>36185.47</v>
      </c>
      <c r="AK27" s="37">
        <f t="shared" si="38"/>
        <v>19249.38</v>
      </c>
      <c r="AL27" s="37">
        <f t="shared" ref="AL27:AM27" si="39">SUM(AL23:AL26)</f>
        <v>23286</v>
      </c>
      <c r="AM27" s="37">
        <f t="shared" si="39"/>
        <v>75484.77</v>
      </c>
      <c r="AN27" s="37">
        <f t="shared" ref="AN27" si="40">SUM(AN23:AN26)</f>
        <v>34772.539999999994</v>
      </c>
      <c r="AO27" s="37">
        <f t="shared" ref="AO27:AP27" si="41">SUM(AO23:AO26)</f>
        <v>19197.41</v>
      </c>
      <c r="AP27" s="37">
        <f t="shared" si="41"/>
        <v>0</v>
      </c>
      <c r="AQ27" s="37">
        <f t="shared" ref="AQ27:AR27" si="42">SUM(AQ23:AQ26)</f>
        <v>10184</v>
      </c>
      <c r="AR27" s="37">
        <f t="shared" si="42"/>
        <v>1682.5</v>
      </c>
      <c r="AS27" s="156">
        <f t="shared" ref="AS27" si="43">SUM(AS23:AS26)</f>
        <v>64490.38</v>
      </c>
      <c r="AT27" s="37">
        <f t="shared" ref="AT27" si="44">SUM(AT23:AT26)</f>
        <v>5643</v>
      </c>
      <c r="AU27" s="37">
        <f t="shared" ref="AU27:CR27" si="45">SUM(AU23:AU26)</f>
        <v>5643</v>
      </c>
      <c r="AV27" s="37">
        <f t="shared" si="45"/>
        <v>5643</v>
      </c>
      <c r="AW27" s="37">
        <f t="shared" si="45"/>
        <v>5643</v>
      </c>
      <c r="AX27" s="37">
        <f t="shared" si="45"/>
        <v>5643</v>
      </c>
      <c r="AY27" s="156">
        <f t="shared" si="45"/>
        <v>10163.229877767026</v>
      </c>
      <c r="AZ27" s="37">
        <f t="shared" si="45"/>
        <v>17476.507275042604</v>
      </c>
      <c r="BA27" s="37">
        <f t="shared" si="45"/>
        <v>43623.083936545016</v>
      </c>
      <c r="BB27" s="37">
        <f t="shared" si="45"/>
        <v>19248.57573436309</v>
      </c>
      <c r="BC27" s="37">
        <f t="shared" si="45"/>
        <v>126243.66738727837</v>
      </c>
      <c r="BD27" s="37">
        <f t="shared" si="45"/>
        <v>213045.76943517933</v>
      </c>
      <c r="BE27" s="37">
        <f t="shared" si="45"/>
        <v>149043.58450664204</v>
      </c>
      <c r="BF27" s="37">
        <f t="shared" si="45"/>
        <v>109684.40082131432</v>
      </c>
      <c r="BG27" s="37">
        <f t="shared" si="45"/>
        <v>40705.480044688287</v>
      </c>
      <c r="BH27" s="37">
        <f t="shared" si="45"/>
        <v>162317.15670038012</v>
      </c>
      <c r="BI27" s="37">
        <f t="shared" si="45"/>
        <v>54831.544280799768</v>
      </c>
      <c r="BJ27" s="37">
        <f t="shared" si="45"/>
        <v>22440</v>
      </c>
      <c r="BK27" s="156">
        <f t="shared" si="45"/>
        <v>27562.927194802629</v>
      </c>
      <c r="BL27" s="37">
        <f t="shared" si="45"/>
        <v>27132.708245048285</v>
      </c>
      <c r="BM27" s="37">
        <f t="shared" si="45"/>
        <v>56765.495128084352</v>
      </c>
      <c r="BN27" s="37">
        <f t="shared" si="45"/>
        <v>29141.052498944835</v>
      </c>
      <c r="BO27" s="37">
        <f t="shared" si="45"/>
        <v>150402.15637224884</v>
      </c>
      <c r="BP27" s="37">
        <f t="shared" si="45"/>
        <v>248777.87202653658</v>
      </c>
      <c r="BQ27" s="37">
        <f t="shared" si="45"/>
        <v>176242.06244086099</v>
      </c>
      <c r="BR27" s="37">
        <f t="shared" si="45"/>
        <v>125276.98759748957</v>
      </c>
      <c r="BS27" s="37">
        <f t="shared" si="45"/>
        <v>47100.877383980056</v>
      </c>
      <c r="BT27" s="37">
        <f t="shared" si="45"/>
        <v>184927.44426043081</v>
      </c>
      <c r="BU27" s="37">
        <f t="shared" si="45"/>
        <v>63110.416851573071</v>
      </c>
      <c r="BV27" s="37">
        <f t="shared" si="45"/>
        <v>26400</v>
      </c>
      <c r="BW27" s="156">
        <f t="shared" si="45"/>
        <v>32276.29884109713</v>
      </c>
      <c r="BX27" s="37">
        <f t="shared" si="45"/>
        <v>32520.459457555386</v>
      </c>
      <c r="BY27" s="37">
        <f t="shared" si="45"/>
        <v>66511.009117508511</v>
      </c>
      <c r="BZ27" s="37">
        <f t="shared" si="45"/>
        <v>34824.148454672017</v>
      </c>
      <c r="CA27" s="37">
        <f t="shared" si="45"/>
        <v>173917.76760346189</v>
      </c>
      <c r="CB27" s="37">
        <f t="shared" si="45"/>
        <v>286760.50026573311</v>
      </c>
      <c r="CC27" s="37">
        <f t="shared" si="45"/>
        <v>203557.65985863467</v>
      </c>
      <c r="CD27" s="37">
        <f t="shared" si="45"/>
        <v>145097.72106770863</v>
      </c>
      <c r="CE27" s="37">
        <f t="shared" si="45"/>
        <v>55425.124058094778</v>
      </c>
      <c r="CF27" s="37">
        <f t="shared" si="45"/>
        <v>213520.30371049416</v>
      </c>
      <c r="CG27" s="37">
        <f t="shared" si="45"/>
        <v>73789.007565039705</v>
      </c>
      <c r="CH27" s="37">
        <f t="shared" si="45"/>
        <v>31680</v>
      </c>
      <c r="CI27" s="156">
        <f t="shared" si="45"/>
        <v>38912.367804427238</v>
      </c>
      <c r="CJ27" s="37">
        <f t="shared" si="45"/>
        <v>37994.411640068167</v>
      </c>
      <c r="CK27" s="37">
        <f t="shared" si="45"/>
        <v>79828.934298472028</v>
      </c>
      <c r="CL27" s="37">
        <f t="shared" si="45"/>
        <v>40829.721174980943</v>
      </c>
      <c r="CM27" s="37">
        <f t="shared" si="45"/>
        <v>212021.86781964541</v>
      </c>
      <c r="CN27" s="37">
        <f t="shared" si="45"/>
        <v>350905.23109628691</v>
      </c>
      <c r="CO27" s="37">
        <f t="shared" si="45"/>
        <v>248501.73521062726</v>
      </c>
      <c r="CP27" s="37">
        <f t="shared" si="45"/>
        <v>181831.04131410291</v>
      </c>
      <c r="CQ27" s="37">
        <f t="shared" si="45"/>
        <v>71464.768071501254</v>
      </c>
      <c r="CR27" s="37">
        <f t="shared" si="45"/>
        <v>266043.45072060818</v>
      </c>
      <c r="CS27" s="37">
        <f t="shared" ref="CS27:DG27" si="46">SUM(CS23:CS26)</f>
        <v>94066.470849279634</v>
      </c>
      <c r="CT27" s="37">
        <f t="shared" si="46"/>
        <v>42240</v>
      </c>
      <c r="CU27" s="156">
        <f t="shared" si="46"/>
        <v>51280.459755534052</v>
      </c>
      <c r="CV27" s="37">
        <f t="shared" si="46"/>
        <v>43533.014550085209</v>
      </c>
      <c r="CW27" s="37">
        <f t="shared" si="46"/>
        <v>95826.167873090031</v>
      </c>
      <c r="CX27" s="37">
        <f t="shared" si="46"/>
        <v>47077.151468726181</v>
      </c>
      <c r="CY27" s="37">
        <f t="shared" si="46"/>
        <v>261067.33477455674</v>
      </c>
      <c r="CZ27" s="37">
        <f t="shared" si="46"/>
        <v>434671.53887035867</v>
      </c>
      <c r="DA27" s="37">
        <f t="shared" si="46"/>
        <v>306667.16901328409</v>
      </c>
      <c r="DB27" s="37">
        <f t="shared" si="46"/>
        <v>222008.80164262865</v>
      </c>
      <c r="DC27" s="37">
        <f t="shared" si="46"/>
        <v>84050.960089376575</v>
      </c>
      <c r="DD27" s="37">
        <f t="shared" si="46"/>
        <v>327274.31340076023</v>
      </c>
      <c r="DE27" s="37">
        <f t="shared" si="46"/>
        <v>112303.08856159954</v>
      </c>
      <c r="DF27" s="37">
        <f t="shared" si="46"/>
        <v>47520</v>
      </c>
      <c r="DG27" s="37">
        <f t="shared" si="46"/>
        <v>58368.551706640857</v>
      </c>
    </row>
    <row r="28" spans="1:111" s="37" customFormat="1" x14ac:dyDescent="0.25">
      <c r="A28" s="3"/>
      <c r="B28" s="4" t="s">
        <v>242</v>
      </c>
      <c r="C28" s="4"/>
      <c r="U28" s="37">
        <f>+U27</f>
        <v>3398</v>
      </c>
      <c r="V28" s="37">
        <f t="shared" ref="V28:CG28" si="47">+V27</f>
        <v>486</v>
      </c>
      <c r="W28" s="37">
        <f t="shared" si="47"/>
        <v>20141.21</v>
      </c>
      <c r="X28" s="37">
        <f t="shared" si="47"/>
        <v>1818.12</v>
      </c>
      <c r="Y28" s="37">
        <f t="shared" si="47"/>
        <v>82249.72</v>
      </c>
      <c r="Z28" s="37">
        <f t="shared" si="47"/>
        <v>144176.27000000002</v>
      </c>
      <c r="AA28" s="37">
        <f t="shared" si="47"/>
        <v>99093.34</v>
      </c>
      <c r="AB28" s="37">
        <f t="shared" si="47"/>
        <v>65584.38</v>
      </c>
      <c r="AC28" s="37">
        <f t="shared" ref="AC28" si="48">+AC27</f>
        <v>13730.740000000002</v>
      </c>
      <c r="AD28" s="37">
        <f t="shared" ref="AD28:AE28" si="49">+AD27</f>
        <v>105150.09</v>
      </c>
      <c r="AE28" s="37">
        <f t="shared" si="49"/>
        <v>24349.75</v>
      </c>
      <c r="AF28" s="37">
        <f t="shared" ref="AF28:AG28" si="50">+AF27</f>
        <v>24127.16</v>
      </c>
      <c r="AG28" s="37">
        <f t="shared" si="50"/>
        <v>35612.239999999998</v>
      </c>
      <c r="AH28" s="37">
        <f t="shared" ref="AH28:AI28" si="51">+AH27</f>
        <v>2899</v>
      </c>
      <c r="AI28" s="37">
        <f t="shared" si="51"/>
        <v>39275</v>
      </c>
      <c r="AJ28" s="37">
        <f t="shared" ref="AJ28:AK28" si="52">+AJ27</f>
        <v>36185.47</v>
      </c>
      <c r="AK28" s="37">
        <f t="shared" si="52"/>
        <v>19249.38</v>
      </c>
      <c r="AL28" s="37">
        <f t="shared" ref="AL28:AM28" si="53">+AL27</f>
        <v>23286</v>
      </c>
      <c r="AM28" s="37">
        <f t="shared" si="53"/>
        <v>75484.77</v>
      </c>
      <c r="AN28" s="37">
        <f t="shared" ref="AN28" si="54">+AN27</f>
        <v>34772.539999999994</v>
      </c>
      <c r="AO28" s="37">
        <f t="shared" ref="AO28:AP28" si="55">+AO27</f>
        <v>19197.41</v>
      </c>
      <c r="AP28" s="37">
        <f t="shared" si="55"/>
        <v>0</v>
      </c>
      <c r="AQ28" s="37">
        <f t="shared" ref="AQ28:AR28" si="56">+AQ27</f>
        <v>10184</v>
      </c>
      <c r="AR28" s="37">
        <f t="shared" si="56"/>
        <v>1682.5</v>
      </c>
      <c r="AS28" s="156">
        <f t="shared" ref="AS28" si="57">+AS27</f>
        <v>64490.38</v>
      </c>
      <c r="AT28" s="37">
        <f t="shared" ref="AT28" si="58">+AT27</f>
        <v>5643</v>
      </c>
      <c r="AU28" s="37">
        <f t="shared" si="47"/>
        <v>5643</v>
      </c>
      <c r="AV28" s="37">
        <f t="shared" si="47"/>
        <v>5643</v>
      </c>
      <c r="AW28" s="37">
        <f t="shared" si="47"/>
        <v>5643</v>
      </c>
      <c r="AX28" s="37">
        <f t="shared" si="47"/>
        <v>5643</v>
      </c>
      <c r="AY28" s="156">
        <f t="shared" si="47"/>
        <v>10163.229877767026</v>
      </c>
      <c r="AZ28" s="37">
        <f t="shared" si="47"/>
        <v>17476.507275042604</v>
      </c>
      <c r="BA28" s="37">
        <f t="shared" si="47"/>
        <v>43623.083936545016</v>
      </c>
      <c r="BB28" s="37">
        <f t="shared" si="47"/>
        <v>19248.57573436309</v>
      </c>
      <c r="BC28" s="37">
        <f t="shared" si="47"/>
        <v>126243.66738727837</v>
      </c>
      <c r="BD28" s="37">
        <f t="shared" si="47"/>
        <v>213045.76943517933</v>
      </c>
      <c r="BE28" s="37">
        <f t="shared" si="47"/>
        <v>149043.58450664204</v>
      </c>
      <c r="BF28" s="37">
        <f t="shared" si="47"/>
        <v>109684.40082131432</v>
      </c>
      <c r="BG28" s="37">
        <f t="shared" si="47"/>
        <v>40705.480044688287</v>
      </c>
      <c r="BH28" s="37">
        <f t="shared" si="47"/>
        <v>162317.15670038012</v>
      </c>
      <c r="BI28" s="37">
        <f t="shared" si="47"/>
        <v>54831.544280799768</v>
      </c>
      <c r="BJ28" s="37">
        <f t="shared" si="47"/>
        <v>22440</v>
      </c>
      <c r="BK28" s="156">
        <f t="shared" si="47"/>
        <v>27562.927194802629</v>
      </c>
      <c r="BL28" s="37">
        <f t="shared" si="47"/>
        <v>27132.708245048285</v>
      </c>
      <c r="BM28" s="37">
        <f t="shared" si="47"/>
        <v>56765.495128084352</v>
      </c>
      <c r="BN28" s="37">
        <f t="shared" si="47"/>
        <v>29141.052498944835</v>
      </c>
      <c r="BO28" s="37">
        <f t="shared" si="47"/>
        <v>150402.15637224884</v>
      </c>
      <c r="BP28" s="37">
        <f t="shared" si="47"/>
        <v>248777.87202653658</v>
      </c>
      <c r="BQ28" s="37">
        <f t="shared" si="47"/>
        <v>176242.06244086099</v>
      </c>
      <c r="BR28" s="37">
        <f t="shared" si="47"/>
        <v>125276.98759748957</v>
      </c>
      <c r="BS28" s="37">
        <f t="shared" si="47"/>
        <v>47100.877383980056</v>
      </c>
      <c r="BT28" s="37">
        <f t="shared" si="47"/>
        <v>184927.44426043081</v>
      </c>
      <c r="BU28" s="37">
        <f t="shared" si="47"/>
        <v>63110.416851573071</v>
      </c>
      <c r="BV28" s="37">
        <f t="shared" si="47"/>
        <v>26400</v>
      </c>
      <c r="BW28" s="156">
        <f t="shared" si="47"/>
        <v>32276.29884109713</v>
      </c>
      <c r="BX28" s="37">
        <f t="shared" si="47"/>
        <v>32520.459457555386</v>
      </c>
      <c r="BY28" s="37">
        <f t="shared" si="47"/>
        <v>66511.009117508511</v>
      </c>
      <c r="BZ28" s="37">
        <f t="shared" si="47"/>
        <v>34824.148454672017</v>
      </c>
      <c r="CA28" s="37">
        <f t="shared" si="47"/>
        <v>173917.76760346189</v>
      </c>
      <c r="CB28" s="37">
        <f t="shared" si="47"/>
        <v>286760.50026573311</v>
      </c>
      <c r="CC28" s="37">
        <f t="shared" si="47"/>
        <v>203557.65985863467</v>
      </c>
      <c r="CD28" s="37">
        <f t="shared" si="47"/>
        <v>145097.72106770863</v>
      </c>
      <c r="CE28" s="37">
        <f t="shared" si="47"/>
        <v>55425.124058094778</v>
      </c>
      <c r="CF28" s="37">
        <f t="shared" si="47"/>
        <v>213520.30371049416</v>
      </c>
      <c r="CG28" s="37">
        <f t="shared" si="47"/>
        <v>73789.007565039705</v>
      </c>
      <c r="CH28" s="37">
        <f t="shared" ref="CH28:DG28" si="59">+CH27</f>
        <v>31680</v>
      </c>
      <c r="CI28" s="156">
        <f t="shared" si="59"/>
        <v>38912.367804427238</v>
      </c>
      <c r="CJ28" s="37">
        <f t="shared" si="59"/>
        <v>37994.411640068167</v>
      </c>
      <c r="CK28" s="37">
        <f t="shared" si="59"/>
        <v>79828.934298472028</v>
      </c>
      <c r="CL28" s="37">
        <f t="shared" si="59"/>
        <v>40829.721174980943</v>
      </c>
      <c r="CM28" s="37">
        <f t="shared" si="59"/>
        <v>212021.86781964541</v>
      </c>
      <c r="CN28" s="37">
        <f t="shared" si="59"/>
        <v>350905.23109628691</v>
      </c>
      <c r="CO28" s="37">
        <f t="shared" si="59"/>
        <v>248501.73521062726</v>
      </c>
      <c r="CP28" s="37">
        <f t="shared" si="59"/>
        <v>181831.04131410291</v>
      </c>
      <c r="CQ28" s="37">
        <f t="shared" si="59"/>
        <v>71464.768071501254</v>
      </c>
      <c r="CR28" s="37">
        <f t="shared" si="59"/>
        <v>266043.45072060818</v>
      </c>
      <c r="CS28" s="37">
        <f t="shared" si="59"/>
        <v>94066.470849279634</v>
      </c>
      <c r="CT28" s="37">
        <f t="shared" si="59"/>
        <v>42240</v>
      </c>
      <c r="CU28" s="156">
        <f t="shared" si="59"/>
        <v>51280.459755534052</v>
      </c>
      <c r="CV28" s="37">
        <f t="shared" si="59"/>
        <v>43533.014550085209</v>
      </c>
      <c r="CW28" s="37">
        <f t="shared" si="59"/>
        <v>95826.167873090031</v>
      </c>
      <c r="CX28" s="37">
        <f t="shared" si="59"/>
        <v>47077.151468726181</v>
      </c>
      <c r="CY28" s="37">
        <f t="shared" si="59"/>
        <v>261067.33477455674</v>
      </c>
      <c r="CZ28" s="37">
        <f t="shared" si="59"/>
        <v>434671.53887035867</v>
      </c>
      <c r="DA28" s="37">
        <f t="shared" si="59"/>
        <v>306667.16901328409</v>
      </c>
      <c r="DB28" s="37">
        <f t="shared" si="59"/>
        <v>222008.80164262865</v>
      </c>
      <c r="DC28" s="37">
        <f t="shared" si="59"/>
        <v>84050.960089376575</v>
      </c>
      <c r="DD28" s="37">
        <f t="shared" si="59"/>
        <v>327274.31340076023</v>
      </c>
      <c r="DE28" s="37">
        <f t="shared" si="59"/>
        <v>112303.08856159954</v>
      </c>
      <c r="DF28" s="37">
        <f t="shared" si="59"/>
        <v>47520</v>
      </c>
      <c r="DG28" s="37">
        <f t="shared" si="59"/>
        <v>58368.551706640857</v>
      </c>
    </row>
    <row r="29" spans="1:111" s="335" customFormat="1" hidden="1" x14ac:dyDescent="0.25">
      <c r="A29" s="333"/>
      <c r="B29" s="337" t="s">
        <v>340</v>
      </c>
      <c r="C29" s="334"/>
      <c r="U29" s="340"/>
      <c r="V29" s="340"/>
      <c r="W29" s="339">
        <f>+W23/W$11</f>
        <v>0.72655828329214744</v>
      </c>
      <c r="X29" s="339">
        <f t="shared" ref="X29:AD29" si="60">+X23/X$11</f>
        <v>9.7243306272413274E-2</v>
      </c>
      <c r="Y29" s="339">
        <f t="shared" si="60"/>
        <v>0.86571959961282141</v>
      </c>
      <c r="Z29" s="339">
        <f t="shared" si="60"/>
        <v>0.2830193021227364</v>
      </c>
      <c r="AA29" s="339">
        <f t="shared" si="60"/>
        <v>0.11881707702491903</v>
      </c>
      <c r="AB29" s="339">
        <f t="shared" si="60"/>
        <v>0</v>
      </c>
      <c r="AC29" s="339">
        <f t="shared" si="60"/>
        <v>0</v>
      </c>
      <c r="AD29" s="339">
        <f t="shared" si="60"/>
        <v>0</v>
      </c>
      <c r="AE29" s="339">
        <f t="shared" ref="AE29:AJ29" si="61">+AE23/AE$11</f>
        <v>0</v>
      </c>
      <c r="AF29" s="461">
        <f t="shared" si="61"/>
        <v>0</v>
      </c>
      <c r="AG29" s="461" t="e">
        <f t="shared" si="61"/>
        <v>#DIV/0!</v>
      </c>
      <c r="AH29" s="461" t="e">
        <f t="shared" si="61"/>
        <v>#DIV/0!</v>
      </c>
      <c r="AI29" s="461" t="e">
        <f t="shared" si="61"/>
        <v>#DIV/0!</v>
      </c>
      <c r="AJ29" s="461" t="e">
        <f t="shared" si="61"/>
        <v>#DIV/0!</v>
      </c>
      <c r="AK29" s="461" t="e">
        <f t="shared" ref="AK29:AL29" si="62">+AK23/AK$11</f>
        <v>#DIV/0!</v>
      </c>
      <c r="AL29" s="461" t="e">
        <f t="shared" si="62"/>
        <v>#DIV/0!</v>
      </c>
      <c r="AM29" s="461" t="e">
        <f t="shared" ref="AM29:AN29" si="63">+AM23/AM$11</f>
        <v>#DIV/0!</v>
      </c>
      <c r="AN29" s="461" t="e">
        <f t="shared" si="63"/>
        <v>#DIV/0!</v>
      </c>
      <c r="AO29" s="461" t="e">
        <f t="shared" ref="AO29:AP29" si="64">+AO23/AO$11</f>
        <v>#DIV/0!</v>
      </c>
      <c r="AP29" s="461" t="e">
        <f t="shared" si="64"/>
        <v>#DIV/0!</v>
      </c>
      <c r="AQ29" s="461" t="e">
        <f t="shared" ref="AQ29:AR29" si="65">+AQ23/AQ$11</f>
        <v>#DIV/0!</v>
      </c>
      <c r="AR29" s="461" t="e">
        <f t="shared" si="65"/>
        <v>#DIV/0!</v>
      </c>
      <c r="AS29" s="755">
        <f t="shared" ref="AS29" si="66">+AS23/AS$11</f>
        <v>0</v>
      </c>
      <c r="AT29" s="763">
        <v>0</v>
      </c>
      <c r="AU29" s="339">
        <f t="shared" ref="AU29:CS30" si="67">+AT29</f>
        <v>0</v>
      </c>
      <c r="AV29" s="339">
        <f t="shared" si="67"/>
        <v>0</v>
      </c>
      <c r="AW29" s="339">
        <f t="shared" si="67"/>
        <v>0</v>
      </c>
      <c r="AX29" s="339">
        <f t="shared" si="67"/>
        <v>0</v>
      </c>
      <c r="AY29" s="342">
        <f t="shared" si="67"/>
        <v>0</v>
      </c>
      <c r="AZ29" s="339">
        <f t="shared" si="67"/>
        <v>0</v>
      </c>
      <c r="BA29" s="339">
        <f t="shared" si="67"/>
        <v>0</v>
      </c>
      <c r="BB29" s="339">
        <f t="shared" si="67"/>
        <v>0</v>
      </c>
      <c r="BC29" s="339">
        <f t="shared" si="67"/>
        <v>0</v>
      </c>
      <c r="BD29" s="339">
        <f t="shared" si="67"/>
        <v>0</v>
      </c>
      <c r="BE29" s="339">
        <f t="shared" si="67"/>
        <v>0</v>
      </c>
      <c r="BF29" s="339">
        <f t="shared" si="67"/>
        <v>0</v>
      </c>
      <c r="BG29" s="339">
        <f t="shared" si="67"/>
        <v>0</v>
      </c>
      <c r="BH29" s="339">
        <f t="shared" si="67"/>
        <v>0</v>
      </c>
      <c r="BI29" s="339">
        <f t="shared" si="67"/>
        <v>0</v>
      </c>
      <c r="BJ29" s="339">
        <f t="shared" si="67"/>
        <v>0</v>
      </c>
      <c r="BK29" s="342">
        <f t="shared" si="67"/>
        <v>0</v>
      </c>
      <c r="BL29" s="339">
        <f t="shared" si="67"/>
        <v>0</v>
      </c>
      <c r="BM29" s="339">
        <f t="shared" si="67"/>
        <v>0</v>
      </c>
      <c r="BN29" s="339">
        <f t="shared" si="67"/>
        <v>0</v>
      </c>
      <c r="BO29" s="339">
        <f t="shared" si="67"/>
        <v>0</v>
      </c>
      <c r="BP29" s="339">
        <f t="shared" si="67"/>
        <v>0</v>
      </c>
      <c r="BQ29" s="339">
        <f t="shared" si="67"/>
        <v>0</v>
      </c>
      <c r="BR29" s="339">
        <f t="shared" si="67"/>
        <v>0</v>
      </c>
      <c r="BS29" s="339">
        <f t="shared" si="67"/>
        <v>0</v>
      </c>
      <c r="BT29" s="339">
        <f t="shared" si="67"/>
        <v>0</v>
      </c>
      <c r="BU29" s="339">
        <f t="shared" si="67"/>
        <v>0</v>
      </c>
      <c r="BV29" s="339">
        <f t="shared" si="67"/>
        <v>0</v>
      </c>
      <c r="BW29" s="342">
        <f t="shared" si="67"/>
        <v>0</v>
      </c>
      <c r="BX29" s="339">
        <f t="shared" si="67"/>
        <v>0</v>
      </c>
      <c r="BY29" s="339">
        <f t="shared" si="67"/>
        <v>0</v>
      </c>
      <c r="BZ29" s="339">
        <f t="shared" si="67"/>
        <v>0</v>
      </c>
      <c r="CA29" s="339">
        <f t="shared" si="67"/>
        <v>0</v>
      </c>
      <c r="CB29" s="339">
        <f t="shared" si="67"/>
        <v>0</v>
      </c>
      <c r="CC29" s="339">
        <f t="shared" si="67"/>
        <v>0</v>
      </c>
      <c r="CD29" s="339">
        <f t="shared" si="67"/>
        <v>0</v>
      </c>
      <c r="CE29" s="339">
        <f t="shared" si="67"/>
        <v>0</v>
      </c>
      <c r="CF29" s="339">
        <f t="shared" si="67"/>
        <v>0</v>
      </c>
      <c r="CG29" s="339">
        <f t="shared" si="67"/>
        <v>0</v>
      </c>
      <c r="CH29" s="339">
        <f t="shared" si="67"/>
        <v>0</v>
      </c>
      <c r="CI29" s="342">
        <f t="shared" si="67"/>
        <v>0</v>
      </c>
      <c r="CJ29" s="339">
        <f t="shared" si="67"/>
        <v>0</v>
      </c>
      <c r="CK29" s="339">
        <f t="shared" si="67"/>
        <v>0</v>
      </c>
      <c r="CL29" s="339">
        <f t="shared" si="67"/>
        <v>0</v>
      </c>
      <c r="CM29" s="339">
        <f t="shared" si="67"/>
        <v>0</v>
      </c>
      <c r="CN29" s="339">
        <f t="shared" si="67"/>
        <v>0</v>
      </c>
      <c r="CO29" s="339">
        <f t="shared" si="67"/>
        <v>0</v>
      </c>
      <c r="CP29" s="339">
        <f t="shared" si="67"/>
        <v>0</v>
      </c>
      <c r="CQ29" s="339">
        <f t="shared" si="67"/>
        <v>0</v>
      </c>
      <c r="CR29" s="339">
        <f t="shared" si="67"/>
        <v>0</v>
      </c>
      <c r="CS29" s="339">
        <f t="shared" si="67"/>
        <v>0</v>
      </c>
      <c r="CT29" s="339">
        <f t="shared" ref="CT29:DG31" si="68">+CS29</f>
        <v>0</v>
      </c>
      <c r="CU29" s="342">
        <f t="shared" si="68"/>
        <v>0</v>
      </c>
      <c r="CV29" s="339">
        <f t="shared" si="68"/>
        <v>0</v>
      </c>
      <c r="CW29" s="339">
        <f t="shared" si="68"/>
        <v>0</v>
      </c>
      <c r="CX29" s="339">
        <f t="shared" si="68"/>
        <v>0</v>
      </c>
      <c r="CY29" s="339">
        <f t="shared" si="68"/>
        <v>0</v>
      </c>
      <c r="CZ29" s="339">
        <f t="shared" si="68"/>
        <v>0</v>
      </c>
      <c r="DA29" s="339">
        <f t="shared" si="68"/>
        <v>0</v>
      </c>
      <c r="DB29" s="339">
        <f t="shared" si="68"/>
        <v>0</v>
      </c>
      <c r="DC29" s="339">
        <f t="shared" si="68"/>
        <v>0</v>
      </c>
      <c r="DD29" s="339">
        <f t="shared" si="68"/>
        <v>0</v>
      </c>
      <c r="DE29" s="339">
        <f t="shared" si="68"/>
        <v>0</v>
      </c>
      <c r="DF29" s="339">
        <f t="shared" si="68"/>
        <v>0</v>
      </c>
      <c r="DG29" s="339">
        <f t="shared" si="68"/>
        <v>0</v>
      </c>
    </row>
    <row r="30" spans="1:111" s="335" customFormat="1" x14ac:dyDescent="0.25">
      <c r="A30" s="333"/>
      <c r="B30" s="337" t="s">
        <v>341</v>
      </c>
      <c r="C30" s="334"/>
      <c r="W30" s="339">
        <f t="shared" ref="W30:AA31" si="69">+W24/W$11</f>
        <v>0</v>
      </c>
      <c r="X30" s="339">
        <f t="shared" si="69"/>
        <v>0.76942336039425341</v>
      </c>
      <c r="Y30" s="339">
        <f t="shared" si="69"/>
        <v>9.4706705384528967E-4</v>
      </c>
      <c r="Z30" s="339">
        <f t="shared" si="69"/>
        <v>0.54940858494786937</v>
      </c>
      <c r="AA30" s="339">
        <f t="shared" si="69"/>
        <v>0.18874539861151335</v>
      </c>
      <c r="AB30" s="339">
        <f>+IFERROR(AB24/AB$11, 0)</f>
        <v>0.10695712174253687</v>
      </c>
      <c r="AC30" s="339">
        <f t="shared" ref="AC30:AJ30" si="70">+IFERROR(AC24/AC$11, 0)</f>
        <v>0.604593472111423</v>
      </c>
      <c r="AD30" s="339">
        <f t="shared" si="70"/>
        <v>9.0253979261545089E-2</v>
      </c>
      <c r="AE30" s="339">
        <f t="shared" si="70"/>
        <v>4.1191318391609132E-2</v>
      </c>
      <c r="AF30" s="339">
        <f t="shared" si="70"/>
        <v>0.52940350877192988</v>
      </c>
      <c r="AG30" s="339">
        <f t="shared" si="70"/>
        <v>0</v>
      </c>
      <c r="AH30" s="339">
        <f t="shared" si="70"/>
        <v>0</v>
      </c>
      <c r="AI30" s="339">
        <f t="shared" si="70"/>
        <v>0</v>
      </c>
      <c r="AJ30" s="339">
        <f t="shared" si="70"/>
        <v>0</v>
      </c>
      <c r="AK30" s="339">
        <f t="shared" ref="AK30:AL30" si="71">+IFERROR(AK24/AK$11, 0)</f>
        <v>0</v>
      </c>
      <c r="AL30" s="339">
        <f t="shared" si="71"/>
        <v>0</v>
      </c>
      <c r="AM30" s="339">
        <f t="shared" ref="AM30:AN30" si="72">+IFERROR(AM24/AM$11, 0)</f>
        <v>0</v>
      </c>
      <c r="AN30" s="339">
        <f t="shared" si="72"/>
        <v>0</v>
      </c>
      <c r="AO30" s="339">
        <f t="shared" ref="AO30:AP30" si="73">+IFERROR(AO24/AO$11, 0)</f>
        <v>0</v>
      </c>
      <c r="AP30" s="339">
        <f t="shared" si="73"/>
        <v>0</v>
      </c>
      <c r="AQ30" s="339">
        <f t="shared" ref="AQ30:AR30" si="74">+IFERROR(AQ24/AQ$11, 0)</f>
        <v>0</v>
      </c>
      <c r="AR30" s="339">
        <f t="shared" si="74"/>
        <v>0</v>
      </c>
      <c r="AS30" s="342">
        <f t="shared" ref="AS30" si="75">+IFERROR(AS24/AS$11, 0)</f>
        <v>6.6166666666666665E-3</v>
      </c>
      <c r="AT30" s="763">
        <v>0.61179144825355081</v>
      </c>
      <c r="AU30" s="339">
        <f t="shared" ref="AU30:AV30" si="76">+AT30</f>
        <v>0.61179144825355081</v>
      </c>
      <c r="AV30" s="339">
        <f t="shared" si="76"/>
        <v>0.61179144825355081</v>
      </c>
      <c r="AW30" s="339">
        <f t="shared" si="67"/>
        <v>0.61179144825355081</v>
      </c>
      <c r="AX30" s="339">
        <f t="shared" si="67"/>
        <v>0.61179144825355081</v>
      </c>
      <c r="AY30" s="342">
        <f t="shared" si="67"/>
        <v>0.61179144825355081</v>
      </c>
      <c r="AZ30" s="339">
        <f t="shared" si="67"/>
        <v>0.61179144825355081</v>
      </c>
      <c r="BA30" s="339">
        <f t="shared" si="67"/>
        <v>0.61179144825355081</v>
      </c>
      <c r="BB30" s="339">
        <f t="shared" si="67"/>
        <v>0.61179144825355081</v>
      </c>
      <c r="BC30" s="339">
        <f t="shared" si="67"/>
        <v>0.61179144825355081</v>
      </c>
      <c r="BD30" s="339">
        <f t="shared" si="67"/>
        <v>0.61179144825355081</v>
      </c>
      <c r="BE30" s="339">
        <f t="shared" si="67"/>
        <v>0.61179144825355081</v>
      </c>
      <c r="BF30" s="339">
        <f t="shared" si="67"/>
        <v>0.61179144825355081</v>
      </c>
      <c r="BG30" s="339">
        <f t="shared" si="67"/>
        <v>0.61179144825355081</v>
      </c>
      <c r="BH30" s="339">
        <f t="shared" si="67"/>
        <v>0.61179144825355081</v>
      </c>
      <c r="BI30" s="339">
        <f t="shared" si="67"/>
        <v>0.61179144825355081</v>
      </c>
      <c r="BJ30" s="339">
        <f t="shared" si="67"/>
        <v>0.61179144825355081</v>
      </c>
      <c r="BK30" s="342">
        <f t="shared" si="67"/>
        <v>0.61179144825355081</v>
      </c>
      <c r="BL30" s="339">
        <f t="shared" si="67"/>
        <v>0.61179144825355081</v>
      </c>
      <c r="BM30" s="339">
        <f t="shared" si="67"/>
        <v>0.61179144825355081</v>
      </c>
      <c r="BN30" s="339">
        <f t="shared" si="67"/>
        <v>0.61179144825355081</v>
      </c>
      <c r="BO30" s="339">
        <f t="shared" si="67"/>
        <v>0.61179144825355081</v>
      </c>
      <c r="BP30" s="339">
        <f t="shared" si="67"/>
        <v>0.61179144825355081</v>
      </c>
      <c r="BQ30" s="339">
        <f t="shared" si="67"/>
        <v>0.61179144825355081</v>
      </c>
      <c r="BR30" s="339">
        <f t="shared" si="67"/>
        <v>0.61179144825355081</v>
      </c>
      <c r="BS30" s="339">
        <f t="shared" si="67"/>
        <v>0.61179144825355081</v>
      </c>
      <c r="BT30" s="339">
        <f t="shared" si="67"/>
        <v>0.61179144825355081</v>
      </c>
      <c r="BU30" s="339">
        <f t="shared" si="67"/>
        <v>0.61179144825355081</v>
      </c>
      <c r="BV30" s="339">
        <f t="shared" si="67"/>
        <v>0.61179144825355081</v>
      </c>
      <c r="BW30" s="342">
        <f t="shared" si="67"/>
        <v>0.61179144825355081</v>
      </c>
      <c r="BX30" s="339">
        <f t="shared" si="67"/>
        <v>0.61179144825355081</v>
      </c>
      <c r="BY30" s="339">
        <f t="shared" si="67"/>
        <v>0.61179144825355081</v>
      </c>
      <c r="BZ30" s="339">
        <f t="shared" si="67"/>
        <v>0.61179144825355081</v>
      </c>
      <c r="CA30" s="339">
        <f t="shared" si="67"/>
        <v>0.61179144825355081</v>
      </c>
      <c r="CB30" s="339">
        <f t="shared" si="67"/>
        <v>0.61179144825355081</v>
      </c>
      <c r="CC30" s="339">
        <f t="shared" si="67"/>
        <v>0.61179144825355081</v>
      </c>
      <c r="CD30" s="339">
        <f t="shared" si="67"/>
        <v>0.61179144825355081</v>
      </c>
      <c r="CE30" s="339">
        <f t="shared" si="67"/>
        <v>0.61179144825355081</v>
      </c>
      <c r="CF30" s="339">
        <f t="shared" si="67"/>
        <v>0.61179144825355081</v>
      </c>
      <c r="CG30" s="339">
        <f t="shared" si="67"/>
        <v>0.61179144825355081</v>
      </c>
      <c r="CH30" s="339">
        <f t="shared" si="67"/>
        <v>0.61179144825355081</v>
      </c>
      <c r="CI30" s="342">
        <f t="shared" si="67"/>
        <v>0.61179144825355081</v>
      </c>
      <c r="CJ30" s="339">
        <f t="shared" si="67"/>
        <v>0.61179144825355081</v>
      </c>
      <c r="CK30" s="339">
        <f t="shared" si="67"/>
        <v>0.61179144825355081</v>
      </c>
      <c r="CL30" s="339">
        <f t="shared" si="67"/>
        <v>0.61179144825355081</v>
      </c>
      <c r="CM30" s="339">
        <f t="shared" si="67"/>
        <v>0.61179144825355081</v>
      </c>
      <c r="CN30" s="339">
        <f t="shared" si="67"/>
        <v>0.61179144825355081</v>
      </c>
      <c r="CO30" s="339">
        <f t="shared" si="67"/>
        <v>0.61179144825355081</v>
      </c>
      <c r="CP30" s="339">
        <f t="shared" si="67"/>
        <v>0.61179144825355081</v>
      </c>
      <c r="CQ30" s="339">
        <f t="shared" si="67"/>
        <v>0.61179144825355081</v>
      </c>
      <c r="CR30" s="339">
        <f t="shared" si="67"/>
        <v>0.61179144825355081</v>
      </c>
      <c r="CS30" s="339">
        <f t="shared" si="67"/>
        <v>0.61179144825355081</v>
      </c>
      <c r="CT30" s="339">
        <f t="shared" si="68"/>
        <v>0.61179144825355081</v>
      </c>
      <c r="CU30" s="342">
        <f t="shared" si="68"/>
        <v>0.61179144825355081</v>
      </c>
      <c r="CV30" s="339">
        <f t="shared" si="68"/>
        <v>0.61179144825355081</v>
      </c>
      <c r="CW30" s="339">
        <f t="shared" si="68"/>
        <v>0.61179144825355081</v>
      </c>
      <c r="CX30" s="339">
        <f t="shared" si="68"/>
        <v>0.61179144825355081</v>
      </c>
      <c r="CY30" s="339">
        <f t="shared" si="68"/>
        <v>0.61179144825355081</v>
      </c>
      <c r="CZ30" s="339">
        <f t="shared" si="68"/>
        <v>0.61179144825355081</v>
      </c>
      <c r="DA30" s="339">
        <f t="shared" si="68"/>
        <v>0.61179144825355081</v>
      </c>
      <c r="DB30" s="339">
        <f t="shared" si="68"/>
        <v>0.61179144825355081</v>
      </c>
      <c r="DC30" s="339">
        <f t="shared" si="68"/>
        <v>0.61179144825355081</v>
      </c>
      <c r="DD30" s="339">
        <f t="shared" si="68"/>
        <v>0.61179144825355081</v>
      </c>
      <c r="DE30" s="339">
        <f t="shared" si="68"/>
        <v>0.61179144825355081</v>
      </c>
      <c r="DF30" s="339">
        <f t="shared" si="68"/>
        <v>0.61179144825355081</v>
      </c>
      <c r="DG30" s="339">
        <f t="shared" si="68"/>
        <v>0.61179144825355081</v>
      </c>
    </row>
    <row r="31" spans="1:111" s="335" customFormat="1" x14ac:dyDescent="0.25">
      <c r="A31" s="333"/>
      <c r="B31" s="337" t="s">
        <v>342</v>
      </c>
      <c r="C31" s="334"/>
      <c r="W31" s="339">
        <f t="shared" si="69"/>
        <v>0</v>
      </c>
      <c r="X31" s="339">
        <f t="shared" si="69"/>
        <v>0</v>
      </c>
      <c r="Y31" s="339">
        <f t="shared" si="69"/>
        <v>0</v>
      </c>
      <c r="Z31" s="339">
        <f t="shared" si="69"/>
        <v>1.4629119947937145E-2</v>
      </c>
      <c r="AA31" s="339">
        <f t="shared" si="69"/>
        <v>0.33146580314384827</v>
      </c>
      <c r="AB31" s="339">
        <f>+IFERROR(AB25/AB$11, 0)</f>
        <v>0.64477455825746322</v>
      </c>
      <c r="AC31" s="339">
        <f t="shared" ref="AC31:AJ31" si="77">+IFERROR(AC25/AC$11, 0)</f>
        <v>0.14713820788857701</v>
      </c>
      <c r="AD31" s="339">
        <f t="shared" si="77"/>
        <v>0.66147770073845491</v>
      </c>
      <c r="AE31" s="339">
        <f t="shared" si="77"/>
        <v>0.4046689333025224</v>
      </c>
      <c r="AF31" s="339">
        <f t="shared" si="77"/>
        <v>11.195989974937344</v>
      </c>
      <c r="AG31" s="339">
        <f t="shared" si="77"/>
        <v>0</v>
      </c>
      <c r="AH31" s="339">
        <f t="shared" si="77"/>
        <v>0</v>
      </c>
      <c r="AI31" s="339">
        <f t="shared" si="77"/>
        <v>0</v>
      </c>
      <c r="AJ31" s="339">
        <f t="shared" si="77"/>
        <v>0</v>
      </c>
      <c r="AK31" s="339">
        <f t="shared" ref="AK31:AL31" si="78">+IFERROR(AK25/AK$11, 0)</f>
        <v>0</v>
      </c>
      <c r="AL31" s="339">
        <f t="shared" si="78"/>
        <v>0</v>
      </c>
      <c r="AM31" s="339">
        <f t="shared" ref="AM31:AN31" si="79">+IFERROR(AM25/AM$11, 0)</f>
        <v>0</v>
      </c>
      <c r="AN31" s="339">
        <f t="shared" si="79"/>
        <v>0</v>
      </c>
      <c r="AO31" s="339">
        <f t="shared" ref="AO31:AP31" si="80">+IFERROR(AO25/AO$11, 0)</f>
        <v>0</v>
      </c>
      <c r="AP31" s="339">
        <f t="shared" si="80"/>
        <v>0</v>
      </c>
      <c r="AQ31" s="339">
        <f t="shared" ref="AQ31:AR31" si="81">+IFERROR(AQ25/AQ$11, 0)</f>
        <v>0</v>
      </c>
      <c r="AR31" s="339">
        <f t="shared" si="81"/>
        <v>0</v>
      </c>
      <c r="AS31" s="342">
        <f t="shared" ref="AS31" si="82">+IFERROR(AS25/AS$11, 0)</f>
        <v>0.70994311111111108</v>
      </c>
      <c r="AT31" s="763">
        <v>0.38820855174644919</v>
      </c>
      <c r="AU31" s="339">
        <f t="shared" ref="AU31:CS31" si="83">+AT31</f>
        <v>0.38820855174644919</v>
      </c>
      <c r="AV31" s="339">
        <f t="shared" si="83"/>
        <v>0.38820855174644919</v>
      </c>
      <c r="AW31" s="339">
        <f t="shared" si="83"/>
        <v>0.38820855174644919</v>
      </c>
      <c r="AX31" s="339">
        <f t="shared" si="83"/>
        <v>0.38820855174644919</v>
      </c>
      <c r="AY31" s="342">
        <f t="shared" si="83"/>
        <v>0.38820855174644919</v>
      </c>
      <c r="AZ31" s="339">
        <f t="shared" si="83"/>
        <v>0.38820855174644919</v>
      </c>
      <c r="BA31" s="339">
        <f t="shared" si="83"/>
        <v>0.38820855174644919</v>
      </c>
      <c r="BB31" s="339">
        <f t="shared" si="83"/>
        <v>0.38820855174644919</v>
      </c>
      <c r="BC31" s="339">
        <f t="shared" si="83"/>
        <v>0.38820855174644919</v>
      </c>
      <c r="BD31" s="339">
        <f t="shared" si="83"/>
        <v>0.38820855174644919</v>
      </c>
      <c r="BE31" s="339">
        <f t="shared" si="83"/>
        <v>0.38820855174644919</v>
      </c>
      <c r="BF31" s="339">
        <f t="shared" si="83"/>
        <v>0.38820855174644919</v>
      </c>
      <c r="BG31" s="339">
        <f t="shared" si="83"/>
        <v>0.38820855174644919</v>
      </c>
      <c r="BH31" s="339">
        <f t="shared" si="83"/>
        <v>0.38820855174644919</v>
      </c>
      <c r="BI31" s="339">
        <f t="shared" si="83"/>
        <v>0.38820855174644919</v>
      </c>
      <c r="BJ31" s="339">
        <f t="shared" si="83"/>
        <v>0.38820855174644919</v>
      </c>
      <c r="BK31" s="342">
        <f t="shared" si="83"/>
        <v>0.38820855174644919</v>
      </c>
      <c r="BL31" s="339">
        <f t="shared" si="83"/>
        <v>0.38820855174644919</v>
      </c>
      <c r="BM31" s="339">
        <f t="shared" si="83"/>
        <v>0.38820855174644919</v>
      </c>
      <c r="BN31" s="339">
        <f t="shared" si="83"/>
        <v>0.38820855174644919</v>
      </c>
      <c r="BO31" s="339">
        <f t="shared" si="83"/>
        <v>0.38820855174644919</v>
      </c>
      <c r="BP31" s="339">
        <f t="shared" si="83"/>
        <v>0.38820855174644919</v>
      </c>
      <c r="BQ31" s="339">
        <f t="shared" si="83"/>
        <v>0.38820855174644919</v>
      </c>
      <c r="BR31" s="339">
        <f t="shared" si="83"/>
        <v>0.38820855174644919</v>
      </c>
      <c r="BS31" s="339">
        <f t="shared" si="83"/>
        <v>0.38820855174644919</v>
      </c>
      <c r="BT31" s="339">
        <f t="shared" si="83"/>
        <v>0.38820855174644919</v>
      </c>
      <c r="BU31" s="339">
        <f t="shared" si="83"/>
        <v>0.38820855174644919</v>
      </c>
      <c r="BV31" s="339">
        <f t="shared" si="83"/>
        <v>0.38820855174644919</v>
      </c>
      <c r="BW31" s="342">
        <f t="shared" si="83"/>
        <v>0.38820855174644919</v>
      </c>
      <c r="BX31" s="339">
        <f t="shared" si="83"/>
        <v>0.38820855174644919</v>
      </c>
      <c r="BY31" s="339">
        <f t="shared" si="83"/>
        <v>0.38820855174644919</v>
      </c>
      <c r="BZ31" s="339">
        <f t="shared" si="83"/>
        <v>0.38820855174644919</v>
      </c>
      <c r="CA31" s="339">
        <f t="shared" si="83"/>
        <v>0.38820855174644919</v>
      </c>
      <c r="CB31" s="339">
        <f t="shared" si="83"/>
        <v>0.38820855174644919</v>
      </c>
      <c r="CC31" s="339">
        <f t="shared" si="83"/>
        <v>0.38820855174644919</v>
      </c>
      <c r="CD31" s="339">
        <f t="shared" si="83"/>
        <v>0.38820855174644919</v>
      </c>
      <c r="CE31" s="339">
        <f t="shared" si="83"/>
        <v>0.38820855174644919</v>
      </c>
      <c r="CF31" s="339">
        <f t="shared" si="83"/>
        <v>0.38820855174644919</v>
      </c>
      <c r="CG31" s="339">
        <f t="shared" si="83"/>
        <v>0.38820855174644919</v>
      </c>
      <c r="CH31" s="339">
        <f t="shared" si="83"/>
        <v>0.38820855174644919</v>
      </c>
      <c r="CI31" s="342">
        <f t="shared" si="83"/>
        <v>0.38820855174644919</v>
      </c>
      <c r="CJ31" s="339">
        <f t="shared" si="83"/>
        <v>0.38820855174644919</v>
      </c>
      <c r="CK31" s="339">
        <f t="shared" si="83"/>
        <v>0.38820855174644919</v>
      </c>
      <c r="CL31" s="339">
        <f t="shared" si="83"/>
        <v>0.38820855174644919</v>
      </c>
      <c r="CM31" s="339">
        <f t="shared" si="83"/>
        <v>0.38820855174644919</v>
      </c>
      <c r="CN31" s="339">
        <f t="shared" si="83"/>
        <v>0.38820855174644919</v>
      </c>
      <c r="CO31" s="339">
        <f t="shared" si="83"/>
        <v>0.38820855174644919</v>
      </c>
      <c r="CP31" s="339">
        <f t="shared" si="83"/>
        <v>0.38820855174644919</v>
      </c>
      <c r="CQ31" s="339">
        <f t="shared" si="83"/>
        <v>0.38820855174644919</v>
      </c>
      <c r="CR31" s="339">
        <f t="shared" si="83"/>
        <v>0.38820855174644919</v>
      </c>
      <c r="CS31" s="339">
        <f t="shared" si="83"/>
        <v>0.38820855174644919</v>
      </c>
      <c r="CT31" s="339">
        <f t="shared" si="68"/>
        <v>0.38820855174644919</v>
      </c>
      <c r="CU31" s="342">
        <f t="shared" si="68"/>
        <v>0.38820855174644919</v>
      </c>
      <c r="CV31" s="339">
        <f t="shared" si="68"/>
        <v>0.38820855174644919</v>
      </c>
      <c r="CW31" s="339">
        <f t="shared" si="68"/>
        <v>0.38820855174644919</v>
      </c>
      <c r="CX31" s="339">
        <f t="shared" si="68"/>
        <v>0.38820855174644919</v>
      </c>
      <c r="CY31" s="339">
        <f t="shared" si="68"/>
        <v>0.38820855174644919</v>
      </c>
      <c r="CZ31" s="339">
        <f t="shared" si="68"/>
        <v>0.38820855174644919</v>
      </c>
      <c r="DA31" s="339">
        <f t="shared" si="68"/>
        <v>0.38820855174644919</v>
      </c>
      <c r="DB31" s="339">
        <f t="shared" si="68"/>
        <v>0.38820855174644919</v>
      </c>
      <c r="DC31" s="339">
        <f t="shared" si="68"/>
        <v>0.38820855174644919</v>
      </c>
      <c r="DD31" s="339">
        <f t="shared" si="68"/>
        <v>0.38820855174644919</v>
      </c>
      <c r="DE31" s="339">
        <f t="shared" si="68"/>
        <v>0.38820855174644919</v>
      </c>
      <c r="DF31" s="339">
        <f t="shared" si="68"/>
        <v>0.38820855174644919</v>
      </c>
      <c r="DG31" s="339">
        <f t="shared" si="68"/>
        <v>0.38820855174644919</v>
      </c>
    </row>
    <row r="32" spans="1:111" s="335" customFormat="1" x14ac:dyDescent="0.25">
      <c r="A32" s="333"/>
      <c r="B32" s="337" t="s">
        <v>344</v>
      </c>
      <c r="C32" s="334"/>
      <c r="AB32" s="338">
        <v>0</v>
      </c>
      <c r="AC32" s="338">
        <v>0</v>
      </c>
      <c r="AD32" s="338">
        <v>0</v>
      </c>
      <c r="AE32" s="338">
        <v>0</v>
      </c>
      <c r="AF32" s="339">
        <f t="shared" ref="AF32:AH32" si="84">+AF26/AF12</f>
        <v>0.13450895994378076</v>
      </c>
      <c r="AG32" s="339">
        <f>+AG26/(SUM(AF12:AG12)-926)</f>
        <v>0.76783026528807219</v>
      </c>
      <c r="AH32" s="339">
        <f t="shared" si="84"/>
        <v>0.8571428571428571</v>
      </c>
      <c r="AI32" s="339">
        <f t="shared" ref="AI32:AN32" si="85">+AI26/AI12</f>
        <v>0.85408632372486215</v>
      </c>
      <c r="AJ32" s="339">
        <f t="shared" si="85"/>
        <v>0.54629333017753412</v>
      </c>
      <c r="AK32" s="339">
        <f t="shared" si="85"/>
        <v>0.77427434504211523</v>
      </c>
      <c r="AL32" s="339">
        <f t="shared" si="85"/>
        <v>1.0072675003319924</v>
      </c>
      <c r="AM32" s="339">
        <f t="shared" si="85"/>
        <v>0.96113942207756153</v>
      </c>
      <c r="AN32" s="339">
        <f t="shared" si="85"/>
        <v>0.48871481678173123</v>
      </c>
      <c r="AO32" s="339">
        <f t="shared" ref="AO32" si="86">+AO26/AO12</f>
        <v>0.90542379404762952</v>
      </c>
      <c r="AP32" s="339">
        <v>0</v>
      </c>
      <c r="AQ32" s="339">
        <f t="shared" ref="AQ32:AR32" si="87">+AQ26/AQ12</f>
        <v>0.86587595119670113</v>
      </c>
      <c r="AR32" s="339">
        <f t="shared" si="87"/>
        <v>0.41031581514449456</v>
      </c>
      <c r="AS32" s="342" t="e">
        <f t="shared" ref="AS32" si="88">+AS26/AS12</f>
        <v>#DIV/0!</v>
      </c>
      <c r="AT32" s="343">
        <v>0.85499999999999998</v>
      </c>
      <c r="AU32" s="338">
        <f t="shared" ref="AU32:CS32" si="89">+AT32</f>
        <v>0.85499999999999998</v>
      </c>
      <c r="AV32" s="338">
        <f t="shared" si="89"/>
        <v>0.85499999999999998</v>
      </c>
      <c r="AW32" s="338">
        <f t="shared" si="89"/>
        <v>0.85499999999999998</v>
      </c>
      <c r="AX32" s="338">
        <f t="shared" si="89"/>
        <v>0.85499999999999998</v>
      </c>
      <c r="AY32" s="341">
        <f t="shared" si="89"/>
        <v>0.85499999999999998</v>
      </c>
      <c r="AZ32" s="343">
        <v>0.85</v>
      </c>
      <c r="BA32" s="338">
        <f t="shared" si="89"/>
        <v>0.85</v>
      </c>
      <c r="BB32" s="338">
        <f t="shared" si="89"/>
        <v>0.85</v>
      </c>
      <c r="BC32" s="338">
        <f t="shared" si="89"/>
        <v>0.85</v>
      </c>
      <c r="BD32" s="338">
        <f t="shared" si="89"/>
        <v>0.85</v>
      </c>
      <c r="BE32" s="338">
        <f t="shared" si="89"/>
        <v>0.85</v>
      </c>
      <c r="BF32" s="338">
        <f t="shared" si="89"/>
        <v>0.85</v>
      </c>
      <c r="BG32" s="338">
        <f t="shared" si="89"/>
        <v>0.85</v>
      </c>
      <c r="BH32" s="338">
        <f t="shared" si="89"/>
        <v>0.85</v>
      </c>
      <c r="BI32" s="338">
        <f t="shared" si="89"/>
        <v>0.85</v>
      </c>
      <c r="BJ32" s="338">
        <f t="shared" si="89"/>
        <v>0.85</v>
      </c>
      <c r="BK32" s="341">
        <f t="shared" si="89"/>
        <v>0.85</v>
      </c>
      <c r="BL32" s="343">
        <v>0.8</v>
      </c>
      <c r="BM32" s="338">
        <f t="shared" si="89"/>
        <v>0.8</v>
      </c>
      <c r="BN32" s="338">
        <f t="shared" si="89"/>
        <v>0.8</v>
      </c>
      <c r="BO32" s="338">
        <f t="shared" si="89"/>
        <v>0.8</v>
      </c>
      <c r="BP32" s="338">
        <f t="shared" si="89"/>
        <v>0.8</v>
      </c>
      <c r="BQ32" s="338">
        <f t="shared" si="89"/>
        <v>0.8</v>
      </c>
      <c r="BR32" s="338">
        <f t="shared" si="89"/>
        <v>0.8</v>
      </c>
      <c r="BS32" s="338">
        <f t="shared" si="89"/>
        <v>0.8</v>
      </c>
      <c r="BT32" s="338">
        <f t="shared" si="89"/>
        <v>0.8</v>
      </c>
      <c r="BU32" s="338">
        <f t="shared" si="89"/>
        <v>0.8</v>
      </c>
      <c r="BV32" s="338">
        <f t="shared" si="89"/>
        <v>0.8</v>
      </c>
      <c r="BW32" s="341">
        <f t="shared" si="89"/>
        <v>0.8</v>
      </c>
      <c r="BX32" s="338">
        <f t="shared" si="89"/>
        <v>0.8</v>
      </c>
      <c r="BY32" s="338">
        <f t="shared" si="89"/>
        <v>0.8</v>
      </c>
      <c r="BZ32" s="338">
        <f t="shared" si="89"/>
        <v>0.8</v>
      </c>
      <c r="CA32" s="338">
        <f t="shared" si="89"/>
        <v>0.8</v>
      </c>
      <c r="CB32" s="338">
        <f t="shared" si="89"/>
        <v>0.8</v>
      </c>
      <c r="CC32" s="338">
        <f t="shared" si="89"/>
        <v>0.8</v>
      </c>
      <c r="CD32" s="338">
        <f t="shared" si="89"/>
        <v>0.8</v>
      </c>
      <c r="CE32" s="338">
        <f t="shared" si="89"/>
        <v>0.8</v>
      </c>
      <c r="CF32" s="338">
        <f t="shared" si="89"/>
        <v>0.8</v>
      </c>
      <c r="CG32" s="338">
        <f t="shared" si="89"/>
        <v>0.8</v>
      </c>
      <c r="CH32" s="338">
        <f t="shared" si="89"/>
        <v>0.8</v>
      </c>
      <c r="CI32" s="341">
        <f t="shared" si="89"/>
        <v>0.8</v>
      </c>
      <c r="CJ32" s="338">
        <f t="shared" si="89"/>
        <v>0.8</v>
      </c>
      <c r="CK32" s="338">
        <f t="shared" si="89"/>
        <v>0.8</v>
      </c>
      <c r="CL32" s="338">
        <f t="shared" si="89"/>
        <v>0.8</v>
      </c>
      <c r="CM32" s="338">
        <f t="shared" si="89"/>
        <v>0.8</v>
      </c>
      <c r="CN32" s="338">
        <f t="shared" si="89"/>
        <v>0.8</v>
      </c>
      <c r="CO32" s="338">
        <f t="shared" si="89"/>
        <v>0.8</v>
      </c>
      <c r="CP32" s="338">
        <f t="shared" si="89"/>
        <v>0.8</v>
      </c>
      <c r="CQ32" s="338">
        <f t="shared" si="89"/>
        <v>0.8</v>
      </c>
      <c r="CR32" s="338">
        <f t="shared" si="89"/>
        <v>0.8</v>
      </c>
      <c r="CS32" s="338">
        <f t="shared" si="89"/>
        <v>0.8</v>
      </c>
      <c r="CT32" s="338">
        <f t="shared" ref="CT32:DG32" si="90">+CS32</f>
        <v>0.8</v>
      </c>
      <c r="CU32" s="341">
        <f t="shared" si="90"/>
        <v>0.8</v>
      </c>
      <c r="CV32" s="338">
        <f t="shared" si="90"/>
        <v>0.8</v>
      </c>
      <c r="CW32" s="338">
        <f t="shared" si="90"/>
        <v>0.8</v>
      </c>
      <c r="CX32" s="338">
        <f t="shared" si="90"/>
        <v>0.8</v>
      </c>
      <c r="CY32" s="338">
        <f t="shared" si="90"/>
        <v>0.8</v>
      </c>
      <c r="CZ32" s="338">
        <f t="shared" si="90"/>
        <v>0.8</v>
      </c>
      <c r="DA32" s="338">
        <f t="shared" si="90"/>
        <v>0.8</v>
      </c>
      <c r="DB32" s="338">
        <f t="shared" si="90"/>
        <v>0.8</v>
      </c>
      <c r="DC32" s="338">
        <f t="shared" si="90"/>
        <v>0.8</v>
      </c>
      <c r="DD32" s="338">
        <f t="shared" si="90"/>
        <v>0.8</v>
      </c>
      <c r="DE32" s="338">
        <f t="shared" si="90"/>
        <v>0.8</v>
      </c>
      <c r="DF32" s="338">
        <f t="shared" si="90"/>
        <v>0.8</v>
      </c>
      <c r="DG32" s="338">
        <f t="shared" si="90"/>
        <v>0.8</v>
      </c>
    </row>
    <row r="33" spans="1:111" s="39" customFormat="1" x14ac:dyDescent="0.25">
      <c r="A33"/>
      <c r="B33" s="1"/>
      <c r="C33" s="1"/>
      <c r="U33" s="260"/>
      <c r="V33" s="260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0"/>
      <c r="AN33" s="260"/>
      <c r="AO33" s="260"/>
      <c r="AP33" s="260"/>
      <c r="AQ33" s="260"/>
      <c r="AR33" s="260"/>
      <c r="AS33" s="756"/>
      <c r="AT33" s="764"/>
      <c r="AY33" s="157"/>
      <c r="BK33" s="157"/>
      <c r="BW33" s="157"/>
      <c r="CI33" s="157"/>
      <c r="CU33" s="157"/>
    </row>
    <row r="34" spans="1:111" s="37" customFormat="1" x14ac:dyDescent="0.25">
      <c r="A34" s="3"/>
      <c r="B34" s="4" t="s">
        <v>4</v>
      </c>
      <c r="C34" s="4"/>
      <c r="P34" s="37">
        <f t="shared" ref="P34:AU34" si="91">P10-P28</f>
        <v>0</v>
      </c>
      <c r="Q34" s="37">
        <f t="shared" si="91"/>
        <v>0</v>
      </c>
      <c r="R34" s="37">
        <f t="shared" si="91"/>
        <v>0</v>
      </c>
      <c r="S34" s="37">
        <f t="shared" si="91"/>
        <v>0</v>
      </c>
      <c r="T34" s="37">
        <f t="shared" si="91"/>
        <v>0</v>
      </c>
      <c r="U34" s="37">
        <f t="shared" si="91"/>
        <v>-3398</v>
      </c>
      <c r="V34" s="37">
        <f t="shared" si="91"/>
        <v>-486</v>
      </c>
      <c r="W34" s="37">
        <f t="shared" si="91"/>
        <v>-20141.21</v>
      </c>
      <c r="X34" s="37">
        <f t="shared" si="91"/>
        <v>-1818.12</v>
      </c>
      <c r="Y34" s="37">
        <f t="shared" si="91"/>
        <v>67750.28</v>
      </c>
      <c r="Z34" s="37">
        <f t="shared" si="91"/>
        <v>43323.729999999981</v>
      </c>
      <c r="AA34" s="37">
        <f t="shared" si="91"/>
        <v>13406.660000000003</v>
      </c>
      <c r="AB34" s="37">
        <f t="shared" si="91"/>
        <v>-65584.38</v>
      </c>
      <c r="AC34" s="37">
        <f t="shared" si="91"/>
        <v>98769.26</v>
      </c>
      <c r="AD34" s="37">
        <f t="shared" si="91"/>
        <v>7349.9100000000035</v>
      </c>
      <c r="AE34" s="37">
        <f t="shared" si="91"/>
        <v>-24349.75</v>
      </c>
      <c r="AF34" s="37">
        <f t="shared" si="91"/>
        <v>58332.160000000003</v>
      </c>
      <c r="AG34" s="37">
        <f t="shared" si="91"/>
        <v>-24683.599999999999</v>
      </c>
      <c r="AH34" s="37">
        <f t="shared" si="91"/>
        <v>-2199</v>
      </c>
      <c r="AI34" s="37">
        <f t="shared" si="91"/>
        <v>6622</v>
      </c>
      <c r="AJ34" s="37">
        <f t="shared" ref="AJ34:AK34" si="92">AJ10-AJ28</f>
        <v>12824.830000000002</v>
      </c>
      <c r="AK34" s="37">
        <f t="shared" si="92"/>
        <v>5504.119999999999</v>
      </c>
      <c r="AL34" s="37">
        <f t="shared" ref="AL34:AM34" si="93">AL10-AL28</f>
        <v>-168.0099999999984</v>
      </c>
      <c r="AM34" s="37">
        <f t="shared" si="93"/>
        <v>5502.5299999999988</v>
      </c>
      <c r="AN34" s="37">
        <f t="shared" ref="AN34" si="94">AN10-AN28</f>
        <v>55029.900000000009</v>
      </c>
      <c r="AO34" s="37">
        <f t="shared" ref="AO34:AP34" si="95">AO10-AO28</f>
        <v>1276.4500000000007</v>
      </c>
      <c r="AP34" s="37">
        <f t="shared" si="95"/>
        <v>0</v>
      </c>
      <c r="AQ34" s="37">
        <f t="shared" ref="AQ34:AR34" si="96">AQ10-AQ28</f>
        <v>1577.5</v>
      </c>
      <c r="AR34" s="37">
        <f t="shared" si="96"/>
        <v>2418</v>
      </c>
      <c r="AS34" s="156">
        <f t="shared" ref="AS34" si="97">AS10-AS28</f>
        <v>25509.620000000003</v>
      </c>
      <c r="AT34" s="37">
        <f t="shared" ref="AT34" si="98">AT10-AT28</f>
        <v>957</v>
      </c>
      <c r="AU34" s="37">
        <f t="shared" si="91"/>
        <v>2357</v>
      </c>
      <c r="AV34" s="37">
        <f t="shared" ref="AV34:CA34" si="99">AV10-AV28</f>
        <v>-243</v>
      </c>
      <c r="AW34" s="37">
        <f t="shared" si="99"/>
        <v>957</v>
      </c>
      <c r="AX34" s="37">
        <f t="shared" si="99"/>
        <v>127357</v>
      </c>
      <c r="AY34" s="156">
        <f t="shared" si="99"/>
        <v>-4763.2298777670258</v>
      </c>
      <c r="AZ34" s="37">
        <f t="shared" si="99"/>
        <v>2323.4927249573957</v>
      </c>
      <c r="BA34" s="37">
        <f t="shared" si="99"/>
        <v>-19623.083936545016</v>
      </c>
      <c r="BB34" s="37">
        <f t="shared" si="99"/>
        <v>246951.42426563692</v>
      </c>
      <c r="BC34" s="37">
        <f t="shared" si="99"/>
        <v>206056.33261272163</v>
      </c>
      <c r="BD34" s="37">
        <f t="shared" si="99"/>
        <v>-1545.7694351793325</v>
      </c>
      <c r="BE34" s="37">
        <f t="shared" si="99"/>
        <v>-132843.58450664204</v>
      </c>
      <c r="BF34" s="37">
        <f t="shared" si="99"/>
        <v>104215.59917868568</v>
      </c>
      <c r="BG34" s="37">
        <f t="shared" si="99"/>
        <v>-8705.4800446882873</v>
      </c>
      <c r="BH34" s="37">
        <f t="shared" si="99"/>
        <v>46782.843299619883</v>
      </c>
      <c r="BI34" s="37">
        <f t="shared" si="99"/>
        <v>-28431.544280799768</v>
      </c>
      <c r="BJ34" s="37">
        <f t="shared" si="99"/>
        <v>224560</v>
      </c>
      <c r="BK34" s="156">
        <f t="shared" si="99"/>
        <v>-5962.9271948026289</v>
      </c>
      <c r="BL34" s="37">
        <f t="shared" si="99"/>
        <v>5867.2917549517151</v>
      </c>
      <c r="BM34" s="37">
        <f t="shared" si="99"/>
        <v>-16765.495128084352</v>
      </c>
      <c r="BN34" s="37">
        <f t="shared" si="99"/>
        <v>427858.94750105514</v>
      </c>
      <c r="BO34" s="37">
        <f t="shared" si="99"/>
        <v>420097.84362775116</v>
      </c>
      <c r="BP34" s="37">
        <f t="shared" si="99"/>
        <v>113722.12797346342</v>
      </c>
      <c r="BQ34" s="37">
        <f t="shared" si="99"/>
        <v>-149242.06244086099</v>
      </c>
      <c r="BR34" s="37">
        <f t="shared" si="99"/>
        <v>230223.01240251045</v>
      </c>
      <c r="BS34" s="37">
        <f t="shared" si="99"/>
        <v>-7100.877383980056</v>
      </c>
      <c r="BT34" s="37">
        <f t="shared" si="99"/>
        <v>164572.55573956919</v>
      </c>
      <c r="BU34" s="37">
        <f t="shared" si="99"/>
        <v>-30110.416851573071</v>
      </c>
      <c r="BV34" s="37">
        <f t="shared" si="99"/>
        <v>308600</v>
      </c>
      <c r="BW34" s="156">
        <f t="shared" si="99"/>
        <v>-5276.2988410971302</v>
      </c>
      <c r="BX34" s="37">
        <f t="shared" si="99"/>
        <v>7079.5405424446144</v>
      </c>
      <c r="BY34" s="37">
        <f t="shared" si="99"/>
        <v>-18511.009117508511</v>
      </c>
      <c r="BZ34" s="37">
        <f t="shared" si="99"/>
        <v>587575.85154532804</v>
      </c>
      <c r="CA34" s="37">
        <f t="shared" si="99"/>
        <v>603182.23239653814</v>
      </c>
      <c r="CB34" s="37">
        <f t="shared" ref="CB34:DG34" si="100">CB10-CB28</f>
        <v>203739.49973426689</v>
      </c>
      <c r="CC34" s="37">
        <f t="shared" si="100"/>
        <v>-171157.65985863467</v>
      </c>
      <c r="CD34" s="37">
        <f t="shared" si="100"/>
        <v>337002.27893229137</v>
      </c>
      <c r="CE34" s="37">
        <f t="shared" si="100"/>
        <v>-7425.1240580947779</v>
      </c>
      <c r="CF34" s="37">
        <f t="shared" si="100"/>
        <v>261379.69628950584</v>
      </c>
      <c r="CG34" s="37">
        <f t="shared" si="100"/>
        <v>-34189.007565039705</v>
      </c>
      <c r="CH34" s="37">
        <f t="shared" si="100"/>
        <v>356320</v>
      </c>
      <c r="CI34" s="156">
        <f t="shared" si="100"/>
        <v>-6512.3678044272347</v>
      </c>
      <c r="CJ34" s="37">
        <f t="shared" si="100"/>
        <v>8205.5883599318331</v>
      </c>
      <c r="CK34" s="37">
        <f t="shared" si="100"/>
        <v>-23828.934298472028</v>
      </c>
      <c r="CL34" s="37">
        <f t="shared" si="100"/>
        <v>676970.27882501902</v>
      </c>
      <c r="CM34" s="37">
        <f t="shared" si="100"/>
        <v>684178.13218035456</v>
      </c>
      <c r="CN34" s="37">
        <f t="shared" si="100"/>
        <v>215094.76890371309</v>
      </c>
      <c r="CO34" s="37">
        <f t="shared" si="100"/>
        <v>-210701.73521062726</v>
      </c>
      <c r="CP34" s="37">
        <f t="shared" si="100"/>
        <v>380968.95868589706</v>
      </c>
      <c r="CQ34" s="37">
        <f t="shared" si="100"/>
        <v>-7464.7680715012539</v>
      </c>
      <c r="CR34" s="37">
        <f t="shared" si="100"/>
        <v>287156.54927939182</v>
      </c>
      <c r="CS34" s="37">
        <f t="shared" si="100"/>
        <v>-41266.470849279634</v>
      </c>
      <c r="CT34" s="37">
        <f t="shared" si="100"/>
        <v>471760</v>
      </c>
      <c r="CU34" s="156">
        <f t="shared" si="100"/>
        <v>-8080.4597555340515</v>
      </c>
      <c r="CV34" s="37">
        <f t="shared" si="100"/>
        <v>9266.9854499147914</v>
      </c>
      <c r="CW34" s="37">
        <f t="shared" si="100"/>
        <v>-31826.167873090031</v>
      </c>
      <c r="CX34" s="37">
        <f t="shared" si="100"/>
        <v>896122.84853127378</v>
      </c>
      <c r="CY34" s="37">
        <f t="shared" si="100"/>
        <v>916732.6652254432</v>
      </c>
      <c r="CZ34" s="37">
        <f t="shared" si="100"/>
        <v>304328.46112964133</v>
      </c>
      <c r="DA34" s="37">
        <f t="shared" si="100"/>
        <v>-263467.16901328409</v>
      </c>
      <c r="DB34" s="37">
        <f t="shared" si="100"/>
        <v>512391.19835737138</v>
      </c>
      <c r="DC34" s="37">
        <f t="shared" si="100"/>
        <v>-12050.960089376575</v>
      </c>
      <c r="DD34" s="37">
        <f t="shared" si="100"/>
        <v>396325.68659923977</v>
      </c>
      <c r="DE34" s="37">
        <f t="shared" si="100"/>
        <v>-52903.088561599536</v>
      </c>
      <c r="DF34" s="37">
        <f t="shared" si="100"/>
        <v>514480</v>
      </c>
      <c r="DG34" s="37">
        <f t="shared" si="100"/>
        <v>-9768.5517066408574</v>
      </c>
    </row>
    <row r="35" spans="1:111" s="258" customFormat="1" x14ac:dyDescent="0.25">
      <c r="A35" s="333"/>
      <c r="B35" s="334" t="s">
        <v>365</v>
      </c>
      <c r="C35" s="334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>
        <f t="shared" ref="U35:AA35" si="101">SUM(U11:U12)-U28</f>
        <v>-3398</v>
      </c>
      <c r="V35" s="335">
        <f t="shared" si="101"/>
        <v>-486</v>
      </c>
      <c r="W35" s="335">
        <f t="shared" si="101"/>
        <v>7580.1861538461526</v>
      </c>
      <c r="X35" s="335">
        <f t="shared" si="101"/>
        <v>279.71076923076907</v>
      </c>
      <c r="Y35" s="335">
        <f t="shared" si="101"/>
        <v>12653.803076923068</v>
      </c>
      <c r="Z35" s="335">
        <f t="shared" si="101"/>
        <v>26032.191538461513</v>
      </c>
      <c r="AA35" s="335">
        <f t="shared" si="101"/>
        <v>55975.446923077019</v>
      </c>
      <c r="AB35" s="335">
        <f t="shared" ref="AB35:BG35" si="102">SUM(AB11:AB12)-AB28</f>
        <v>21660.02082131432</v>
      </c>
      <c r="AC35" s="335">
        <f t="shared" si="102"/>
        <v>4534.7400446882857</v>
      </c>
      <c r="AD35" s="335">
        <f t="shared" si="102"/>
        <v>34727.066700380121</v>
      </c>
      <c r="AE35" s="335">
        <f t="shared" si="102"/>
        <v>30263.214280799766</v>
      </c>
      <c r="AF35" s="335">
        <f t="shared" si="102"/>
        <v>-16667.84</v>
      </c>
      <c r="AG35" s="335">
        <f t="shared" si="102"/>
        <v>-24683.599999999999</v>
      </c>
      <c r="AH35" s="335">
        <f t="shared" ref="AH35:AI35" si="103">SUM(AH11:AH12)-AH28</f>
        <v>-2199</v>
      </c>
      <c r="AI35" s="335">
        <f t="shared" si="103"/>
        <v>6622</v>
      </c>
      <c r="AJ35" s="335">
        <f t="shared" ref="AJ35:AK35" si="104">SUM(AJ11:AJ12)-AJ28</f>
        <v>12824.830000000002</v>
      </c>
      <c r="AK35" s="335">
        <f t="shared" si="104"/>
        <v>5504.119999999999</v>
      </c>
      <c r="AL35" s="335">
        <f t="shared" ref="AL35:AM35" si="105">SUM(AL11:AL12)-AL28</f>
        <v>-168.0099999999984</v>
      </c>
      <c r="AM35" s="335">
        <f t="shared" si="105"/>
        <v>1968.5299999999988</v>
      </c>
      <c r="AN35" s="335">
        <f t="shared" ref="AN35" si="106">SUM(AN11:AN12)-AN28</f>
        <v>36178.900000000009</v>
      </c>
      <c r="AO35" s="335">
        <f t="shared" ref="AO35:AP35" si="107">SUM(AO11:AO12)-AO28</f>
        <v>1276.4500000000007</v>
      </c>
      <c r="AP35" s="335">
        <f t="shared" si="107"/>
        <v>0</v>
      </c>
      <c r="AQ35" s="335">
        <f t="shared" ref="AQ35:AR35" si="108">SUM(AQ11:AQ12)-AQ28</f>
        <v>1577.5</v>
      </c>
      <c r="AR35" s="335">
        <f t="shared" si="108"/>
        <v>2418</v>
      </c>
      <c r="AS35" s="336">
        <f t="shared" ref="AS35" si="109">SUM(AS11:AS12)-AS28</f>
        <v>25509.620000000003</v>
      </c>
      <c r="AT35" s="335">
        <f t="shared" ref="AT35" si="110">SUM(AT11:AT12)-AT28</f>
        <v>957</v>
      </c>
      <c r="AU35" s="335">
        <f t="shared" si="102"/>
        <v>957</v>
      </c>
      <c r="AV35" s="335">
        <f t="shared" si="102"/>
        <v>957</v>
      </c>
      <c r="AW35" s="335">
        <f t="shared" si="102"/>
        <v>957</v>
      </c>
      <c r="AX35" s="335">
        <f t="shared" si="102"/>
        <v>957</v>
      </c>
      <c r="AY35" s="336">
        <f t="shared" si="102"/>
        <v>3970.486585178016</v>
      </c>
      <c r="AZ35" s="335">
        <f t="shared" si="102"/>
        <v>3401.0048500284065</v>
      </c>
      <c r="BA35" s="335">
        <f t="shared" si="102"/>
        <v>20832.055957696677</v>
      </c>
      <c r="BB35" s="335">
        <f t="shared" si="102"/>
        <v>4582.3838229087269</v>
      </c>
      <c r="BC35" s="335">
        <f t="shared" si="102"/>
        <v>75912.444924852287</v>
      </c>
      <c r="BD35" s="335">
        <f t="shared" si="102"/>
        <v>133780.51295678623</v>
      </c>
      <c r="BE35" s="335">
        <f t="shared" si="102"/>
        <v>91112.389671094686</v>
      </c>
      <c r="BF35" s="335">
        <f t="shared" si="102"/>
        <v>62122.933880876211</v>
      </c>
      <c r="BG35" s="335">
        <f t="shared" si="102"/>
        <v>16136.986696458858</v>
      </c>
      <c r="BH35" s="335">
        <f t="shared" ref="BH35:CM35" si="111">SUM(BH11:BH12)-BH28</f>
        <v>97211.437800253421</v>
      </c>
      <c r="BI35" s="335">
        <f t="shared" si="111"/>
        <v>25554.362853866514</v>
      </c>
      <c r="BJ35" s="335">
        <f t="shared" si="111"/>
        <v>3960</v>
      </c>
      <c r="BK35" s="336">
        <f t="shared" si="111"/>
        <v>11795.065121462845</v>
      </c>
      <c r="BL35" s="335">
        <f t="shared" si="111"/>
        <v>7720.6126100738547</v>
      </c>
      <c r="BM35" s="335">
        <f t="shared" si="111"/>
        <v>53041.345490011357</v>
      </c>
      <c r="BN35" s="335">
        <f t="shared" si="111"/>
        <v>10792.197939562695</v>
      </c>
      <c r="BO35" s="335">
        <f t="shared" si="111"/>
        <v>196250.35680461588</v>
      </c>
      <c r="BP35" s="335">
        <f t="shared" si="111"/>
        <v>346707.3336876441</v>
      </c>
      <c r="BQ35" s="335">
        <f t="shared" si="111"/>
        <v>235770.21314484617</v>
      </c>
      <c r="BR35" s="335">
        <f t="shared" si="111"/>
        <v>157823.62809027819</v>
      </c>
      <c r="BS35" s="335">
        <f t="shared" si="111"/>
        <v>38260.165410793037</v>
      </c>
      <c r="BT35" s="335">
        <f t="shared" si="111"/>
        <v>249053.73828065884</v>
      </c>
      <c r="BU35" s="335">
        <f t="shared" si="111"/>
        <v>62745.34342005293</v>
      </c>
      <c r="BV35" s="335">
        <f t="shared" si="111"/>
        <v>6600</v>
      </c>
      <c r="BW35" s="336">
        <f t="shared" si="111"/>
        <v>18503.272011453169</v>
      </c>
      <c r="BX35" s="335">
        <f t="shared" si="111"/>
        <v>9622.4691576121986</v>
      </c>
      <c r="BY35" s="335">
        <f t="shared" si="111"/>
        <v>78475.121032901894</v>
      </c>
      <c r="BZ35" s="335">
        <f t="shared" si="111"/>
        <v>14288.91610048947</v>
      </c>
      <c r="CA35" s="335">
        <f t="shared" si="111"/>
        <v>296042.65745316644</v>
      </c>
      <c r="CB35" s="335">
        <f t="shared" si="111"/>
        <v>524621.52617930563</v>
      </c>
      <c r="CC35" s="335">
        <f t="shared" si="111"/>
        <v>356082.43920082401</v>
      </c>
      <c r="CD35" s="335">
        <f t="shared" si="111"/>
        <v>237663.58882946108</v>
      </c>
      <c r="CE35" s="335">
        <f t="shared" si="111"/>
        <v>56019.09745101248</v>
      </c>
      <c r="CF35" s="335">
        <f t="shared" si="111"/>
        <v>376263.17931100097</v>
      </c>
      <c r="CG35" s="335">
        <f t="shared" si="111"/>
        <v>93217.733272772719</v>
      </c>
      <c r="CH35" s="335">
        <f t="shared" si="111"/>
        <v>7920</v>
      </c>
      <c r="CI35" s="336">
        <f t="shared" si="111"/>
        <v>21179.340974783277</v>
      </c>
      <c r="CJ35" s="335">
        <f t="shared" si="111"/>
        <v>11136.42134012498</v>
      </c>
      <c r="CK35" s="335">
        <f t="shared" si="111"/>
        <v>87833.046213865382</v>
      </c>
      <c r="CL35" s="335">
        <f t="shared" si="111"/>
        <v>16334.488820798397</v>
      </c>
      <c r="CM35" s="335">
        <f t="shared" si="111"/>
        <v>330186.7576693499</v>
      </c>
      <c r="CN35" s="335">
        <f t="shared" ref="CN35:DG35" si="112">SUM(CN11:CN12)-CN28</f>
        <v>584806.25700985943</v>
      </c>
      <c r="CO35" s="335">
        <f t="shared" si="112"/>
        <v>397066.51455281669</v>
      </c>
      <c r="CP35" s="335">
        <f t="shared" si="112"/>
        <v>266476.90907585539</v>
      </c>
      <c r="CQ35" s="335">
        <f t="shared" si="112"/>
        <v>64138.74146441897</v>
      </c>
      <c r="CR35" s="335">
        <f t="shared" si="112"/>
        <v>420866.32632111508</v>
      </c>
      <c r="CS35" s="335">
        <f t="shared" si="112"/>
        <v>105575.19655701265</v>
      </c>
      <c r="CT35" s="335">
        <f t="shared" si="112"/>
        <v>10560</v>
      </c>
      <c r="CU35" s="336">
        <f t="shared" si="112"/>
        <v>28640.919511068096</v>
      </c>
      <c r="CV35" s="335">
        <f t="shared" si="112"/>
        <v>13146.029100170424</v>
      </c>
      <c r="CW35" s="335">
        <f t="shared" si="112"/>
        <v>117732.33574618008</v>
      </c>
      <c r="CX35" s="335">
        <f t="shared" si="112"/>
        <v>20234.302937452361</v>
      </c>
      <c r="CY35" s="335">
        <f t="shared" si="112"/>
        <v>448214.66954911355</v>
      </c>
      <c r="CZ35" s="335">
        <f t="shared" si="112"/>
        <v>795423.07774071745</v>
      </c>
      <c r="DA35" s="335">
        <f t="shared" si="112"/>
        <v>539414.33802656806</v>
      </c>
      <c r="DB35" s="335">
        <f t="shared" si="112"/>
        <v>360857.60328525736</v>
      </c>
      <c r="DC35" s="335">
        <f t="shared" si="112"/>
        <v>84941.920178753149</v>
      </c>
      <c r="DD35" s="335">
        <f t="shared" si="112"/>
        <v>571388.62680152059</v>
      </c>
      <c r="DE35" s="335">
        <f t="shared" si="112"/>
        <v>141446.17712319904</v>
      </c>
      <c r="DF35" s="335">
        <f t="shared" si="112"/>
        <v>11880</v>
      </c>
      <c r="DG35" s="335">
        <f t="shared" si="112"/>
        <v>30563.616828103703</v>
      </c>
    </row>
    <row r="36" spans="1:111" s="258" customFormat="1" ht="4.9000000000000004" customHeight="1" x14ac:dyDescent="0.25">
      <c r="A36" s="333"/>
      <c r="B36" s="334"/>
      <c r="C36" s="334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  <c r="AA36" s="335"/>
      <c r="AB36" s="335"/>
      <c r="AC36" s="335"/>
      <c r="AD36" s="335"/>
      <c r="AE36" s="335"/>
      <c r="AF36" s="335"/>
      <c r="AG36" s="335"/>
      <c r="AH36" s="335"/>
      <c r="AI36" s="335"/>
      <c r="AJ36" s="335"/>
      <c r="AK36" s="335"/>
      <c r="AL36" s="335"/>
      <c r="AM36" s="335"/>
      <c r="AN36" s="335"/>
      <c r="AO36" s="335"/>
      <c r="AP36" s="335"/>
      <c r="AQ36" s="335"/>
      <c r="AR36" s="335"/>
      <c r="AS36" s="336"/>
      <c r="AT36" s="335"/>
      <c r="AU36" s="335"/>
      <c r="AV36" s="335"/>
      <c r="AW36" s="335"/>
      <c r="AX36" s="335"/>
      <c r="AY36" s="336"/>
      <c r="AZ36" s="335"/>
      <c r="BA36" s="335"/>
      <c r="BB36" s="335"/>
      <c r="BC36" s="335"/>
      <c r="BD36" s="335"/>
      <c r="BE36" s="335"/>
      <c r="BF36" s="335"/>
      <c r="BG36" s="335"/>
      <c r="BH36" s="335"/>
      <c r="BI36" s="335"/>
      <c r="BJ36" s="335"/>
      <c r="BK36" s="336"/>
      <c r="BL36" s="335"/>
      <c r="BM36" s="335"/>
      <c r="BN36" s="335"/>
      <c r="BO36" s="335"/>
      <c r="BP36" s="335"/>
      <c r="BQ36" s="335"/>
      <c r="BR36" s="335"/>
      <c r="BS36" s="335"/>
      <c r="BT36" s="335"/>
      <c r="BU36" s="335"/>
      <c r="BV36" s="335"/>
      <c r="BW36" s="336"/>
      <c r="BX36" s="335"/>
      <c r="BY36" s="335"/>
      <c r="BZ36" s="335"/>
      <c r="CA36" s="335"/>
      <c r="CB36" s="335"/>
      <c r="CC36" s="335"/>
      <c r="CD36" s="335"/>
      <c r="CE36" s="335"/>
      <c r="CF36" s="335"/>
      <c r="CG36" s="335"/>
      <c r="CH36" s="335"/>
      <c r="CI36" s="336"/>
      <c r="CJ36" s="335"/>
      <c r="CK36" s="335"/>
      <c r="CL36" s="335"/>
      <c r="CM36" s="335"/>
      <c r="CN36" s="335"/>
      <c r="CO36" s="335"/>
      <c r="CP36" s="335"/>
      <c r="CQ36" s="335"/>
      <c r="CR36" s="335"/>
      <c r="CS36" s="335"/>
      <c r="CT36" s="335"/>
      <c r="CU36" s="336"/>
      <c r="CV36" s="335"/>
      <c r="CW36" s="335"/>
      <c r="CX36" s="335"/>
      <c r="CY36" s="335"/>
      <c r="CZ36" s="335"/>
      <c r="DA36" s="335"/>
      <c r="DB36" s="335"/>
      <c r="DC36" s="335"/>
      <c r="DD36" s="335"/>
      <c r="DE36" s="335"/>
      <c r="DF36" s="335"/>
      <c r="DG36" s="335"/>
    </row>
    <row r="37" spans="1:111" s="37" customFormat="1" x14ac:dyDescent="0.25">
      <c r="A37"/>
      <c r="B37" s="1" t="s">
        <v>5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 s="154"/>
      <c r="AT37"/>
      <c r="AU37"/>
      <c r="AV37"/>
      <c r="AW37"/>
      <c r="AX37"/>
      <c r="AY37" s="154"/>
      <c r="AZ37"/>
      <c r="BA37"/>
      <c r="BB37"/>
      <c r="BC37"/>
      <c r="BD37"/>
      <c r="BE37"/>
      <c r="BF37"/>
      <c r="BG37"/>
      <c r="BH37"/>
      <c r="BI37"/>
      <c r="BJ37"/>
      <c r="BK37" s="154"/>
      <c r="BL37"/>
      <c r="BM37"/>
      <c r="BN37"/>
      <c r="BO37"/>
      <c r="BP37"/>
      <c r="BQ37"/>
      <c r="BR37"/>
      <c r="BS37"/>
      <c r="BT37"/>
      <c r="BU37"/>
      <c r="BV37"/>
      <c r="BW37" s="154"/>
      <c r="BX37"/>
      <c r="BY37"/>
      <c r="BZ37"/>
      <c r="CA37"/>
      <c r="CB37"/>
      <c r="CC37"/>
      <c r="CD37"/>
      <c r="CE37"/>
      <c r="CF37"/>
      <c r="CG37"/>
      <c r="CH37"/>
      <c r="CI37" s="154"/>
      <c r="CJ37"/>
      <c r="CK37"/>
      <c r="CL37"/>
      <c r="CM37"/>
      <c r="CN37"/>
      <c r="CO37"/>
      <c r="CP37"/>
      <c r="CQ37"/>
      <c r="CR37"/>
      <c r="CS37"/>
      <c r="CT37"/>
      <c r="CU37" s="154"/>
      <c r="CV37"/>
      <c r="CW37"/>
      <c r="CX37"/>
      <c r="CY37"/>
      <c r="CZ37"/>
      <c r="DA37"/>
      <c r="DB37"/>
      <c r="DC37"/>
      <c r="DD37"/>
      <c r="DE37"/>
      <c r="DF37"/>
      <c r="DG37"/>
    </row>
    <row r="38" spans="1:111" x14ac:dyDescent="0.25">
      <c r="B38" s="1" t="s">
        <v>245</v>
      </c>
      <c r="C38" s="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>
        <v>0</v>
      </c>
      <c r="AD38" s="91"/>
      <c r="AE38" s="91"/>
      <c r="AF38" s="91">
        <v>0</v>
      </c>
      <c r="AG38" s="91">
        <v>0</v>
      </c>
      <c r="AH38" s="91">
        <v>0</v>
      </c>
      <c r="AI38" s="91">
        <v>0</v>
      </c>
      <c r="AJ38" s="91">
        <v>0</v>
      </c>
      <c r="AK38" s="91">
        <v>0</v>
      </c>
      <c r="AL38" s="91">
        <v>0</v>
      </c>
      <c r="AM38" s="91">
        <v>0</v>
      </c>
      <c r="AN38" s="91">
        <v>0</v>
      </c>
      <c r="AO38" s="91">
        <v>0</v>
      </c>
      <c r="AP38" s="91">
        <v>0</v>
      </c>
      <c r="AQ38" s="91">
        <v>0</v>
      </c>
      <c r="AR38" s="91">
        <v>0</v>
      </c>
      <c r="AS38" s="155">
        <v>0</v>
      </c>
      <c r="AT38" s="743">
        <v>0</v>
      </c>
      <c r="AU38" s="91">
        <f t="shared" ref="AU38:CA38" si="113">AT38</f>
        <v>0</v>
      </c>
      <c r="AV38" s="91">
        <f t="shared" si="113"/>
        <v>0</v>
      </c>
      <c r="AW38" s="91">
        <f t="shared" si="113"/>
        <v>0</v>
      </c>
      <c r="AX38" s="91">
        <f t="shared" si="113"/>
        <v>0</v>
      </c>
      <c r="AY38" s="155">
        <f t="shared" si="113"/>
        <v>0</v>
      </c>
      <c r="AZ38" s="346">
        <f>AY38*2</f>
        <v>0</v>
      </c>
      <c r="BA38" s="91">
        <f t="shared" si="113"/>
        <v>0</v>
      </c>
      <c r="BB38" s="91">
        <f t="shared" si="113"/>
        <v>0</v>
      </c>
      <c r="BC38" s="91">
        <f t="shared" si="113"/>
        <v>0</v>
      </c>
      <c r="BD38" s="91">
        <f t="shared" si="113"/>
        <v>0</v>
      </c>
      <c r="BE38" s="91">
        <f t="shared" si="113"/>
        <v>0</v>
      </c>
      <c r="BF38" s="91">
        <f t="shared" si="113"/>
        <v>0</v>
      </c>
      <c r="BG38" s="91">
        <f t="shared" si="113"/>
        <v>0</v>
      </c>
      <c r="BH38" s="91">
        <f t="shared" si="113"/>
        <v>0</v>
      </c>
      <c r="BI38" s="91">
        <f t="shared" si="113"/>
        <v>0</v>
      </c>
      <c r="BJ38" s="91">
        <f t="shared" si="113"/>
        <v>0</v>
      </c>
      <c r="BK38" s="155">
        <f t="shared" si="113"/>
        <v>0</v>
      </c>
      <c r="BL38" s="346">
        <f>BK38*2</f>
        <v>0</v>
      </c>
      <c r="BM38" s="91">
        <f t="shared" si="113"/>
        <v>0</v>
      </c>
      <c r="BN38" s="91">
        <f t="shared" si="113"/>
        <v>0</v>
      </c>
      <c r="BO38" s="91">
        <f t="shared" si="113"/>
        <v>0</v>
      </c>
      <c r="BP38" s="91">
        <f t="shared" si="113"/>
        <v>0</v>
      </c>
      <c r="BQ38" s="91">
        <f t="shared" si="113"/>
        <v>0</v>
      </c>
      <c r="BR38" s="91">
        <f t="shared" si="113"/>
        <v>0</v>
      </c>
      <c r="BS38" s="91">
        <f t="shared" si="113"/>
        <v>0</v>
      </c>
      <c r="BT38" s="91">
        <f t="shared" si="113"/>
        <v>0</v>
      </c>
      <c r="BU38" s="91">
        <f t="shared" si="113"/>
        <v>0</v>
      </c>
      <c r="BV38" s="91">
        <f t="shared" si="113"/>
        <v>0</v>
      </c>
      <c r="BW38" s="155">
        <f t="shared" si="113"/>
        <v>0</v>
      </c>
      <c r="BX38" s="346">
        <f>BW38*2</f>
        <v>0</v>
      </c>
      <c r="BY38" s="91">
        <f t="shared" si="113"/>
        <v>0</v>
      </c>
      <c r="BZ38" s="91">
        <f t="shared" si="113"/>
        <v>0</v>
      </c>
      <c r="CA38" s="91">
        <f t="shared" si="113"/>
        <v>0</v>
      </c>
      <c r="CB38" s="91">
        <f t="shared" ref="CB38:DG38" si="114">CA38</f>
        <v>0</v>
      </c>
      <c r="CC38" s="91">
        <f t="shared" si="114"/>
        <v>0</v>
      </c>
      <c r="CD38" s="91">
        <f t="shared" si="114"/>
        <v>0</v>
      </c>
      <c r="CE38" s="91">
        <f t="shared" si="114"/>
        <v>0</v>
      </c>
      <c r="CF38" s="91">
        <f t="shared" si="114"/>
        <v>0</v>
      </c>
      <c r="CG38" s="91">
        <f t="shared" si="114"/>
        <v>0</v>
      </c>
      <c r="CH38" s="91">
        <f t="shared" si="114"/>
        <v>0</v>
      </c>
      <c r="CI38" s="155">
        <f t="shared" si="114"/>
        <v>0</v>
      </c>
      <c r="CJ38" s="346">
        <f>CI38*2</f>
        <v>0</v>
      </c>
      <c r="CK38" s="91">
        <f t="shared" si="114"/>
        <v>0</v>
      </c>
      <c r="CL38" s="91">
        <f t="shared" si="114"/>
        <v>0</v>
      </c>
      <c r="CM38" s="91">
        <f t="shared" si="114"/>
        <v>0</v>
      </c>
      <c r="CN38" s="91">
        <f t="shared" si="114"/>
        <v>0</v>
      </c>
      <c r="CO38" s="91">
        <f t="shared" si="114"/>
        <v>0</v>
      </c>
      <c r="CP38" s="91">
        <f t="shared" si="114"/>
        <v>0</v>
      </c>
      <c r="CQ38" s="91">
        <f t="shared" si="114"/>
        <v>0</v>
      </c>
      <c r="CR38" s="91">
        <f t="shared" si="114"/>
        <v>0</v>
      </c>
      <c r="CS38" s="91">
        <f t="shared" si="114"/>
        <v>0</v>
      </c>
      <c r="CT38" s="91">
        <f t="shared" si="114"/>
        <v>0</v>
      </c>
      <c r="CU38" s="155">
        <f t="shared" si="114"/>
        <v>0</v>
      </c>
      <c r="CV38" s="346">
        <f>CU38*2</f>
        <v>0</v>
      </c>
      <c r="CW38" s="91">
        <f t="shared" si="114"/>
        <v>0</v>
      </c>
      <c r="CX38" s="91">
        <f t="shared" si="114"/>
        <v>0</v>
      </c>
      <c r="CY38" s="91">
        <f t="shared" si="114"/>
        <v>0</v>
      </c>
      <c r="CZ38" s="91">
        <f t="shared" si="114"/>
        <v>0</v>
      </c>
      <c r="DA38" s="91">
        <f t="shared" si="114"/>
        <v>0</v>
      </c>
      <c r="DB38" s="91">
        <f t="shared" si="114"/>
        <v>0</v>
      </c>
      <c r="DC38" s="91">
        <f t="shared" si="114"/>
        <v>0</v>
      </c>
      <c r="DD38" s="91">
        <f t="shared" si="114"/>
        <v>0</v>
      </c>
      <c r="DE38" s="91">
        <f t="shared" si="114"/>
        <v>0</v>
      </c>
      <c r="DF38" s="91">
        <f t="shared" si="114"/>
        <v>0</v>
      </c>
      <c r="DG38" s="91">
        <f t="shared" si="114"/>
        <v>0</v>
      </c>
    </row>
    <row r="39" spans="1:111" x14ac:dyDescent="0.25">
      <c r="B39" s="1" t="s">
        <v>246</v>
      </c>
      <c r="C39" s="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>
        <v>586.36</v>
      </c>
      <c r="X39" s="91">
        <v>119.36</v>
      </c>
      <c r="Y39" s="91"/>
      <c r="Z39" s="91"/>
      <c r="AA39" s="91"/>
      <c r="AB39" s="91"/>
      <c r="AC39" s="91"/>
      <c r="AD39" s="91"/>
      <c r="AE39" s="91"/>
      <c r="AF39" s="91"/>
      <c r="AG39" s="91">
        <v>350</v>
      </c>
      <c r="AH39" s="91"/>
      <c r="AI39" s="91"/>
      <c r="AJ39" s="91">
        <v>35</v>
      </c>
      <c r="AK39" s="91"/>
      <c r="AL39" s="91">
        <v>12.4</v>
      </c>
      <c r="AM39" s="91">
        <v>0</v>
      </c>
      <c r="AN39" s="91">
        <v>0</v>
      </c>
      <c r="AO39" s="91">
        <v>0</v>
      </c>
      <c r="AP39" s="91">
        <v>100</v>
      </c>
      <c r="AQ39" s="91">
        <v>0</v>
      </c>
      <c r="AR39" s="91">
        <v>0</v>
      </c>
      <c r="AS39" s="155">
        <v>0</v>
      </c>
      <c r="AT39" s="743">
        <v>100</v>
      </c>
      <c r="AU39" s="91">
        <f t="shared" ref="AU39:CA39" si="115">AT39</f>
        <v>100</v>
      </c>
      <c r="AV39" s="91">
        <f t="shared" si="115"/>
        <v>100</v>
      </c>
      <c r="AW39" s="91">
        <f t="shared" si="115"/>
        <v>100</v>
      </c>
      <c r="AX39" s="91">
        <f t="shared" si="115"/>
        <v>100</v>
      </c>
      <c r="AY39" s="155">
        <f t="shared" si="115"/>
        <v>100</v>
      </c>
      <c r="AZ39" s="346">
        <f>AY39*2</f>
        <v>200</v>
      </c>
      <c r="BA39" s="91">
        <f t="shared" si="115"/>
        <v>200</v>
      </c>
      <c r="BB39" s="91">
        <f t="shared" si="115"/>
        <v>200</v>
      </c>
      <c r="BC39" s="91">
        <f t="shared" si="115"/>
        <v>200</v>
      </c>
      <c r="BD39" s="91">
        <f t="shared" si="115"/>
        <v>200</v>
      </c>
      <c r="BE39" s="91">
        <f t="shared" si="115"/>
        <v>200</v>
      </c>
      <c r="BF39" s="91">
        <f t="shared" si="115"/>
        <v>200</v>
      </c>
      <c r="BG39" s="91">
        <f t="shared" si="115"/>
        <v>200</v>
      </c>
      <c r="BH39" s="91">
        <f t="shared" si="115"/>
        <v>200</v>
      </c>
      <c r="BI39" s="91">
        <f t="shared" si="115"/>
        <v>200</v>
      </c>
      <c r="BJ39" s="91">
        <f t="shared" si="115"/>
        <v>200</v>
      </c>
      <c r="BK39" s="155">
        <f t="shared" si="115"/>
        <v>200</v>
      </c>
      <c r="BL39" s="346">
        <f>BK39*2</f>
        <v>400</v>
      </c>
      <c r="BM39" s="91">
        <f t="shared" si="115"/>
        <v>400</v>
      </c>
      <c r="BN39" s="91">
        <f t="shared" si="115"/>
        <v>400</v>
      </c>
      <c r="BO39" s="91">
        <f t="shared" si="115"/>
        <v>400</v>
      </c>
      <c r="BP39" s="91">
        <f t="shared" si="115"/>
        <v>400</v>
      </c>
      <c r="BQ39" s="91">
        <f t="shared" si="115"/>
        <v>400</v>
      </c>
      <c r="BR39" s="91">
        <f t="shared" si="115"/>
        <v>400</v>
      </c>
      <c r="BS39" s="91">
        <f t="shared" si="115"/>
        <v>400</v>
      </c>
      <c r="BT39" s="91">
        <f t="shared" si="115"/>
        <v>400</v>
      </c>
      <c r="BU39" s="91">
        <f t="shared" si="115"/>
        <v>400</v>
      </c>
      <c r="BV39" s="91">
        <f t="shared" si="115"/>
        <v>400</v>
      </c>
      <c r="BW39" s="155">
        <f t="shared" si="115"/>
        <v>400</v>
      </c>
      <c r="BX39" s="346">
        <f>BW39*2</f>
        <v>800</v>
      </c>
      <c r="BY39" s="91">
        <f t="shared" si="115"/>
        <v>800</v>
      </c>
      <c r="BZ39" s="91">
        <f t="shared" si="115"/>
        <v>800</v>
      </c>
      <c r="CA39" s="91">
        <f t="shared" si="115"/>
        <v>800</v>
      </c>
      <c r="CB39" s="91">
        <f t="shared" ref="CB39:DG39" si="116">CA39</f>
        <v>800</v>
      </c>
      <c r="CC39" s="91">
        <f t="shared" si="116"/>
        <v>800</v>
      </c>
      <c r="CD39" s="91">
        <f t="shared" si="116"/>
        <v>800</v>
      </c>
      <c r="CE39" s="91">
        <f t="shared" si="116"/>
        <v>800</v>
      </c>
      <c r="CF39" s="91">
        <f t="shared" si="116"/>
        <v>800</v>
      </c>
      <c r="CG39" s="91">
        <f t="shared" si="116"/>
        <v>800</v>
      </c>
      <c r="CH39" s="91">
        <f t="shared" si="116"/>
        <v>800</v>
      </c>
      <c r="CI39" s="155">
        <f t="shared" si="116"/>
        <v>800</v>
      </c>
      <c r="CJ39" s="346">
        <f>CI39*2</f>
        <v>1600</v>
      </c>
      <c r="CK39" s="91">
        <f t="shared" si="116"/>
        <v>1600</v>
      </c>
      <c r="CL39" s="91">
        <f t="shared" si="116"/>
        <v>1600</v>
      </c>
      <c r="CM39" s="91">
        <f t="shared" si="116"/>
        <v>1600</v>
      </c>
      <c r="CN39" s="91">
        <f t="shared" si="116"/>
        <v>1600</v>
      </c>
      <c r="CO39" s="91">
        <f t="shared" si="116"/>
        <v>1600</v>
      </c>
      <c r="CP39" s="91">
        <f t="shared" si="116"/>
        <v>1600</v>
      </c>
      <c r="CQ39" s="91">
        <f t="shared" si="116"/>
        <v>1600</v>
      </c>
      <c r="CR39" s="91">
        <f t="shared" si="116"/>
        <v>1600</v>
      </c>
      <c r="CS39" s="91">
        <f t="shared" si="116"/>
        <v>1600</v>
      </c>
      <c r="CT39" s="91">
        <f t="shared" si="116"/>
        <v>1600</v>
      </c>
      <c r="CU39" s="155">
        <f t="shared" si="116"/>
        <v>1600</v>
      </c>
      <c r="CV39" s="346">
        <f>CU39*2</f>
        <v>3200</v>
      </c>
      <c r="CW39" s="91">
        <f t="shared" si="116"/>
        <v>3200</v>
      </c>
      <c r="CX39" s="91">
        <f t="shared" si="116"/>
        <v>3200</v>
      </c>
      <c r="CY39" s="91">
        <f t="shared" si="116"/>
        <v>3200</v>
      </c>
      <c r="CZ39" s="91">
        <f t="shared" si="116"/>
        <v>3200</v>
      </c>
      <c r="DA39" s="91">
        <f t="shared" si="116"/>
        <v>3200</v>
      </c>
      <c r="DB39" s="91">
        <f t="shared" si="116"/>
        <v>3200</v>
      </c>
      <c r="DC39" s="91">
        <f t="shared" si="116"/>
        <v>3200</v>
      </c>
      <c r="DD39" s="91">
        <f t="shared" si="116"/>
        <v>3200</v>
      </c>
      <c r="DE39" s="91">
        <f t="shared" si="116"/>
        <v>3200</v>
      </c>
      <c r="DF39" s="91">
        <f t="shared" si="116"/>
        <v>3200</v>
      </c>
      <c r="DG39" s="91">
        <f t="shared" si="116"/>
        <v>3200</v>
      </c>
    </row>
    <row r="40" spans="1:111" x14ac:dyDescent="0.25">
      <c r="B40" s="1" t="s">
        <v>300</v>
      </c>
      <c r="C40" s="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>
        <v>690.27</v>
      </c>
      <c r="AD40" s="91"/>
      <c r="AE40" s="91"/>
      <c r="AF40" s="91">
        <v>108.38</v>
      </c>
      <c r="AG40" s="91">
        <v>250</v>
      </c>
      <c r="AH40" s="91"/>
      <c r="AI40" s="91">
        <v>100</v>
      </c>
      <c r="AJ40" s="91"/>
      <c r="AK40" s="91">
        <v>700.66</v>
      </c>
      <c r="AL40" s="91"/>
      <c r="AM40" s="91"/>
      <c r="AN40" s="91">
        <v>0</v>
      </c>
      <c r="AO40" s="91">
        <v>0</v>
      </c>
      <c r="AP40" s="91">
        <v>60.39</v>
      </c>
      <c r="AQ40" s="91">
        <v>0</v>
      </c>
      <c r="AR40" s="91">
        <v>0</v>
      </c>
      <c r="AS40" s="155">
        <v>0</v>
      </c>
      <c r="AT40" s="743">
        <f>+AVERAGE(AQ40:AS40)</f>
        <v>0</v>
      </c>
      <c r="AU40" s="91">
        <f t="shared" ref="AU40:BP40" si="117">IF(AU2&lt;&gt;AT2, AT40*1.01, AT40)</f>
        <v>0</v>
      </c>
      <c r="AV40" s="91">
        <f t="shared" si="117"/>
        <v>0</v>
      </c>
      <c r="AW40" s="91">
        <f t="shared" si="117"/>
        <v>0</v>
      </c>
      <c r="AX40" s="91">
        <f t="shared" si="117"/>
        <v>0</v>
      </c>
      <c r="AY40" s="155">
        <f t="shared" si="117"/>
        <v>0</v>
      </c>
      <c r="AZ40" s="91">
        <f t="shared" si="117"/>
        <v>0</v>
      </c>
      <c r="BA40" s="91">
        <f t="shared" si="117"/>
        <v>0</v>
      </c>
      <c r="BB40" s="91">
        <f t="shared" si="117"/>
        <v>0</v>
      </c>
      <c r="BC40" s="91">
        <f t="shared" si="117"/>
        <v>0</v>
      </c>
      <c r="BD40" s="91">
        <f t="shared" si="117"/>
        <v>0</v>
      </c>
      <c r="BE40" s="91">
        <f t="shared" si="117"/>
        <v>0</v>
      </c>
      <c r="BF40" s="91">
        <f t="shared" si="117"/>
        <v>0</v>
      </c>
      <c r="BG40" s="91">
        <f t="shared" si="117"/>
        <v>0</v>
      </c>
      <c r="BH40" s="91">
        <f t="shared" si="117"/>
        <v>0</v>
      </c>
      <c r="BI40" s="91">
        <f t="shared" si="117"/>
        <v>0</v>
      </c>
      <c r="BJ40" s="91">
        <f t="shared" si="117"/>
        <v>0</v>
      </c>
      <c r="BK40" s="155">
        <f t="shared" si="117"/>
        <v>0</v>
      </c>
      <c r="BL40" s="91">
        <f t="shared" si="117"/>
        <v>0</v>
      </c>
      <c r="BM40" s="91">
        <f t="shared" si="117"/>
        <v>0</v>
      </c>
      <c r="BN40" s="91">
        <f t="shared" si="117"/>
        <v>0</v>
      </c>
      <c r="BO40" s="91">
        <f t="shared" si="117"/>
        <v>0</v>
      </c>
      <c r="BP40" s="91">
        <f t="shared" si="117"/>
        <v>0</v>
      </c>
      <c r="BQ40" s="91">
        <f t="shared" ref="BQ40:CV40" si="118">IF(BQ2&lt;&gt;BP2, BP40*1.01, BP40)</f>
        <v>0</v>
      </c>
      <c r="BR40" s="91">
        <f t="shared" si="118"/>
        <v>0</v>
      </c>
      <c r="BS40" s="91">
        <f t="shared" si="118"/>
        <v>0</v>
      </c>
      <c r="BT40" s="91">
        <f t="shared" si="118"/>
        <v>0</v>
      </c>
      <c r="BU40" s="91">
        <f t="shared" si="118"/>
        <v>0</v>
      </c>
      <c r="BV40" s="91">
        <f t="shared" si="118"/>
        <v>0</v>
      </c>
      <c r="BW40" s="155">
        <f t="shared" si="118"/>
        <v>0</v>
      </c>
      <c r="BX40" s="91">
        <f t="shared" si="118"/>
        <v>0</v>
      </c>
      <c r="BY40" s="91">
        <f t="shared" si="118"/>
        <v>0</v>
      </c>
      <c r="BZ40" s="91">
        <f t="shared" si="118"/>
        <v>0</v>
      </c>
      <c r="CA40" s="91">
        <f t="shared" si="118"/>
        <v>0</v>
      </c>
      <c r="CB40" s="91">
        <f t="shared" si="118"/>
        <v>0</v>
      </c>
      <c r="CC40" s="91">
        <f t="shared" si="118"/>
        <v>0</v>
      </c>
      <c r="CD40" s="91">
        <f t="shared" si="118"/>
        <v>0</v>
      </c>
      <c r="CE40" s="91">
        <f t="shared" si="118"/>
        <v>0</v>
      </c>
      <c r="CF40" s="91">
        <f t="shared" si="118"/>
        <v>0</v>
      </c>
      <c r="CG40" s="91">
        <f t="shared" si="118"/>
        <v>0</v>
      </c>
      <c r="CH40" s="91">
        <f t="shared" si="118"/>
        <v>0</v>
      </c>
      <c r="CI40" s="155">
        <f t="shared" si="118"/>
        <v>0</v>
      </c>
      <c r="CJ40" s="91">
        <f t="shared" si="118"/>
        <v>0</v>
      </c>
      <c r="CK40" s="91">
        <f t="shared" si="118"/>
        <v>0</v>
      </c>
      <c r="CL40" s="91">
        <f t="shared" si="118"/>
        <v>0</v>
      </c>
      <c r="CM40" s="91">
        <f t="shared" si="118"/>
        <v>0</v>
      </c>
      <c r="CN40" s="91">
        <f t="shared" si="118"/>
        <v>0</v>
      </c>
      <c r="CO40" s="91">
        <f t="shared" si="118"/>
        <v>0</v>
      </c>
      <c r="CP40" s="91">
        <f t="shared" si="118"/>
        <v>0</v>
      </c>
      <c r="CQ40" s="91">
        <f t="shared" si="118"/>
        <v>0</v>
      </c>
      <c r="CR40" s="91">
        <f t="shared" si="118"/>
        <v>0</v>
      </c>
      <c r="CS40" s="91">
        <f t="shared" si="118"/>
        <v>0</v>
      </c>
      <c r="CT40" s="91">
        <f t="shared" si="118"/>
        <v>0</v>
      </c>
      <c r="CU40" s="155">
        <f t="shared" si="118"/>
        <v>0</v>
      </c>
      <c r="CV40" s="91">
        <f t="shared" si="118"/>
        <v>0</v>
      </c>
      <c r="CW40" s="91">
        <f t="shared" ref="CW40:DG40" si="119">IF(CW2&lt;&gt;CV2, CV40*1.01, CV40)</f>
        <v>0</v>
      </c>
      <c r="CX40" s="91">
        <f t="shared" si="119"/>
        <v>0</v>
      </c>
      <c r="CY40" s="91">
        <f t="shared" si="119"/>
        <v>0</v>
      </c>
      <c r="CZ40" s="91">
        <f t="shared" si="119"/>
        <v>0</v>
      </c>
      <c r="DA40" s="91">
        <f t="shared" si="119"/>
        <v>0</v>
      </c>
      <c r="DB40" s="91">
        <f t="shared" si="119"/>
        <v>0</v>
      </c>
      <c r="DC40" s="91">
        <f t="shared" si="119"/>
        <v>0</v>
      </c>
      <c r="DD40" s="91">
        <f t="shared" si="119"/>
        <v>0</v>
      </c>
      <c r="DE40" s="91">
        <f t="shared" si="119"/>
        <v>0</v>
      </c>
      <c r="DF40" s="91">
        <f t="shared" si="119"/>
        <v>0</v>
      </c>
      <c r="DG40" s="91">
        <f t="shared" si="119"/>
        <v>0</v>
      </c>
    </row>
    <row r="41" spans="1:111" s="5" customFormat="1" x14ac:dyDescent="0.25">
      <c r="A41"/>
      <c r="B41" s="1" t="s">
        <v>482</v>
      </c>
      <c r="C41" s="1"/>
      <c r="D41" s="91"/>
      <c r="E41" s="91"/>
      <c r="F41" s="91"/>
      <c r="G41" s="91"/>
      <c r="H41" s="91"/>
      <c r="I41" s="91"/>
      <c r="J41" s="91"/>
      <c r="K41" s="91"/>
      <c r="L41" s="91">
        <v>650</v>
      </c>
      <c r="M41" s="91"/>
      <c r="N41" s="91"/>
      <c r="O41" s="91"/>
      <c r="P41" s="91">
        <v>100</v>
      </c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>
        <v>1799</v>
      </c>
      <c r="AD41" s="91"/>
      <c r="AE41" s="91"/>
      <c r="AF41" s="91"/>
      <c r="AG41" s="91"/>
      <c r="AH41" s="91"/>
      <c r="AI41" s="91">
        <v>1799</v>
      </c>
      <c r="AJ41" s="91"/>
      <c r="AK41" s="91">
        <v>500</v>
      </c>
      <c r="AL41" s="91"/>
      <c r="AM41" s="91"/>
      <c r="AN41" s="91"/>
      <c r="AO41" s="91">
        <v>500</v>
      </c>
      <c r="AP41" s="91">
        <v>0</v>
      </c>
      <c r="AQ41" s="91">
        <v>0</v>
      </c>
      <c r="AR41" s="91">
        <v>0</v>
      </c>
      <c r="AS41" s="155">
        <v>0</v>
      </c>
      <c r="AT41" s="743">
        <v>500</v>
      </c>
      <c r="AU41" s="91">
        <f t="shared" ref="AU41:BT41" si="120">IF(AU1&lt;&gt;AT1, AT41*1.01, AT41)</f>
        <v>500</v>
      </c>
      <c r="AV41" s="91">
        <f t="shared" si="120"/>
        <v>500</v>
      </c>
      <c r="AW41" s="91">
        <f t="shared" si="120"/>
        <v>500</v>
      </c>
      <c r="AX41" s="91">
        <f t="shared" si="120"/>
        <v>500</v>
      </c>
      <c r="AY41" s="155">
        <f t="shared" si="120"/>
        <v>500</v>
      </c>
      <c r="AZ41" s="91">
        <f t="shared" si="120"/>
        <v>505</v>
      </c>
      <c r="BA41" s="91">
        <f t="shared" si="120"/>
        <v>505</v>
      </c>
      <c r="BB41" s="91">
        <f t="shared" si="120"/>
        <v>505</v>
      </c>
      <c r="BC41" s="91">
        <f t="shared" si="120"/>
        <v>505</v>
      </c>
      <c r="BD41" s="91">
        <f t="shared" si="120"/>
        <v>505</v>
      </c>
      <c r="BE41" s="91">
        <f t="shared" si="120"/>
        <v>505</v>
      </c>
      <c r="BF41" s="91">
        <f t="shared" si="120"/>
        <v>505</v>
      </c>
      <c r="BG41" s="91">
        <f t="shared" si="120"/>
        <v>505</v>
      </c>
      <c r="BH41" s="91">
        <f t="shared" si="120"/>
        <v>505</v>
      </c>
      <c r="BI41" s="91">
        <f t="shared" si="120"/>
        <v>505</v>
      </c>
      <c r="BJ41" s="91">
        <f t="shared" si="120"/>
        <v>505</v>
      </c>
      <c r="BK41" s="155">
        <f t="shared" si="120"/>
        <v>505</v>
      </c>
      <c r="BL41" s="91">
        <f t="shared" si="120"/>
        <v>510.05</v>
      </c>
      <c r="BM41" s="91">
        <f t="shared" si="120"/>
        <v>510.05</v>
      </c>
      <c r="BN41" s="91">
        <f t="shared" si="120"/>
        <v>510.05</v>
      </c>
      <c r="BO41" s="91">
        <f t="shared" si="120"/>
        <v>510.05</v>
      </c>
      <c r="BP41" s="91">
        <f t="shared" si="120"/>
        <v>510.05</v>
      </c>
      <c r="BQ41" s="91">
        <f t="shared" si="120"/>
        <v>510.05</v>
      </c>
      <c r="BR41" s="91">
        <f t="shared" si="120"/>
        <v>510.05</v>
      </c>
      <c r="BS41" s="91">
        <f t="shared" si="120"/>
        <v>510.05</v>
      </c>
      <c r="BT41" s="91">
        <f t="shared" si="120"/>
        <v>510.05</v>
      </c>
      <c r="BU41" s="91">
        <f t="shared" ref="BU41:CX41" si="121">IF(BU1&lt;&gt;BT1, BT41*1.01, BT41)</f>
        <v>510.05</v>
      </c>
      <c r="BV41" s="91">
        <f t="shared" si="121"/>
        <v>510.05</v>
      </c>
      <c r="BW41" s="155">
        <f t="shared" si="121"/>
        <v>510.05</v>
      </c>
      <c r="BX41" s="91">
        <f t="shared" si="121"/>
        <v>515.15049999999997</v>
      </c>
      <c r="BY41" s="91">
        <f t="shared" si="121"/>
        <v>515.15049999999997</v>
      </c>
      <c r="BZ41" s="91">
        <f t="shared" si="121"/>
        <v>515.15049999999997</v>
      </c>
      <c r="CA41" s="91">
        <f t="shared" si="121"/>
        <v>515.15049999999997</v>
      </c>
      <c r="CB41" s="91">
        <f t="shared" si="121"/>
        <v>515.15049999999997</v>
      </c>
      <c r="CC41" s="91">
        <f t="shared" si="121"/>
        <v>515.15049999999997</v>
      </c>
      <c r="CD41" s="91">
        <f t="shared" si="121"/>
        <v>515.15049999999997</v>
      </c>
      <c r="CE41" s="91">
        <f t="shared" si="121"/>
        <v>515.15049999999997</v>
      </c>
      <c r="CF41" s="91">
        <f t="shared" si="121"/>
        <v>515.15049999999997</v>
      </c>
      <c r="CG41" s="91">
        <f t="shared" si="121"/>
        <v>515.15049999999997</v>
      </c>
      <c r="CH41" s="91">
        <f t="shared" si="121"/>
        <v>515.15049999999997</v>
      </c>
      <c r="CI41" s="155">
        <f t="shared" si="121"/>
        <v>515.15049999999997</v>
      </c>
      <c r="CJ41" s="91">
        <f t="shared" si="121"/>
        <v>520.30200500000001</v>
      </c>
      <c r="CK41" s="91">
        <f t="shared" si="121"/>
        <v>520.30200500000001</v>
      </c>
      <c r="CL41" s="91">
        <f t="shared" si="121"/>
        <v>520.30200500000001</v>
      </c>
      <c r="CM41" s="91">
        <f t="shared" si="121"/>
        <v>520.30200500000001</v>
      </c>
      <c r="CN41" s="91">
        <f t="shared" si="121"/>
        <v>520.30200500000001</v>
      </c>
      <c r="CO41" s="91">
        <f t="shared" si="121"/>
        <v>520.30200500000001</v>
      </c>
      <c r="CP41" s="91">
        <f t="shared" si="121"/>
        <v>520.30200500000001</v>
      </c>
      <c r="CQ41" s="91">
        <f t="shared" si="121"/>
        <v>520.30200500000001</v>
      </c>
      <c r="CR41" s="91">
        <f t="shared" si="121"/>
        <v>520.30200500000001</v>
      </c>
      <c r="CS41" s="91">
        <f t="shared" si="121"/>
        <v>520.30200500000001</v>
      </c>
      <c r="CT41" s="91">
        <f t="shared" si="121"/>
        <v>520.30200500000001</v>
      </c>
      <c r="CU41" s="155">
        <f t="shared" si="121"/>
        <v>520.30200500000001</v>
      </c>
      <c r="CV41" s="91">
        <f t="shared" si="121"/>
        <v>525.50502504999997</v>
      </c>
      <c r="CW41" s="91">
        <f t="shared" si="121"/>
        <v>525.50502504999997</v>
      </c>
      <c r="CX41" s="91">
        <f t="shared" si="121"/>
        <v>525.50502504999997</v>
      </c>
      <c r="CY41" s="91">
        <f t="shared" ref="CY41:DG41" si="122">IF(CY1&lt;&gt;CX1, CX41*1.01, CX41)</f>
        <v>525.50502504999997</v>
      </c>
      <c r="CZ41" s="91">
        <f t="shared" si="122"/>
        <v>525.50502504999997</v>
      </c>
      <c r="DA41" s="91">
        <f t="shared" si="122"/>
        <v>525.50502504999997</v>
      </c>
      <c r="DB41" s="91">
        <f t="shared" si="122"/>
        <v>525.50502504999997</v>
      </c>
      <c r="DC41" s="91">
        <f t="shared" si="122"/>
        <v>525.50502504999997</v>
      </c>
      <c r="DD41" s="91">
        <f t="shared" si="122"/>
        <v>525.50502504999997</v>
      </c>
      <c r="DE41" s="91">
        <f t="shared" si="122"/>
        <v>525.50502504999997</v>
      </c>
      <c r="DF41" s="91">
        <f t="shared" si="122"/>
        <v>525.50502504999997</v>
      </c>
      <c r="DG41" s="91">
        <f t="shared" si="122"/>
        <v>525.50502504999997</v>
      </c>
    </row>
    <row r="42" spans="1:111" x14ac:dyDescent="0.25">
      <c r="A42" s="3"/>
      <c r="B42" s="4" t="s">
        <v>247</v>
      </c>
      <c r="C42" s="4"/>
      <c r="D42" s="37"/>
      <c r="E42" s="37"/>
      <c r="F42" s="37"/>
      <c r="G42" s="37"/>
      <c r="H42" s="37"/>
      <c r="I42" s="37"/>
      <c r="J42" s="37"/>
      <c r="K42" s="37"/>
      <c r="L42" s="37">
        <v>650</v>
      </c>
      <c r="M42" s="37"/>
      <c r="N42" s="37"/>
      <c r="O42" s="37"/>
      <c r="P42" s="37">
        <f t="shared" ref="P42:AE42" si="123">+SUM(P38:P41)</f>
        <v>100</v>
      </c>
      <c r="Q42" s="37">
        <f t="shared" si="123"/>
        <v>0</v>
      </c>
      <c r="R42" s="37">
        <f t="shared" si="123"/>
        <v>0</v>
      </c>
      <c r="S42" s="37">
        <f t="shared" si="123"/>
        <v>0</v>
      </c>
      <c r="T42" s="37">
        <f t="shared" si="123"/>
        <v>0</v>
      </c>
      <c r="U42" s="37">
        <f t="shared" si="123"/>
        <v>0</v>
      </c>
      <c r="V42" s="37">
        <f t="shared" si="123"/>
        <v>0</v>
      </c>
      <c r="W42" s="37">
        <f t="shared" si="123"/>
        <v>586.36</v>
      </c>
      <c r="X42" s="37">
        <f t="shared" si="123"/>
        <v>119.36</v>
      </c>
      <c r="Y42" s="37">
        <f t="shared" si="123"/>
        <v>0</v>
      </c>
      <c r="Z42" s="37">
        <f t="shared" si="123"/>
        <v>0</v>
      </c>
      <c r="AA42" s="37">
        <f t="shared" si="123"/>
        <v>0</v>
      </c>
      <c r="AB42" s="37">
        <f t="shared" si="123"/>
        <v>0</v>
      </c>
      <c r="AC42" s="37">
        <f t="shared" si="123"/>
        <v>2489.27</v>
      </c>
      <c r="AD42" s="37">
        <f t="shared" si="123"/>
        <v>0</v>
      </c>
      <c r="AE42" s="37">
        <f t="shared" si="123"/>
        <v>0</v>
      </c>
      <c r="AF42" s="37">
        <f t="shared" ref="AF42:AG42" si="124">+SUM(AF38:AF41)</f>
        <v>108.38</v>
      </c>
      <c r="AG42" s="37">
        <f t="shared" si="124"/>
        <v>600</v>
      </c>
      <c r="AH42" s="37">
        <f t="shared" ref="AH42:AI42" si="125">+SUM(AH38:AH41)</f>
        <v>0</v>
      </c>
      <c r="AI42" s="37">
        <f t="shared" si="125"/>
        <v>1899</v>
      </c>
      <c r="AJ42" s="37">
        <f t="shared" ref="AJ42:AK42" si="126">+SUM(AJ38:AJ41)</f>
        <v>35</v>
      </c>
      <c r="AK42" s="37">
        <f t="shared" si="126"/>
        <v>1200.6599999999999</v>
      </c>
      <c r="AL42" s="37">
        <f t="shared" ref="AL42:AM42" si="127">+SUM(AL38:AL41)</f>
        <v>12.4</v>
      </c>
      <c r="AM42" s="37">
        <f t="shared" si="127"/>
        <v>0</v>
      </c>
      <c r="AN42" s="37">
        <f t="shared" ref="AN42" si="128">+SUM(AN38:AN41)</f>
        <v>0</v>
      </c>
      <c r="AO42" s="37">
        <f t="shared" ref="AO42:AP42" si="129">+SUM(AO38:AO41)</f>
        <v>500</v>
      </c>
      <c r="AP42" s="37">
        <f t="shared" si="129"/>
        <v>160.38999999999999</v>
      </c>
      <c r="AQ42" s="37">
        <f t="shared" ref="AQ42:AR42" si="130">+SUM(AQ38:AQ41)</f>
        <v>0</v>
      </c>
      <c r="AR42" s="37">
        <f t="shared" si="130"/>
        <v>0</v>
      </c>
      <c r="AS42" s="156">
        <f t="shared" ref="AS42" si="131">+SUM(AS38:AS41)</f>
        <v>0</v>
      </c>
      <c r="AT42" s="37">
        <f t="shared" ref="AT42" si="132">+SUM(AT38:AT41)</f>
        <v>600</v>
      </c>
      <c r="AU42" s="37">
        <f t="shared" ref="AU42:BK42" si="133">+SUM(AU38:AU41)</f>
        <v>600</v>
      </c>
      <c r="AV42" s="37">
        <f t="shared" si="133"/>
        <v>600</v>
      </c>
      <c r="AW42" s="37">
        <f t="shared" si="133"/>
        <v>600</v>
      </c>
      <c r="AX42" s="37">
        <f t="shared" si="133"/>
        <v>600</v>
      </c>
      <c r="AY42" s="156">
        <f t="shared" si="133"/>
        <v>600</v>
      </c>
      <c r="AZ42" s="37">
        <f t="shared" si="133"/>
        <v>705</v>
      </c>
      <c r="BA42" s="37">
        <f t="shared" si="133"/>
        <v>705</v>
      </c>
      <c r="BB42" s="37">
        <f t="shared" si="133"/>
        <v>705</v>
      </c>
      <c r="BC42" s="37">
        <f t="shared" si="133"/>
        <v>705</v>
      </c>
      <c r="BD42" s="37">
        <f t="shared" si="133"/>
        <v>705</v>
      </c>
      <c r="BE42" s="37">
        <f t="shared" si="133"/>
        <v>705</v>
      </c>
      <c r="BF42" s="37">
        <f t="shared" si="133"/>
        <v>705</v>
      </c>
      <c r="BG42" s="37">
        <f t="shared" si="133"/>
        <v>705</v>
      </c>
      <c r="BH42" s="37">
        <f t="shared" si="133"/>
        <v>705</v>
      </c>
      <c r="BI42" s="37">
        <f t="shared" si="133"/>
        <v>705</v>
      </c>
      <c r="BJ42" s="37">
        <f t="shared" si="133"/>
        <v>705</v>
      </c>
      <c r="BK42" s="156">
        <f t="shared" si="133"/>
        <v>705</v>
      </c>
      <c r="BL42" s="37">
        <f t="shared" ref="BL42" si="134">+SUM(BL38:BL41)</f>
        <v>910.05</v>
      </c>
      <c r="BM42" s="37">
        <f t="shared" ref="BM42:BW42" si="135">+SUM(BM38:BM41)</f>
        <v>910.05</v>
      </c>
      <c r="BN42" s="37">
        <f t="shared" si="135"/>
        <v>910.05</v>
      </c>
      <c r="BO42" s="37">
        <f t="shared" si="135"/>
        <v>910.05</v>
      </c>
      <c r="BP42" s="37">
        <f t="shared" si="135"/>
        <v>910.05</v>
      </c>
      <c r="BQ42" s="37">
        <f t="shared" si="135"/>
        <v>910.05</v>
      </c>
      <c r="BR42" s="37">
        <f t="shared" si="135"/>
        <v>910.05</v>
      </c>
      <c r="BS42" s="37">
        <f t="shared" si="135"/>
        <v>910.05</v>
      </c>
      <c r="BT42" s="37">
        <f t="shared" si="135"/>
        <v>910.05</v>
      </c>
      <c r="BU42" s="37">
        <f t="shared" si="135"/>
        <v>910.05</v>
      </c>
      <c r="BV42" s="37">
        <f t="shared" si="135"/>
        <v>910.05</v>
      </c>
      <c r="BW42" s="156">
        <f t="shared" si="135"/>
        <v>910.05</v>
      </c>
      <c r="BX42" s="37">
        <f t="shared" ref="BX42" si="136">+SUM(BX38:BX41)</f>
        <v>1315.1505</v>
      </c>
      <c r="BY42" s="37">
        <f>+SUM(BY38:BY41)</f>
        <v>1315.1505</v>
      </c>
      <c r="BZ42" s="37">
        <f>+SUM(BZ38:BZ41)</f>
        <v>1315.1505</v>
      </c>
      <c r="CA42" s="37">
        <f>+SUM(CA38:CA41)</f>
        <v>1315.1505</v>
      </c>
      <c r="CB42" s="37">
        <f>+SUM(CB38:CB41)</f>
        <v>1315.1505</v>
      </c>
      <c r="CC42" s="37">
        <f t="shared" ref="CC42:DG42" si="137">+SUM(CC38:CC41)</f>
        <v>1315.1505</v>
      </c>
      <c r="CD42" s="37">
        <f t="shared" si="137"/>
        <v>1315.1505</v>
      </c>
      <c r="CE42" s="37">
        <f t="shared" si="137"/>
        <v>1315.1505</v>
      </c>
      <c r="CF42" s="37">
        <f t="shared" si="137"/>
        <v>1315.1505</v>
      </c>
      <c r="CG42" s="37">
        <f t="shared" si="137"/>
        <v>1315.1505</v>
      </c>
      <c r="CH42" s="37">
        <f t="shared" si="137"/>
        <v>1315.1505</v>
      </c>
      <c r="CI42" s="156">
        <f t="shared" si="137"/>
        <v>1315.1505</v>
      </c>
      <c r="CJ42" s="37">
        <f t="shared" ref="CJ42" si="138">+SUM(CJ38:CJ41)</f>
        <v>2120.302005</v>
      </c>
      <c r="CK42" s="37">
        <f t="shared" si="137"/>
        <v>2120.302005</v>
      </c>
      <c r="CL42" s="37">
        <f t="shared" si="137"/>
        <v>2120.302005</v>
      </c>
      <c r="CM42" s="37">
        <f t="shared" si="137"/>
        <v>2120.302005</v>
      </c>
      <c r="CN42" s="37">
        <f t="shared" si="137"/>
        <v>2120.302005</v>
      </c>
      <c r="CO42" s="37">
        <f t="shared" si="137"/>
        <v>2120.302005</v>
      </c>
      <c r="CP42" s="37">
        <f t="shared" si="137"/>
        <v>2120.302005</v>
      </c>
      <c r="CQ42" s="37">
        <f t="shared" si="137"/>
        <v>2120.302005</v>
      </c>
      <c r="CR42" s="37">
        <f t="shared" si="137"/>
        <v>2120.302005</v>
      </c>
      <c r="CS42" s="37">
        <f t="shared" si="137"/>
        <v>2120.302005</v>
      </c>
      <c r="CT42" s="37">
        <f t="shared" si="137"/>
        <v>2120.302005</v>
      </c>
      <c r="CU42" s="156">
        <f t="shared" si="137"/>
        <v>2120.302005</v>
      </c>
      <c r="CV42" s="37">
        <f t="shared" ref="CV42" si="139">+SUM(CV38:CV41)</f>
        <v>3725.5050250499999</v>
      </c>
      <c r="CW42" s="37">
        <f t="shared" si="137"/>
        <v>3725.5050250499999</v>
      </c>
      <c r="CX42" s="37">
        <f t="shared" si="137"/>
        <v>3725.5050250499999</v>
      </c>
      <c r="CY42" s="37">
        <f t="shared" si="137"/>
        <v>3725.5050250499999</v>
      </c>
      <c r="CZ42" s="37">
        <f t="shared" si="137"/>
        <v>3725.5050250499999</v>
      </c>
      <c r="DA42" s="37">
        <f t="shared" si="137"/>
        <v>3725.5050250499999</v>
      </c>
      <c r="DB42" s="37">
        <f t="shared" si="137"/>
        <v>3725.5050250499999</v>
      </c>
      <c r="DC42" s="37">
        <f t="shared" si="137"/>
        <v>3725.5050250499999</v>
      </c>
      <c r="DD42" s="37">
        <f t="shared" si="137"/>
        <v>3725.5050250499999</v>
      </c>
      <c r="DE42" s="37">
        <f t="shared" si="137"/>
        <v>3725.5050250499999</v>
      </c>
      <c r="DF42" s="37">
        <f t="shared" si="137"/>
        <v>3725.5050250499999</v>
      </c>
      <c r="DG42" s="37">
        <f t="shared" si="137"/>
        <v>3725.5050250499999</v>
      </c>
    </row>
    <row r="43" spans="1:111" s="3" customFormat="1" x14ac:dyDescent="0.25">
      <c r="A43"/>
      <c r="B43" s="1" t="s">
        <v>248</v>
      </c>
      <c r="C43" s="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155"/>
      <c r="AT43" s="743">
        <v>0</v>
      </c>
      <c r="AU43" s="91">
        <f t="shared" ref="AU43:CA52" si="140">AT43</f>
        <v>0</v>
      </c>
      <c r="AV43" s="91">
        <f t="shared" si="140"/>
        <v>0</v>
      </c>
      <c r="AW43" s="91">
        <f t="shared" si="140"/>
        <v>0</v>
      </c>
      <c r="AX43" s="91">
        <f t="shared" si="140"/>
        <v>0</v>
      </c>
      <c r="AY43" s="155">
        <f t="shared" si="140"/>
        <v>0</v>
      </c>
      <c r="AZ43" s="91">
        <f t="shared" si="140"/>
        <v>0</v>
      </c>
      <c r="BA43" s="91">
        <f t="shared" si="140"/>
        <v>0</v>
      </c>
      <c r="BB43" s="91">
        <f t="shared" si="140"/>
        <v>0</v>
      </c>
      <c r="BC43" s="91">
        <f t="shared" si="140"/>
        <v>0</v>
      </c>
      <c r="BD43" s="91">
        <f t="shared" si="140"/>
        <v>0</v>
      </c>
      <c r="BE43" s="91">
        <f t="shared" si="140"/>
        <v>0</v>
      </c>
      <c r="BF43" s="91">
        <f t="shared" si="140"/>
        <v>0</v>
      </c>
      <c r="BG43" s="91">
        <f t="shared" si="140"/>
        <v>0</v>
      </c>
      <c r="BH43" s="91">
        <f t="shared" si="140"/>
        <v>0</v>
      </c>
      <c r="BI43" s="91">
        <f t="shared" si="140"/>
        <v>0</v>
      </c>
      <c r="BJ43" s="91">
        <f t="shared" si="140"/>
        <v>0</v>
      </c>
      <c r="BK43" s="155">
        <f t="shared" si="140"/>
        <v>0</v>
      </c>
      <c r="BL43" s="91">
        <f t="shared" si="140"/>
        <v>0</v>
      </c>
      <c r="BM43" s="91">
        <f t="shared" si="140"/>
        <v>0</v>
      </c>
      <c r="BN43" s="91">
        <f t="shared" si="140"/>
        <v>0</v>
      </c>
      <c r="BO43" s="91">
        <f t="shared" si="140"/>
        <v>0</v>
      </c>
      <c r="BP43" s="91">
        <f t="shared" si="140"/>
        <v>0</v>
      </c>
      <c r="BQ43" s="91">
        <f t="shared" si="140"/>
        <v>0</v>
      </c>
      <c r="BR43" s="91">
        <f t="shared" si="140"/>
        <v>0</v>
      </c>
      <c r="BS43" s="91">
        <f t="shared" si="140"/>
        <v>0</v>
      </c>
      <c r="BT43" s="91">
        <f t="shared" si="140"/>
        <v>0</v>
      </c>
      <c r="BU43" s="91">
        <f t="shared" si="140"/>
        <v>0</v>
      </c>
      <c r="BV43" s="91">
        <f t="shared" si="140"/>
        <v>0</v>
      </c>
      <c r="BW43" s="155">
        <f t="shared" si="140"/>
        <v>0</v>
      </c>
      <c r="BX43" s="91">
        <f t="shared" si="140"/>
        <v>0</v>
      </c>
      <c r="BY43" s="91">
        <f t="shared" si="140"/>
        <v>0</v>
      </c>
      <c r="BZ43" s="91">
        <f t="shared" si="140"/>
        <v>0</v>
      </c>
      <c r="CA43" s="91">
        <f t="shared" si="140"/>
        <v>0</v>
      </c>
      <c r="CB43" s="91">
        <f t="shared" ref="CB43:DG52" si="141">CA43</f>
        <v>0</v>
      </c>
      <c r="CC43" s="91">
        <f t="shared" si="141"/>
        <v>0</v>
      </c>
      <c r="CD43" s="91">
        <f t="shared" si="141"/>
        <v>0</v>
      </c>
      <c r="CE43" s="91">
        <f t="shared" si="141"/>
        <v>0</v>
      </c>
      <c r="CF43" s="91">
        <f t="shared" si="141"/>
        <v>0</v>
      </c>
      <c r="CG43" s="91">
        <f t="shared" si="141"/>
        <v>0</v>
      </c>
      <c r="CH43" s="91">
        <f t="shared" si="141"/>
        <v>0</v>
      </c>
      <c r="CI43" s="155">
        <f t="shared" si="141"/>
        <v>0</v>
      </c>
      <c r="CJ43" s="91">
        <f t="shared" si="141"/>
        <v>0</v>
      </c>
      <c r="CK43" s="91">
        <f t="shared" si="141"/>
        <v>0</v>
      </c>
      <c r="CL43" s="91">
        <f t="shared" si="141"/>
        <v>0</v>
      </c>
      <c r="CM43" s="91">
        <f t="shared" si="141"/>
        <v>0</v>
      </c>
      <c r="CN43" s="91">
        <f t="shared" si="141"/>
        <v>0</v>
      </c>
      <c r="CO43" s="91">
        <f t="shared" si="141"/>
        <v>0</v>
      </c>
      <c r="CP43" s="91">
        <f t="shared" si="141"/>
        <v>0</v>
      </c>
      <c r="CQ43" s="91">
        <f t="shared" si="141"/>
        <v>0</v>
      </c>
      <c r="CR43" s="91">
        <f t="shared" si="141"/>
        <v>0</v>
      </c>
      <c r="CS43" s="91">
        <f t="shared" si="141"/>
        <v>0</v>
      </c>
      <c r="CT43" s="91">
        <f t="shared" si="141"/>
        <v>0</v>
      </c>
      <c r="CU43" s="155">
        <f t="shared" si="141"/>
        <v>0</v>
      </c>
      <c r="CV43" s="91">
        <f t="shared" si="141"/>
        <v>0</v>
      </c>
      <c r="CW43" s="91">
        <f t="shared" si="141"/>
        <v>0</v>
      </c>
      <c r="CX43" s="91">
        <f t="shared" si="141"/>
        <v>0</v>
      </c>
      <c r="CY43" s="91">
        <f t="shared" si="141"/>
        <v>0</v>
      </c>
      <c r="CZ43" s="91">
        <f t="shared" si="141"/>
        <v>0</v>
      </c>
      <c r="DA43" s="91">
        <f t="shared" si="141"/>
        <v>0</v>
      </c>
      <c r="DB43" s="91">
        <f t="shared" si="141"/>
        <v>0</v>
      </c>
      <c r="DC43" s="91">
        <f t="shared" si="141"/>
        <v>0</v>
      </c>
      <c r="DD43" s="91">
        <f t="shared" si="141"/>
        <v>0</v>
      </c>
      <c r="DE43" s="91">
        <f t="shared" si="141"/>
        <v>0</v>
      </c>
      <c r="DF43" s="91">
        <f t="shared" si="141"/>
        <v>0</v>
      </c>
      <c r="DG43" s="91">
        <f t="shared" si="141"/>
        <v>0</v>
      </c>
    </row>
    <row r="44" spans="1:111" x14ac:dyDescent="0.25">
      <c r="B44" s="1" t="s">
        <v>484</v>
      </c>
      <c r="C44" s="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155"/>
      <c r="AT44" s="743"/>
      <c r="AU44" s="91"/>
      <c r="AV44" s="91"/>
      <c r="AW44" s="91"/>
      <c r="AX44" s="91"/>
      <c r="AY44" s="155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155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155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155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155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</row>
    <row r="45" spans="1:111" x14ac:dyDescent="0.25">
      <c r="B45" s="1" t="s">
        <v>488</v>
      </c>
      <c r="C45" s="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>
        <v>3000</v>
      </c>
      <c r="AO45" s="91">
        <v>3000</v>
      </c>
      <c r="AP45" s="91">
        <v>3000</v>
      </c>
      <c r="AQ45" s="91">
        <v>3000</v>
      </c>
      <c r="AR45" s="91">
        <v>3000</v>
      </c>
      <c r="AS45" s="155">
        <v>3000</v>
      </c>
      <c r="AT45" s="330">
        <f>+'People Plan'!M9</f>
        <v>3000</v>
      </c>
      <c r="AU45" s="330">
        <f>+'People Plan'!N9</f>
        <v>3000</v>
      </c>
      <c r="AV45" s="330">
        <f>+'People Plan'!O9</f>
        <v>3000</v>
      </c>
      <c r="AW45" s="330">
        <f>+'People Plan'!P9</f>
        <v>3000</v>
      </c>
      <c r="AX45" s="330">
        <f>+'People Plan'!Q9</f>
        <v>3000</v>
      </c>
      <c r="AY45" s="347">
        <f>+'People Plan'!R9</f>
        <v>3000</v>
      </c>
      <c r="AZ45" s="330">
        <f>+'People Plan'!S9</f>
        <v>7875</v>
      </c>
      <c r="BA45" s="330">
        <f>+'People Plan'!T9</f>
        <v>7875</v>
      </c>
      <c r="BB45" s="330">
        <f>+'People Plan'!U9</f>
        <v>7875</v>
      </c>
      <c r="BC45" s="330">
        <f>+'People Plan'!V9</f>
        <v>7875</v>
      </c>
      <c r="BD45" s="330">
        <f>+'People Plan'!W9</f>
        <v>7875</v>
      </c>
      <c r="BE45" s="330">
        <f>+'People Plan'!X9</f>
        <v>7875</v>
      </c>
      <c r="BF45" s="330">
        <f>+'People Plan'!Y9</f>
        <v>7875</v>
      </c>
      <c r="BG45" s="330">
        <f>+'People Plan'!Z9</f>
        <v>7875</v>
      </c>
      <c r="BH45" s="330">
        <f>+'People Plan'!AA9</f>
        <v>7875</v>
      </c>
      <c r="BI45" s="330">
        <f>+'People Plan'!AB9</f>
        <v>7875</v>
      </c>
      <c r="BJ45" s="330">
        <f>+'People Plan'!AC9</f>
        <v>7875</v>
      </c>
      <c r="BK45" s="347">
        <f>+'People Plan'!AD9</f>
        <v>7875</v>
      </c>
      <c r="BL45" s="330">
        <f>+'People Plan'!AE9</f>
        <v>8268.75</v>
      </c>
      <c r="BM45" s="330">
        <f>+'People Plan'!AF9</f>
        <v>8268.75</v>
      </c>
      <c r="BN45" s="330">
        <f>+'People Plan'!AG9</f>
        <v>8268.75</v>
      </c>
      <c r="BO45" s="330">
        <f>+'People Plan'!AH9</f>
        <v>8268.75</v>
      </c>
      <c r="BP45" s="330">
        <f>+'People Plan'!AI9</f>
        <v>8268.75</v>
      </c>
      <c r="BQ45" s="330">
        <f>+'People Plan'!AJ9</f>
        <v>8268.75</v>
      </c>
      <c r="BR45" s="330">
        <f>+'People Plan'!AK9</f>
        <v>8268.75</v>
      </c>
      <c r="BS45" s="330">
        <f>+'People Plan'!AL9</f>
        <v>8268.75</v>
      </c>
      <c r="BT45" s="330">
        <f>+'People Plan'!AM9</f>
        <v>8268.75</v>
      </c>
      <c r="BU45" s="330">
        <f>+'People Plan'!AN9</f>
        <v>8268.75</v>
      </c>
      <c r="BV45" s="330">
        <f>+'People Plan'!AO9</f>
        <v>8268.75</v>
      </c>
      <c r="BW45" s="347">
        <f>+'People Plan'!AP9</f>
        <v>8268.75</v>
      </c>
      <c r="BX45" s="330">
        <f>+'People Plan'!AQ9</f>
        <v>8682.1875</v>
      </c>
      <c r="BY45" s="330">
        <f>+'People Plan'!AR9</f>
        <v>8682.1875</v>
      </c>
      <c r="BZ45" s="330">
        <f>+'People Plan'!AS9</f>
        <v>8682.1875</v>
      </c>
      <c r="CA45" s="330">
        <f>+'People Plan'!AT9</f>
        <v>8682.1875</v>
      </c>
      <c r="CB45" s="330">
        <f>+'People Plan'!AU9</f>
        <v>8682.1875</v>
      </c>
      <c r="CC45" s="330">
        <f>+'People Plan'!AV9</f>
        <v>8682.1875</v>
      </c>
      <c r="CD45" s="330">
        <f>+'People Plan'!AW9</f>
        <v>8682.1875</v>
      </c>
      <c r="CE45" s="330">
        <f>+'People Plan'!AX9</f>
        <v>8682.1875</v>
      </c>
      <c r="CF45" s="330">
        <f>+'People Plan'!AY9</f>
        <v>8682.1875</v>
      </c>
      <c r="CG45" s="330">
        <f>+'People Plan'!AZ9</f>
        <v>8682.1875</v>
      </c>
      <c r="CH45" s="330">
        <f>+'People Plan'!BA9</f>
        <v>8682.1875</v>
      </c>
      <c r="CI45" s="347">
        <f>+'People Plan'!BB9</f>
        <v>8682.1875</v>
      </c>
      <c r="CJ45" s="330">
        <f>+'People Plan'!BC9</f>
        <v>9116.296875</v>
      </c>
      <c r="CK45" s="330">
        <f>+'People Plan'!BD9</f>
        <v>9116.296875</v>
      </c>
      <c r="CL45" s="330">
        <f>+'People Plan'!BE9</f>
        <v>9116.296875</v>
      </c>
      <c r="CM45" s="330">
        <f>+'People Plan'!BF9</f>
        <v>9116.296875</v>
      </c>
      <c r="CN45" s="330">
        <f>+'People Plan'!BG9</f>
        <v>9116.296875</v>
      </c>
      <c r="CO45" s="330">
        <f>+'People Plan'!BH9</f>
        <v>9116.296875</v>
      </c>
      <c r="CP45" s="330">
        <f>+'People Plan'!BI9</f>
        <v>9116.296875</v>
      </c>
      <c r="CQ45" s="330">
        <f>+'People Plan'!BJ9</f>
        <v>9116.296875</v>
      </c>
      <c r="CR45" s="330">
        <f>+'People Plan'!BK9</f>
        <v>9116.296875</v>
      </c>
      <c r="CS45" s="330">
        <f>+'People Plan'!BL9</f>
        <v>9116.296875</v>
      </c>
      <c r="CT45" s="330">
        <f>+'People Plan'!BM9</f>
        <v>9116.296875</v>
      </c>
      <c r="CU45" s="347">
        <f>+'People Plan'!BN9</f>
        <v>9116.296875</v>
      </c>
      <c r="CV45" s="330">
        <f>+'People Plan'!BO9</f>
        <v>9572.1117187500004</v>
      </c>
      <c r="CW45" s="330">
        <f>+'People Plan'!BP9</f>
        <v>9572.1117187500004</v>
      </c>
      <c r="CX45" s="330">
        <f>+'People Plan'!BQ9</f>
        <v>9572.1117187500004</v>
      </c>
      <c r="CY45" s="330">
        <f>+'People Plan'!BR9</f>
        <v>9572.1117187500004</v>
      </c>
      <c r="CZ45" s="330">
        <f>+'People Plan'!BS9</f>
        <v>9572.1117187500004</v>
      </c>
      <c r="DA45" s="330">
        <f>+'People Plan'!BT9</f>
        <v>9572.1117187500004</v>
      </c>
      <c r="DB45" s="330">
        <f>+'People Plan'!BU9</f>
        <v>9572.1117187500004</v>
      </c>
      <c r="DC45" s="330">
        <f>+'People Plan'!BV9</f>
        <v>9572.1117187500004</v>
      </c>
      <c r="DD45" s="330">
        <f>+'People Plan'!BW9</f>
        <v>9572.1117187500004</v>
      </c>
      <c r="DE45" s="330">
        <f>+'People Plan'!BX9</f>
        <v>9572.1117187500004</v>
      </c>
      <c r="DF45" s="330">
        <f>+'People Plan'!BY9</f>
        <v>9572.1117187500004</v>
      </c>
      <c r="DG45" s="330">
        <f>+'People Plan'!BZ9</f>
        <v>9572.1117187500004</v>
      </c>
    </row>
    <row r="46" spans="1:111" x14ac:dyDescent="0.25">
      <c r="B46" s="1" t="s">
        <v>485</v>
      </c>
      <c r="C46" s="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>
        <v>324</v>
      </c>
      <c r="AO46" s="91">
        <v>324</v>
      </c>
      <c r="AP46" s="91">
        <v>324</v>
      </c>
      <c r="AQ46" s="91">
        <v>324</v>
      </c>
      <c r="AR46" s="91">
        <v>324</v>
      </c>
      <c r="AS46" s="155">
        <v>139.5</v>
      </c>
      <c r="AT46" s="743">
        <f>+AT45*AT49</f>
        <v>139.5</v>
      </c>
      <c r="AU46" s="91">
        <f t="shared" ref="AU46:DD46" si="142">+AU45*AU49</f>
        <v>139.5</v>
      </c>
      <c r="AV46" s="91">
        <f t="shared" si="142"/>
        <v>139.5</v>
      </c>
      <c r="AW46" s="91">
        <f t="shared" si="142"/>
        <v>139.5</v>
      </c>
      <c r="AX46" s="91">
        <f t="shared" si="142"/>
        <v>139.5</v>
      </c>
      <c r="AY46" s="155">
        <f t="shared" si="142"/>
        <v>139.5</v>
      </c>
      <c r="AZ46" s="91">
        <f t="shared" si="142"/>
        <v>366.1875</v>
      </c>
      <c r="BA46" s="91">
        <f t="shared" si="142"/>
        <v>366.1875</v>
      </c>
      <c r="BB46" s="91">
        <f t="shared" si="142"/>
        <v>366.1875</v>
      </c>
      <c r="BC46" s="91">
        <f t="shared" si="142"/>
        <v>366.1875</v>
      </c>
      <c r="BD46" s="91">
        <f t="shared" si="142"/>
        <v>366.1875</v>
      </c>
      <c r="BE46" s="91">
        <f t="shared" si="142"/>
        <v>366.1875</v>
      </c>
      <c r="BF46" s="91">
        <f t="shared" si="142"/>
        <v>366.1875</v>
      </c>
      <c r="BG46" s="91">
        <f t="shared" si="142"/>
        <v>366.1875</v>
      </c>
      <c r="BH46" s="91">
        <f t="shared" si="142"/>
        <v>366.1875</v>
      </c>
      <c r="BI46" s="91">
        <f t="shared" si="142"/>
        <v>366.1875</v>
      </c>
      <c r="BJ46" s="91">
        <f t="shared" si="142"/>
        <v>366.1875</v>
      </c>
      <c r="BK46" s="155">
        <f t="shared" si="142"/>
        <v>366.1875</v>
      </c>
      <c r="BL46" s="91">
        <f t="shared" si="142"/>
        <v>384.49687499999999</v>
      </c>
      <c r="BM46" s="91">
        <f t="shared" si="142"/>
        <v>384.49687499999999</v>
      </c>
      <c r="BN46" s="91">
        <f t="shared" si="142"/>
        <v>384.49687499999999</v>
      </c>
      <c r="BO46" s="91">
        <f t="shared" si="142"/>
        <v>384.49687499999999</v>
      </c>
      <c r="BP46" s="91">
        <f t="shared" si="142"/>
        <v>384.49687499999999</v>
      </c>
      <c r="BQ46" s="91">
        <f t="shared" si="142"/>
        <v>384.49687499999999</v>
      </c>
      <c r="BR46" s="91">
        <f t="shared" si="142"/>
        <v>384.49687499999999</v>
      </c>
      <c r="BS46" s="91">
        <f t="shared" si="142"/>
        <v>384.49687499999999</v>
      </c>
      <c r="BT46" s="91">
        <f t="shared" si="142"/>
        <v>384.49687499999999</v>
      </c>
      <c r="BU46" s="91">
        <f t="shared" si="142"/>
        <v>384.49687499999999</v>
      </c>
      <c r="BV46" s="91">
        <f t="shared" si="142"/>
        <v>384.49687499999999</v>
      </c>
      <c r="BW46" s="155">
        <f t="shared" si="142"/>
        <v>384.49687499999999</v>
      </c>
      <c r="BX46" s="91">
        <f t="shared" si="142"/>
        <v>403.72171874999998</v>
      </c>
      <c r="BY46" s="91">
        <f t="shared" si="142"/>
        <v>403.72171874999998</v>
      </c>
      <c r="BZ46" s="91">
        <f t="shared" si="142"/>
        <v>403.72171874999998</v>
      </c>
      <c r="CA46" s="91">
        <f t="shared" si="142"/>
        <v>403.72171874999998</v>
      </c>
      <c r="CB46" s="91">
        <f t="shared" si="142"/>
        <v>403.72171874999998</v>
      </c>
      <c r="CC46" s="91">
        <f t="shared" si="142"/>
        <v>403.72171874999998</v>
      </c>
      <c r="CD46" s="91">
        <f t="shared" si="142"/>
        <v>403.72171874999998</v>
      </c>
      <c r="CE46" s="91">
        <f t="shared" si="142"/>
        <v>403.72171874999998</v>
      </c>
      <c r="CF46" s="91">
        <f t="shared" si="142"/>
        <v>403.72171874999998</v>
      </c>
      <c r="CG46" s="91">
        <f t="shared" si="142"/>
        <v>403.72171874999998</v>
      </c>
      <c r="CH46" s="91">
        <f t="shared" si="142"/>
        <v>403.72171874999998</v>
      </c>
      <c r="CI46" s="155">
        <f t="shared" si="142"/>
        <v>403.72171874999998</v>
      </c>
      <c r="CJ46" s="91">
        <f t="shared" si="142"/>
        <v>423.9078046875</v>
      </c>
      <c r="CK46" s="91">
        <f t="shared" si="142"/>
        <v>423.9078046875</v>
      </c>
      <c r="CL46" s="91">
        <f t="shared" si="142"/>
        <v>423.9078046875</v>
      </c>
      <c r="CM46" s="91">
        <f t="shared" si="142"/>
        <v>423.9078046875</v>
      </c>
      <c r="CN46" s="91">
        <f t="shared" si="142"/>
        <v>423.9078046875</v>
      </c>
      <c r="CO46" s="91">
        <f t="shared" si="142"/>
        <v>423.9078046875</v>
      </c>
      <c r="CP46" s="91">
        <f t="shared" si="142"/>
        <v>423.9078046875</v>
      </c>
      <c r="CQ46" s="91">
        <f t="shared" si="142"/>
        <v>423.9078046875</v>
      </c>
      <c r="CR46" s="91">
        <f t="shared" si="142"/>
        <v>423.9078046875</v>
      </c>
      <c r="CS46" s="91">
        <f t="shared" si="142"/>
        <v>423.9078046875</v>
      </c>
      <c r="CT46" s="91">
        <f t="shared" si="142"/>
        <v>423.9078046875</v>
      </c>
      <c r="CU46" s="155">
        <f t="shared" si="142"/>
        <v>423.9078046875</v>
      </c>
      <c r="CV46" s="91">
        <f t="shared" si="142"/>
        <v>445.103194921875</v>
      </c>
      <c r="CW46" s="91">
        <f t="shared" si="142"/>
        <v>445.103194921875</v>
      </c>
      <c r="CX46" s="91">
        <f t="shared" si="142"/>
        <v>445.103194921875</v>
      </c>
      <c r="CY46" s="91">
        <f t="shared" si="142"/>
        <v>445.103194921875</v>
      </c>
      <c r="CZ46" s="91">
        <f t="shared" si="142"/>
        <v>445.103194921875</v>
      </c>
      <c r="DA46" s="91">
        <f t="shared" si="142"/>
        <v>445.103194921875</v>
      </c>
      <c r="DB46" s="91">
        <f t="shared" si="142"/>
        <v>445.103194921875</v>
      </c>
      <c r="DC46" s="91">
        <f t="shared" si="142"/>
        <v>445.103194921875</v>
      </c>
      <c r="DD46" s="91">
        <f t="shared" si="142"/>
        <v>445.103194921875</v>
      </c>
      <c r="DE46" s="91">
        <f t="shared" ref="DE46:DG46" si="143">+DE45*DE49</f>
        <v>445.103194921875</v>
      </c>
      <c r="DF46" s="91">
        <f t="shared" si="143"/>
        <v>445.103194921875</v>
      </c>
      <c r="DG46" s="91">
        <f t="shared" si="143"/>
        <v>445.103194921875</v>
      </c>
    </row>
    <row r="47" spans="1:111" x14ac:dyDescent="0.25">
      <c r="B47" s="1" t="s">
        <v>568</v>
      </c>
      <c r="C47" s="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765"/>
      <c r="AT47" s="743">
        <v>2000</v>
      </c>
      <c r="AU47" s="91">
        <f t="shared" ref="AU47:AX47" si="144">+AT47</f>
        <v>2000</v>
      </c>
      <c r="AV47" s="91">
        <f t="shared" si="144"/>
        <v>2000</v>
      </c>
      <c r="AW47" s="91">
        <f t="shared" si="144"/>
        <v>2000</v>
      </c>
      <c r="AX47" s="91">
        <f t="shared" si="144"/>
        <v>2000</v>
      </c>
      <c r="AY47" s="155">
        <f>+AX47</f>
        <v>2000</v>
      </c>
      <c r="AZ47" s="91">
        <f>+AZ45*AZ50</f>
        <v>3150</v>
      </c>
      <c r="BA47" s="91">
        <f t="shared" ref="BA47:DG47" si="145">+BA45*BA50</f>
        <v>3150</v>
      </c>
      <c r="BB47" s="91">
        <f t="shared" si="145"/>
        <v>3150</v>
      </c>
      <c r="BC47" s="91">
        <f t="shared" si="145"/>
        <v>3150</v>
      </c>
      <c r="BD47" s="91">
        <f t="shared" si="145"/>
        <v>3150</v>
      </c>
      <c r="BE47" s="91">
        <f t="shared" si="145"/>
        <v>3150</v>
      </c>
      <c r="BF47" s="91">
        <f t="shared" si="145"/>
        <v>3150</v>
      </c>
      <c r="BG47" s="91">
        <f t="shared" si="145"/>
        <v>3150</v>
      </c>
      <c r="BH47" s="91">
        <f t="shared" si="145"/>
        <v>3150</v>
      </c>
      <c r="BI47" s="91">
        <f t="shared" si="145"/>
        <v>3150</v>
      </c>
      <c r="BJ47" s="91">
        <f t="shared" si="145"/>
        <v>3150</v>
      </c>
      <c r="BK47" s="155">
        <f t="shared" si="145"/>
        <v>3150</v>
      </c>
      <c r="BL47" s="91">
        <f t="shared" si="145"/>
        <v>3307.5</v>
      </c>
      <c r="BM47" s="91">
        <f t="shared" si="145"/>
        <v>3307.5</v>
      </c>
      <c r="BN47" s="91">
        <f t="shared" si="145"/>
        <v>3307.5</v>
      </c>
      <c r="BO47" s="91">
        <f t="shared" si="145"/>
        <v>3307.5</v>
      </c>
      <c r="BP47" s="91">
        <f t="shared" si="145"/>
        <v>3307.5</v>
      </c>
      <c r="BQ47" s="91">
        <f t="shared" si="145"/>
        <v>3307.5</v>
      </c>
      <c r="BR47" s="91">
        <f t="shared" si="145"/>
        <v>3307.5</v>
      </c>
      <c r="BS47" s="91">
        <f t="shared" si="145"/>
        <v>3307.5</v>
      </c>
      <c r="BT47" s="91">
        <f t="shared" si="145"/>
        <v>3307.5</v>
      </c>
      <c r="BU47" s="91">
        <f t="shared" si="145"/>
        <v>3307.5</v>
      </c>
      <c r="BV47" s="91">
        <f t="shared" si="145"/>
        <v>3307.5</v>
      </c>
      <c r="BW47" s="155">
        <f t="shared" si="145"/>
        <v>3307.5</v>
      </c>
      <c r="BX47" s="91">
        <f t="shared" si="145"/>
        <v>3472.875</v>
      </c>
      <c r="BY47" s="91">
        <f t="shared" si="145"/>
        <v>3472.875</v>
      </c>
      <c r="BZ47" s="91">
        <f t="shared" si="145"/>
        <v>3472.875</v>
      </c>
      <c r="CA47" s="91">
        <f t="shared" si="145"/>
        <v>3472.875</v>
      </c>
      <c r="CB47" s="91">
        <f t="shared" si="145"/>
        <v>3472.875</v>
      </c>
      <c r="CC47" s="91">
        <f t="shared" si="145"/>
        <v>3472.875</v>
      </c>
      <c r="CD47" s="91">
        <f t="shared" si="145"/>
        <v>3472.875</v>
      </c>
      <c r="CE47" s="91">
        <f t="shared" si="145"/>
        <v>3472.875</v>
      </c>
      <c r="CF47" s="91">
        <f t="shared" si="145"/>
        <v>3472.875</v>
      </c>
      <c r="CG47" s="91">
        <f t="shared" si="145"/>
        <v>3472.875</v>
      </c>
      <c r="CH47" s="91">
        <f t="shared" si="145"/>
        <v>3472.875</v>
      </c>
      <c r="CI47" s="155">
        <f t="shared" si="145"/>
        <v>3472.875</v>
      </c>
      <c r="CJ47" s="91">
        <f t="shared" si="145"/>
        <v>3646.5187500000002</v>
      </c>
      <c r="CK47" s="91">
        <f t="shared" si="145"/>
        <v>3646.5187500000002</v>
      </c>
      <c r="CL47" s="91">
        <f t="shared" si="145"/>
        <v>3646.5187500000002</v>
      </c>
      <c r="CM47" s="91">
        <f t="shared" si="145"/>
        <v>3646.5187500000002</v>
      </c>
      <c r="CN47" s="91">
        <f t="shared" si="145"/>
        <v>3646.5187500000002</v>
      </c>
      <c r="CO47" s="91">
        <f t="shared" si="145"/>
        <v>3646.5187500000002</v>
      </c>
      <c r="CP47" s="91">
        <f t="shared" si="145"/>
        <v>3646.5187500000002</v>
      </c>
      <c r="CQ47" s="91">
        <f t="shared" si="145"/>
        <v>3646.5187500000002</v>
      </c>
      <c r="CR47" s="91">
        <f t="shared" si="145"/>
        <v>3646.5187500000002</v>
      </c>
      <c r="CS47" s="91">
        <f t="shared" si="145"/>
        <v>3646.5187500000002</v>
      </c>
      <c r="CT47" s="91">
        <f t="shared" si="145"/>
        <v>3646.5187500000002</v>
      </c>
      <c r="CU47" s="155">
        <f t="shared" si="145"/>
        <v>3646.5187500000002</v>
      </c>
      <c r="CV47" s="91">
        <f t="shared" si="145"/>
        <v>3828.8446875000004</v>
      </c>
      <c r="CW47" s="91">
        <f t="shared" si="145"/>
        <v>3828.8446875000004</v>
      </c>
      <c r="CX47" s="91">
        <f t="shared" si="145"/>
        <v>3828.8446875000004</v>
      </c>
      <c r="CY47" s="91">
        <f t="shared" si="145"/>
        <v>3828.8446875000004</v>
      </c>
      <c r="CZ47" s="91">
        <f t="shared" si="145"/>
        <v>3828.8446875000004</v>
      </c>
      <c r="DA47" s="91">
        <f t="shared" si="145"/>
        <v>3828.8446875000004</v>
      </c>
      <c r="DB47" s="91">
        <f t="shared" si="145"/>
        <v>3828.8446875000004</v>
      </c>
      <c r="DC47" s="91">
        <f t="shared" si="145"/>
        <v>3828.8446875000004</v>
      </c>
      <c r="DD47" s="91">
        <f t="shared" si="145"/>
        <v>3828.8446875000004</v>
      </c>
      <c r="DE47" s="91">
        <f t="shared" si="145"/>
        <v>3828.8446875000004</v>
      </c>
      <c r="DF47" s="91">
        <f t="shared" si="145"/>
        <v>3828.8446875000004</v>
      </c>
      <c r="DG47" s="91">
        <f t="shared" si="145"/>
        <v>3828.8446875000004</v>
      </c>
    </row>
    <row r="48" spans="1:111" x14ac:dyDescent="0.25">
      <c r="A48" s="3"/>
      <c r="B48" s="4" t="s">
        <v>486</v>
      </c>
      <c r="C48" s="4"/>
      <c r="D48" s="37"/>
      <c r="E48" s="37">
        <f t="shared" ref="E48:N48" si="146">SUM(E44:E47)</f>
        <v>0</v>
      </c>
      <c r="F48" s="37">
        <f t="shared" si="146"/>
        <v>0</v>
      </c>
      <c r="G48" s="37">
        <f t="shared" si="146"/>
        <v>0</v>
      </c>
      <c r="H48" s="37">
        <f t="shared" si="146"/>
        <v>0</v>
      </c>
      <c r="I48" s="37">
        <f t="shared" si="146"/>
        <v>0</v>
      </c>
      <c r="J48" s="37">
        <f t="shared" si="146"/>
        <v>0</v>
      </c>
      <c r="K48" s="37">
        <f t="shared" si="146"/>
        <v>0</v>
      </c>
      <c r="L48" s="37">
        <f t="shared" si="146"/>
        <v>0</v>
      </c>
      <c r="M48" s="37">
        <f t="shared" si="146"/>
        <v>0</v>
      </c>
      <c r="N48" s="37">
        <f t="shared" si="146"/>
        <v>0</v>
      </c>
      <c r="O48" s="37">
        <f>SUM(O44:O47)</f>
        <v>0</v>
      </c>
      <c r="P48" s="37">
        <f>SUM(P44:P47)</f>
        <v>0</v>
      </c>
      <c r="Q48" s="37">
        <f t="shared" ref="Q48:CB48" si="147">SUM(Q44:Q47)</f>
        <v>0</v>
      </c>
      <c r="R48" s="37">
        <f t="shared" si="147"/>
        <v>0</v>
      </c>
      <c r="S48" s="37">
        <f t="shared" si="147"/>
        <v>0</v>
      </c>
      <c r="T48" s="37">
        <f t="shared" si="147"/>
        <v>0</v>
      </c>
      <c r="U48" s="37">
        <f t="shared" si="147"/>
        <v>0</v>
      </c>
      <c r="V48" s="37">
        <f t="shared" si="147"/>
        <v>0</v>
      </c>
      <c r="W48" s="37">
        <f t="shared" si="147"/>
        <v>0</v>
      </c>
      <c r="X48" s="37">
        <f t="shared" si="147"/>
        <v>0</v>
      </c>
      <c r="Y48" s="37">
        <f t="shared" si="147"/>
        <v>0</v>
      </c>
      <c r="Z48" s="37">
        <f t="shared" si="147"/>
        <v>0</v>
      </c>
      <c r="AA48" s="37">
        <f t="shared" si="147"/>
        <v>0</v>
      </c>
      <c r="AB48" s="37">
        <f>SUM(AB44:AB47)</f>
        <v>0</v>
      </c>
      <c r="AC48" s="37">
        <f t="shared" si="147"/>
        <v>0</v>
      </c>
      <c r="AD48" s="37">
        <f t="shared" si="147"/>
        <v>0</v>
      </c>
      <c r="AE48" s="37">
        <f t="shared" si="147"/>
        <v>0</v>
      </c>
      <c r="AF48" s="37">
        <f t="shared" si="147"/>
        <v>0</v>
      </c>
      <c r="AG48" s="37">
        <f t="shared" si="147"/>
        <v>0</v>
      </c>
      <c r="AH48" s="37">
        <f t="shared" si="147"/>
        <v>0</v>
      </c>
      <c r="AI48" s="37">
        <f t="shared" si="147"/>
        <v>0</v>
      </c>
      <c r="AJ48" s="37">
        <f t="shared" ref="AJ48:AK48" si="148">SUM(AJ44:AJ47)</f>
        <v>0</v>
      </c>
      <c r="AK48" s="37">
        <f t="shared" si="148"/>
        <v>0</v>
      </c>
      <c r="AL48" s="37">
        <f t="shared" ref="AL48:AM48" si="149">SUM(AL44:AL47)</f>
        <v>0</v>
      </c>
      <c r="AM48" s="37">
        <f t="shared" si="149"/>
        <v>0</v>
      </c>
      <c r="AN48" s="37">
        <f t="shared" ref="AN48" si="150">SUM(AN44:AN47)</f>
        <v>3324</v>
      </c>
      <c r="AO48" s="37">
        <f t="shared" ref="AO48:AP48" si="151">SUM(AO44:AO47)</f>
        <v>3324</v>
      </c>
      <c r="AP48" s="37">
        <f t="shared" si="151"/>
        <v>3324</v>
      </c>
      <c r="AQ48" s="37">
        <f t="shared" ref="AQ48:AR48" si="152">SUM(AQ44:AQ47)</f>
        <v>3324</v>
      </c>
      <c r="AR48" s="37">
        <f t="shared" si="152"/>
        <v>3324</v>
      </c>
      <c r="AS48" s="156">
        <f t="shared" ref="AS48" si="153">SUM(AS44:AS47)</f>
        <v>3139.5</v>
      </c>
      <c r="AT48" s="754">
        <f t="shared" ref="AT48" si="154">SUM(AT44:AT47)</f>
        <v>5139.5</v>
      </c>
      <c r="AU48" s="37">
        <f t="shared" si="147"/>
        <v>5139.5</v>
      </c>
      <c r="AV48" s="37">
        <f t="shared" si="147"/>
        <v>5139.5</v>
      </c>
      <c r="AW48" s="37">
        <f t="shared" si="147"/>
        <v>5139.5</v>
      </c>
      <c r="AX48" s="37">
        <f t="shared" si="147"/>
        <v>5139.5</v>
      </c>
      <c r="AY48" s="156">
        <f t="shared" si="147"/>
        <v>5139.5</v>
      </c>
      <c r="AZ48" s="37">
        <f t="shared" si="147"/>
        <v>11391.1875</v>
      </c>
      <c r="BA48" s="37">
        <f t="shared" si="147"/>
        <v>11391.1875</v>
      </c>
      <c r="BB48" s="37">
        <f t="shared" si="147"/>
        <v>11391.1875</v>
      </c>
      <c r="BC48" s="37">
        <f t="shared" si="147"/>
        <v>11391.1875</v>
      </c>
      <c r="BD48" s="37">
        <f t="shared" si="147"/>
        <v>11391.1875</v>
      </c>
      <c r="BE48" s="37">
        <f t="shared" si="147"/>
        <v>11391.1875</v>
      </c>
      <c r="BF48" s="37">
        <f t="shared" si="147"/>
        <v>11391.1875</v>
      </c>
      <c r="BG48" s="37">
        <f t="shared" si="147"/>
        <v>11391.1875</v>
      </c>
      <c r="BH48" s="37">
        <f t="shared" si="147"/>
        <v>11391.1875</v>
      </c>
      <c r="BI48" s="37">
        <f t="shared" si="147"/>
        <v>11391.1875</v>
      </c>
      <c r="BJ48" s="37">
        <f t="shared" si="147"/>
        <v>11391.1875</v>
      </c>
      <c r="BK48" s="156">
        <f t="shared" si="147"/>
        <v>11391.1875</v>
      </c>
      <c r="BL48" s="37">
        <f t="shared" si="147"/>
        <v>11960.746875000001</v>
      </c>
      <c r="BM48" s="37">
        <f t="shared" si="147"/>
        <v>11960.746875000001</v>
      </c>
      <c r="BN48" s="37">
        <f t="shared" si="147"/>
        <v>11960.746875000001</v>
      </c>
      <c r="BO48" s="37">
        <f t="shared" si="147"/>
        <v>11960.746875000001</v>
      </c>
      <c r="BP48" s="37">
        <f t="shared" si="147"/>
        <v>11960.746875000001</v>
      </c>
      <c r="BQ48" s="37">
        <f t="shared" si="147"/>
        <v>11960.746875000001</v>
      </c>
      <c r="BR48" s="37">
        <f t="shared" si="147"/>
        <v>11960.746875000001</v>
      </c>
      <c r="BS48" s="37">
        <f t="shared" si="147"/>
        <v>11960.746875000001</v>
      </c>
      <c r="BT48" s="37">
        <f t="shared" si="147"/>
        <v>11960.746875000001</v>
      </c>
      <c r="BU48" s="37">
        <f t="shared" si="147"/>
        <v>11960.746875000001</v>
      </c>
      <c r="BV48" s="37">
        <f t="shared" si="147"/>
        <v>11960.746875000001</v>
      </c>
      <c r="BW48" s="156">
        <f t="shared" si="147"/>
        <v>11960.746875000001</v>
      </c>
      <c r="BX48" s="37">
        <f t="shared" si="147"/>
        <v>12558.784218749999</v>
      </c>
      <c r="BY48" s="37">
        <f t="shared" si="147"/>
        <v>12558.784218749999</v>
      </c>
      <c r="BZ48" s="37">
        <f t="shared" si="147"/>
        <v>12558.784218749999</v>
      </c>
      <c r="CA48" s="37">
        <f t="shared" si="147"/>
        <v>12558.784218749999</v>
      </c>
      <c r="CB48" s="37">
        <f t="shared" si="147"/>
        <v>12558.784218749999</v>
      </c>
      <c r="CC48" s="37">
        <f t="shared" ref="CC48:DG48" si="155">SUM(CC44:CC47)</f>
        <v>12558.784218749999</v>
      </c>
      <c r="CD48" s="37">
        <f t="shared" si="155"/>
        <v>12558.784218749999</v>
      </c>
      <c r="CE48" s="37">
        <f t="shared" si="155"/>
        <v>12558.784218749999</v>
      </c>
      <c r="CF48" s="37">
        <f t="shared" si="155"/>
        <v>12558.784218749999</v>
      </c>
      <c r="CG48" s="37">
        <f t="shared" si="155"/>
        <v>12558.784218749999</v>
      </c>
      <c r="CH48" s="37">
        <f t="shared" si="155"/>
        <v>12558.784218749999</v>
      </c>
      <c r="CI48" s="156">
        <f t="shared" si="155"/>
        <v>12558.784218749999</v>
      </c>
      <c r="CJ48" s="37">
        <f t="shared" si="155"/>
        <v>13186.723429687499</v>
      </c>
      <c r="CK48" s="37">
        <f t="shared" si="155"/>
        <v>13186.723429687499</v>
      </c>
      <c r="CL48" s="37">
        <f t="shared" si="155"/>
        <v>13186.723429687499</v>
      </c>
      <c r="CM48" s="37">
        <f t="shared" si="155"/>
        <v>13186.723429687499</v>
      </c>
      <c r="CN48" s="37">
        <f t="shared" si="155"/>
        <v>13186.723429687499</v>
      </c>
      <c r="CO48" s="37">
        <f t="shared" si="155"/>
        <v>13186.723429687499</v>
      </c>
      <c r="CP48" s="37">
        <f t="shared" si="155"/>
        <v>13186.723429687499</v>
      </c>
      <c r="CQ48" s="37">
        <f t="shared" si="155"/>
        <v>13186.723429687499</v>
      </c>
      <c r="CR48" s="37">
        <f t="shared" si="155"/>
        <v>13186.723429687499</v>
      </c>
      <c r="CS48" s="37">
        <f t="shared" si="155"/>
        <v>13186.723429687499</v>
      </c>
      <c r="CT48" s="37">
        <f t="shared" si="155"/>
        <v>13186.723429687499</v>
      </c>
      <c r="CU48" s="156">
        <f t="shared" si="155"/>
        <v>13186.723429687499</v>
      </c>
      <c r="CV48" s="37">
        <f t="shared" si="155"/>
        <v>13846.059601171877</v>
      </c>
      <c r="CW48" s="37">
        <f t="shared" si="155"/>
        <v>13846.059601171877</v>
      </c>
      <c r="CX48" s="37">
        <f t="shared" si="155"/>
        <v>13846.059601171877</v>
      </c>
      <c r="CY48" s="37">
        <f t="shared" si="155"/>
        <v>13846.059601171877</v>
      </c>
      <c r="CZ48" s="37">
        <f t="shared" si="155"/>
        <v>13846.059601171877</v>
      </c>
      <c r="DA48" s="37">
        <f t="shared" si="155"/>
        <v>13846.059601171877</v>
      </c>
      <c r="DB48" s="37">
        <f t="shared" si="155"/>
        <v>13846.059601171877</v>
      </c>
      <c r="DC48" s="37">
        <f t="shared" si="155"/>
        <v>13846.059601171877</v>
      </c>
      <c r="DD48" s="37">
        <f t="shared" si="155"/>
        <v>13846.059601171877</v>
      </c>
      <c r="DE48" s="37">
        <f t="shared" si="155"/>
        <v>13846.059601171877</v>
      </c>
      <c r="DF48" s="37">
        <f t="shared" si="155"/>
        <v>13846.059601171877</v>
      </c>
      <c r="DG48" s="37">
        <f t="shared" si="155"/>
        <v>13846.059601171877</v>
      </c>
    </row>
    <row r="49" spans="1:111" s="335" customFormat="1" x14ac:dyDescent="0.25">
      <c r="A49" s="333"/>
      <c r="B49" s="337" t="s">
        <v>487</v>
      </c>
      <c r="C49" s="334"/>
      <c r="W49" s="339">
        <f t="shared" ref="W49:AA50" si="156">+W43/W$11</f>
        <v>0</v>
      </c>
      <c r="X49" s="339">
        <f t="shared" si="156"/>
        <v>0</v>
      </c>
      <c r="Y49" s="339">
        <f t="shared" si="156"/>
        <v>0</v>
      </c>
      <c r="Z49" s="339">
        <f t="shared" si="156"/>
        <v>0</v>
      </c>
      <c r="AA49" s="339">
        <f t="shared" si="156"/>
        <v>0</v>
      </c>
      <c r="AB49" s="339">
        <v>7.6499999999999999E-2</v>
      </c>
      <c r="AC49" s="339">
        <v>7.6499999999999999E-2</v>
      </c>
      <c r="AD49" s="339">
        <v>7.6499999999999999E-2</v>
      </c>
      <c r="AE49" s="339">
        <v>7.6499999999999999E-2</v>
      </c>
      <c r="AF49" s="339">
        <v>7.6499999999999999E-2</v>
      </c>
      <c r="AG49" s="339">
        <v>7.6499999999999999E-2</v>
      </c>
      <c r="AH49" s="339">
        <v>7.6499999999999999E-2</v>
      </c>
      <c r="AI49" s="339">
        <v>7.6499999999999999E-2</v>
      </c>
      <c r="AJ49" s="339">
        <v>7.6499999999999999E-2</v>
      </c>
      <c r="AK49" s="339">
        <v>7.6499999999999999E-2</v>
      </c>
      <c r="AL49" s="339">
        <v>7.6499999999999999E-2</v>
      </c>
      <c r="AM49" s="339">
        <v>7.6499999999999999E-2</v>
      </c>
      <c r="AN49" s="339">
        <f>+AN46/AN45</f>
        <v>0.108</v>
      </c>
      <c r="AO49" s="339">
        <f t="shared" ref="AO49:AQ49" si="157">+AO46/AO45</f>
        <v>0.108</v>
      </c>
      <c r="AP49" s="339">
        <f t="shared" si="157"/>
        <v>0.108</v>
      </c>
      <c r="AQ49" s="339">
        <f t="shared" si="157"/>
        <v>0.108</v>
      </c>
      <c r="AR49" s="339">
        <f t="shared" ref="AR49:AS49" si="158">+AR46/AR45</f>
        <v>0.108</v>
      </c>
      <c r="AS49" s="342">
        <f t="shared" si="158"/>
        <v>4.65E-2</v>
      </c>
      <c r="AT49" s="763">
        <f>+AS49</f>
        <v>4.65E-2</v>
      </c>
      <c r="AU49" s="339">
        <f t="shared" ref="AU49:DE50" si="159">+AT49</f>
        <v>4.65E-2</v>
      </c>
      <c r="AV49" s="339">
        <f t="shared" si="159"/>
        <v>4.65E-2</v>
      </c>
      <c r="AW49" s="339">
        <f t="shared" si="159"/>
        <v>4.65E-2</v>
      </c>
      <c r="AX49" s="339">
        <f t="shared" si="159"/>
        <v>4.65E-2</v>
      </c>
      <c r="AY49" s="342">
        <f t="shared" si="159"/>
        <v>4.65E-2</v>
      </c>
      <c r="AZ49" s="339">
        <f t="shared" si="159"/>
        <v>4.65E-2</v>
      </c>
      <c r="BA49" s="339">
        <f t="shared" si="159"/>
        <v>4.65E-2</v>
      </c>
      <c r="BB49" s="339">
        <f t="shared" si="159"/>
        <v>4.65E-2</v>
      </c>
      <c r="BC49" s="339">
        <f t="shared" si="159"/>
        <v>4.65E-2</v>
      </c>
      <c r="BD49" s="339">
        <f t="shared" si="159"/>
        <v>4.65E-2</v>
      </c>
      <c r="BE49" s="339">
        <f t="shared" si="159"/>
        <v>4.65E-2</v>
      </c>
      <c r="BF49" s="339">
        <f t="shared" si="159"/>
        <v>4.65E-2</v>
      </c>
      <c r="BG49" s="339">
        <f t="shared" si="159"/>
        <v>4.65E-2</v>
      </c>
      <c r="BH49" s="339">
        <f t="shared" si="159"/>
        <v>4.65E-2</v>
      </c>
      <c r="BI49" s="339">
        <f t="shared" si="159"/>
        <v>4.65E-2</v>
      </c>
      <c r="BJ49" s="339">
        <f t="shared" si="159"/>
        <v>4.65E-2</v>
      </c>
      <c r="BK49" s="342">
        <f t="shared" si="159"/>
        <v>4.65E-2</v>
      </c>
      <c r="BL49" s="339">
        <f t="shared" si="159"/>
        <v>4.65E-2</v>
      </c>
      <c r="BM49" s="339">
        <f t="shared" si="159"/>
        <v>4.65E-2</v>
      </c>
      <c r="BN49" s="339">
        <f t="shared" si="159"/>
        <v>4.65E-2</v>
      </c>
      <c r="BO49" s="339">
        <f t="shared" si="159"/>
        <v>4.65E-2</v>
      </c>
      <c r="BP49" s="339">
        <f t="shared" si="159"/>
        <v>4.65E-2</v>
      </c>
      <c r="BQ49" s="339">
        <f t="shared" si="159"/>
        <v>4.65E-2</v>
      </c>
      <c r="BR49" s="339">
        <f t="shared" si="159"/>
        <v>4.65E-2</v>
      </c>
      <c r="BS49" s="339">
        <f t="shared" si="159"/>
        <v>4.65E-2</v>
      </c>
      <c r="BT49" s="339">
        <f t="shared" si="159"/>
        <v>4.65E-2</v>
      </c>
      <c r="BU49" s="339">
        <f t="shared" si="159"/>
        <v>4.65E-2</v>
      </c>
      <c r="BV49" s="339">
        <f t="shared" si="159"/>
        <v>4.65E-2</v>
      </c>
      <c r="BW49" s="342">
        <f t="shared" si="159"/>
        <v>4.65E-2</v>
      </c>
      <c r="BX49" s="339">
        <f t="shared" si="159"/>
        <v>4.65E-2</v>
      </c>
      <c r="BY49" s="339">
        <f t="shared" si="159"/>
        <v>4.65E-2</v>
      </c>
      <c r="BZ49" s="339">
        <f t="shared" si="159"/>
        <v>4.65E-2</v>
      </c>
      <c r="CA49" s="339">
        <f t="shared" si="159"/>
        <v>4.65E-2</v>
      </c>
      <c r="CB49" s="339">
        <f t="shared" si="159"/>
        <v>4.65E-2</v>
      </c>
      <c r="CC49" s="339">
        <f t="shared" si="159"/>
        <v>4.65E-2</v>
      </c>
      <c r="CD49" s="339">
        <f t="shared" si="159"/>
        <v>4.65E-2</v>
      </c>
      <c r="CE49" s="339">
        <f t="shared" si="159"/>
        <v>4.65E-2</v>
      </c>
      <c r="CF49" s="339">
        <f t="shared" si="159"/>
        <v>4.65E-2</v>
      </c>
      <c r="CG49" s="339">
        <f t="shared" si="159"/>
        <v>4.65E-2</v>
      </c>
      <c r="CH49" s="339">
        <f t="shared" si="159"/>
        <v>4.65E-2</v>
      </c>
      <c r="CI49" s="342">
        <f t="shared" si="159"/>
        <v>4.65E-2</v>
      </c>
      <c r="CJ49" s="339">
        <f t="shared" si="159"/>
        <v>4.65E-2</v>
      </c>
      <c r="CK49" s="339">
        <f t="shared" si="159"/>
        <v>4.65E-2</v>
      </c>
      <c r="CL49" s="339">
        <f t="shared" si="159"/>
        <v>4.65E-2</v>
      </c>
      <c r="CM49" s="339">
        <f t="shared" si="159"/>
        <v>4.65E-2</v>
      </c>
      <c r="CN49" s="339">
        <f t="shared" si="159"/>
        <v>4.65E-2</v>
      </c>
      <c r="CO49" s="339">
        <f t="shared" si="159"/>
        <v>4.65E-2</v>
      </c>
      <c r="CP49" s="339">
        <f t="shared" si="159"/>
        <v>4.65E-2</v>
      </c>
      <c r="CQ49" s="339">
        <f t="shared" si="159"/>
        <v>4.65E-2</v>
      </c>
      <c r="CR49" s="339">
        <f t="shared" si="159"/>
        <v>4.65E-2</v>
      </c>
      <c r="CS49" s="339">
        <f t="shared" si="159"/>
        <v>4.65E-2</v>
      </c>
      <c r="CT49" s="339">
        <f t="shared" si="159"/>
        <v>4.65E-2</v>
      </c>
      <c r="CU49" s="342">
        <f t="shared" si="159"/>
        <v>4.65E-2</v>
      </c>
      <c r="CV49" s="339">
        <f t="shared" si="159"/>
        <v>4.65E-2</v>
      </c>
      <c r="CW49" s="339">
        <f t="shared" si="159"/>
        <v>4.65E-2</v>
      </c>
      <c r="CX49" s="339">
        <f t="shared" si="159"/>
        <v>4.65E-2</v>
      </c>
      <c r="CY49" s="339">
        <f t="shared" si="159"/>
        <v>4.65E-2</v>
      </c>
      <c r="CZ49" s="339">
        <f t="shared" si="159"/>
        <v>4.65E-2</v>
      </c>
      <c r="DA49" s="339">
        <f t="shared" si="159"/>
        <v>4.65E-2</v>
      </c>
      <c r="DB49" s="339">
        <f t="shared" si="159"/>
        <v>4.65E-2</v>
      </c>
      <c r="DC49" s="339">
        <f t="shared" si="159"/>
        <v>4.65E-2</v>
      </c>
      <c r="DD49" s="339">
        <f t="shared" si="159"/>
        <v>4.65E-2</v>
      </c>
      <c r="DE49" s="339">
        <f t="shared" si="159"/>
        <v>4.65E-2</v>
      </c>
      <c r="DF49" s="339">
        <f t="shared" ref="DF49:DG50" si="160">+DE49</f>
        <v>4.65E-2</v>
      </c>
      <c r="DG49" s="339">
        <f t="shared" si="160"/>
        <v>4.65E-2</v>
      </c>
    </row>
    <row r="50" spans="1:111" s="335" customFormat="1" x14ac:dyDescent="0.25">
      <c r="A50" s="333"/>
      <c r="B50" s="337" t="s">
        <v>489</v>
      </c>
      <c r="C50" s="334"/>
      <c r="W50" s="339">
        <f t="shared" si="156"/>
        <v>0</v>
      </c>
      <c r="X50" s="339">
        <f t="shared" si="156"/>
        <v>0</v>
      </c>
      <c r="Y50" s="339">
        <f t="shared" si="156"/>
        <v>0</v>
      </c>
      <c r="Z50" s="339">
        <f t="shared" si="156"/>
        <v>0</v>
      </c>
      <c r="AA50" s="339">
        <f t="shared" si="156"/>
        <v>0</v>
      </c>
      <c r="AB50" s="339">
        <v>4.4999999999999998E-2</v>
      </c>
      <c r="AC50" s="339">
        <v>4.4999999999999998E-2</v>
      </c>
      <c r="AD50" s="339">
        <v>4.4999999999999998E-2</v>
      </c>
      <c r="AE50" s="339">
        <v>4.4999999999999998E-2</v>
      </c>
      <c r="AF50" s="339">
        <v>4.4999999999999998E-2</v>
      </c>
      <c r="AG50" s="339">
        <v>4.4999999999999998E-2</v>
      </c>
      <c r="AH50" s="339">
        <v>4.4999999999999998E-2</v>
      </c>
      <c r="AI50" s="339">
        <v>4.4999999999999998E-2</v>
      </c>
      <c r="AJ50" s="339">
        <v>4.4999999999999998E-2</v>
      </c>
      <c r="AK50" s="339">
        <v>4.4999999999999998E-2</v>
      </c>
      <c r="AL50" s="339">
        <v>4.4999999999999998E-2</v>
      </c>
      <c r="AM50" s="339">
        <v>4.4999999999999998E-2</v>
      </c>
      <c r="AN50" s="339">
        <v>4.4999999999999998E-2</v>
      </c>
      <c r="AO50" s="339">
        <v>4.4999999999999998E-2</v>
      </c>
      <c r="AP50" s="339">
        <v>4.4999999999999998E-2</v>
      </c>
      <c r="AQ50" s="339">
        <v>4.4999999999999998E-2</v>
      </c>
      <c r="AR50" s="339">
        <v>4.4999999999999998E-2</v>
      </c>
      <c r="AS50" s="342">
        <v>4.4999999999999998E-2</v>
      </c>
      <c r="AT50" s="763">
        <v>4.4999999999999998E-2</v>
      </c>
      <c r="AU50" s="339">
        <f t="shared" ref="AU50:AY50" si="161">+AU47/(AU45+AU47)</f>
        <v>0.4</v>
      </c>
      <c r="AV50" s="339">
        <f t="shared" si="161"/>
        <v>0.4</v>
      </c>
      <c r="AW50" s="339">
        <f t="shared" si="161"/>
        <v>0.4</v>
      </c>
      <c r="AX50" s="339">
        <f t="shared" si="161"/>
        <v>0.4</v>
      </c>
      <c r="AY50" s="342">
        <f t="shared" si="161"/>
        <v>0.4</v>
      </c>
      <c r="AZ50" s="339">
        <f>+AY50</f>
        <v>0.4</v>
      </c>
      <c r="BA50" s="339">
        <f t="shared" si="159"/>
        <v>0.4</v>
      </c>
      <c r="BB50" s="339">
        <f t="shared" si="159"/>
        <v>0.4</v>
      </c>
      <c r="BC50" s="339">
        <f t="shared" si="159"/>
        <v>0.4</v>
      </c>
      <c r="BD50" s="339">
        <f t="shared" si="159"/>
        <v>0.4</v>
      </c>
      <c r="BE50" s="339">
        <f t="shared" si="159"/>
        <v>0.4</v>
      </c>
      <c r="BF50" s="339">
        <f t="shared" si="159"/>
        <v>0.4</v>
      </c>
      <c r="BG50" s="339">
        <f t="shared" si="159"/>
        <v>0.4</v>
      </c>
      <c r="BH50" s="339">
        <f t="shared" si="159"/>
        <v>0.4</v>
      </c>
      <c r="BI50" s="339">
        <f t="shared" si="159"/>
        <v>0.4</v>
      </c>
      <c r="BJ50" s="339">
        <f t="shared" si="159"/>
        <v>0.4</v>
      </c>
      <c r="BK50" s="342">
        <f t="shared" si="159"/>
        <v>0.4</v>
      </c>
      <c r="BL50" s="339">
        <f t="shared" si="159"/>
        <v>0.4</v>
      </c>
      <c r="BM50" s="339">
        <f t="shared" si="159"/>
        <v>0.4</v>
      </c>
      <c r="BN50" s="339">
        <f t="shared" si="159"/>
        <v>0.4</v>
      </c>
      <c r="BO50" s="339">
        <f t="shared" si="159"/>
        <v>0.4</v>
      </c>
      <c r="BP50" s="339">
        <f t="shared" si="159"/>
        <v>0.4</v>
      </c>
      <c r="BQ50" s="339">
        <f t="shared" si="159"/>
        <v>0.4</v>
      </c>
      <c r="BR50" s="339">
        <f t="shared" si="159"/>
        <v>0.4</v>
      </c>
      <c r="BS50" s="339">
        <f t="shared" si="159"/>
        <v>0.4</v>
      </c>
      <c r="BT50" s="339">
        <f t="shared" si="159"/>
        <v>0.4</v>
      </c>
      <c r="BU50" s="339">
        <f t="shared" si="159"/>
        <v>0.4</v>
      </c>
      <c r="BV50" s="339">
        <f t="shared" si="159"/>
        <v>0.4</v>
      </c>
      <c r="BW50" s="342">
        <f t="shared" si="159"/>
        <v>0.4</v>
      </c>
      <c r="BX50" s="339">
        <f t="shared" si="159"/>
        <v>0.4</v>
      </c>
      <c r="BY50" s="339">
        <f t="shared" si="159"/>
        <v>0.4</v>
      </c>
      <c r="BZ50" s="339">
        <f t="shared" si="159"/>
        <v>0.4</v>
      </c>
      <c r="CA50" s="339">
        <f t="shared" si="159"/>
        <v>0.4</v>
      </c>
      <c r="CB50" s="339">
        <f t="shared" si="159"/>
        <v>0.4</v>
      </c>
      <c r="CC50" s="339">
        <f t="shared" si="159"/>
        <v>0.4</v>
      </c>
      <c r="CD50" s="339">
        <f t="shared" si="159"/>
        <v>0.4</v>
      </c>
      <c r="CE50" s="339">
        <f t="shared" si="159"/>
        <v>0.4</v>
      </c>
      <c r="CF50" s="339">
        <f t="shared" si="159"/>
        <v>0.4</v>
      </c>
      <c r="CG50" s="339">
        <f t="shared" si="159"/>
        <v>0.4</v>
      </c>
      <c r="CH50" s="339">
        <f t="shared" si="159"/>
        <v>0.4</v>
      </c>
      <c r="CI50" s="342">
        <f t="shared" si="159"/>
        <v>0.4</v>
      </c>
      <c r="CJ50" s="339">
        <f t="shared" si="159"/>
        <v>0.4</v>
      </c>
      <c r="CK50" s="339">
        <f t="shared" si="159"/>
        <v>0.4</v>
      </c>
      <c r="CL50" s="339">
        <f t="shared" si="159"/>
        <v>0.4</v>
      </c>
      <c r="CM50" s="339">
        <f t="shared" si="159"/>
        <v>0.4</v>
      </c>
      <c r="CN50" s="339">
        <f t="shared" si="159"/>
        <v>0.4</v>
      </c>
      <c r="CO50" s="339">
        <f t="shared" si="159"/>
        <v>0.4</v>
      </c>
      <c r="CP50" s="339">
        <f t="shared" si="159"/>
        <v>0.4</v>
      </c>
      <c r="CQ50" s="339">
        <f t="shared" si="159"/>
        <v>0.4</v>
      </c>
      <c r="CR50" s="339">
        <f t="shared" si="159"/>
        <v>0.4</v>
      </c>
      <c r="CS50" s="339">
        <f t="shared" si="159"/>
        <v>0.4</v>
      </c>
      <c r="CT50" s="339">
        <f t="shared" si="159"/>
        <v>0.4</v>
      </c>
      <c r="CU50" s="342">
        <f t="shared" si="159"/>
        <v>0.4</v>
      </c>
      <c r="CV50" s="339">
        <f t="shared" si="159"/>
        <v>0.4</v>
      </c>
      <c r="CW50" s="339">
        <f t="shared" si="159"/>
        <v>0.4</v>
      </c>
      <c r="CX50" s="339">
        <f t="shared" si="159"/>
        <v>0.4</v>
      </c>
      <c r="CY50" s="339">
        <f t="shared" si="159"/>
        <v>0.4</v>
      </c>
      <c r="CZ50" s="339">
        <f t="shared" si="159"/>
        <v>0.4</v>
      </c>
      <c r="DA50" s="339">
        <f t="shared" si="159"/>
        <v>0.4</v>
      </c>
      <c r="DB50" s="339">
        <f t="shared" si="159"/>
        <v>0.4</v>
      </c>
      <c r="DC50" s="339">
        <f t="shared" si="159"/>
        <v>0.4</v>
      </c>
      <c r="DD50" s="339">
        <f t="shared" si="159"/>
        <v>0.4</v>
      </c>
      <c r="DE50" s="339">
        <f t="shared" si="159"/>
        <v>0.4</v>
      </c>
      <c r="DF50" s="339">
        <f t="shared" si="160"/>
        <v>0.4</v>
      </c>
      <c r="DG50" s="339">
        <f t="shared" si="160"/>
        <v>0.4</v>
      </c>
    </row>
    <row r="51" spans="1:111" x14ac:dyDescent="0.25">
      <c r="B51" s="1" t="s">
        <v>301</v>
      </c>
      <c r="C51" s="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155"/>
      <c r="AT51" s="743"/>
      <c r="AU51" s="91"/>
      <c r="AV51" s="91"/>
      <c r="AW51" s="91"/>
      <c r="AX51" s="91"/>
      <c r="AY51" s="155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155"/>
      <c r="BL51" s="91"/>
      <c r="BM51" s="91"/>
      <c r="BN51" s="91"/>
      <c r="BO51" s="91"/>
      <c r="BP51" s="91"/>
      <c r="BQ51" s="91"/>
      <c r="BR51" s="91"/>
      <c r="BS51" s="91"/>
      <c r="BT51" s="91"/>
      <c r="BU51" s="91"/>
      <c r="BV51" s="91"/>
      <c r="BW51" s="155"/>
      <c r="BX51" s="91"/>
      <c r="BY51" s="91"/>
      <c r="BZ51" s="91"/>
      <c r="CA51" s="91"/>
      <c r="CB51" s="91"/>
      <c r="CC51" s="91"/>
      <c r="CD51" s="91"/>
      <c r="CE51" s="91"/>
      <c r="CF51" s="91"/>
      <c r="CG51" s="91"/>
      <c r="CH51" s="91"/>
      <c r="CI51" s="155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155"/>
      <c r="CV51" s="91"/>
      <c r="CW51" s="91"/>
      <c r="CX51" s="91"/>
      <c r="CY51" s="91"/>
      <c r="CZ51" s="91"/>
      <c r="DA51" s="91"/>
      <c r="DB51" s="91"/>
      <c r="DC51" s="91"/>
      <c r="DD51" s="91"/>
      <c r="DE51" s="91"/>
      <c r="DF51" s="91"/>
      <c r="DG51" s="91"/>
    </row>
    <row r="52" spans="1:111" x14ac:dyDescent="0.25">
      <c r="B52" s="1" t="s">
        <v>302</v>
      </c>
      <c r="C52" s="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>
        <v>4.87</v>
      </c>
      <c r="Q52" s="91">
        <v>113.01</v>
      </c>
      <c r="R52" s="91"/>
      <c r="S52" s="91"/>
      <c r="T52" s="91">
        <v>51.95</v>
      </c>
      <c r="U52" s="91"/>
      <c r="V52" s="91"/>
      <c r="W52" s="91">
        <v>243.25</v>
      </c>
      <c r="X52" s="91"/>
      <c r="Y52" s="91"/>
      <c r="Z52" s="91">
        <v>262.35000000000002</v>
      </c>
      <c r="AA52" s="91">
        <v>142.91</v>
      </c>
      <c r="AB52" s="91"/>
      <c r="AC52" s="91">
        <v>211.98</v>
      </c>
      <c r="AD52" s="91"/>
      <c r="AE52" s="91"/>
      <c r="AF52" s="91">
        <v>80.08</v>
      </c>
      <c r="AG52" s="91">
        <v>171.82</v>
      </c>
      <c r="AH52" s="91"/>
      <c r="AI52" s="91"/>
      <c r="AJ52" s="91">
        <v>468.73</v>
      </c>
      <c r="AK52" s="91"/>
      <c r="AL52" s="91"/>
      <c r="AM52" s="91"/>
      <c r="AN52" s="91"/>
      <c r="AO52" s="91"/>
      <c r="AP52" s="91">
        <v>0</v>
      </c>
      <c r="AQ52" s="91">
        <v>0</v>
      </c>
      <c r="AR52" s="91">
        <v>0</v>
      </c>
      <c r="AS52" s="155">
        <v>0</v>
      </c>
      <c r="AT52" s="743">
        <f>AVERAGE(AN52:AS52)</f>
        <v>0</v>
      </c>
      <c r="AU52" s="91">
        <f t="shared" si="140"/>
        <v>0</v>
      </c>
      <c r="AV52" s="91">
        <f t="shared" si="140"/>
        <v>0</v>
      </c>
      <c r="AW52" s="91">
        <f t="shared" si="140"/>
        <v>0</v>
      </c>
      <c r="AX52" s="91">
        <f t="shared" si="140"/>
        <v>0</v>
      </c>
      <c r="AY52" s="155">
        <f t="shared" si="140"/>
        <v>0</v>
      </c>
      <c r="AZ52" s="346">
        <f>AY52*1.5</f>
        <v>0</v>
      </c>
      <c r="BA52" s="91">
        <f t="shared" si="140"/>
        <v>0</v>
      </c>
      <c r="BB52" s="91">
        <f t="shared" si="140"/>
        <v>0</v>
      </c>
      <c r="BC52" s="91">
        <f t="shared" si="140"/>
        <v>0</v>
      </c>
      <c r="BD52" s="91">
        <f t="shared" si="140"/>
        <v>0</v>
      </c>
      <c r="BE52" s="91">
        <f t="shared" si="140"/>
        <v>0</v>
      </c>
      <c r="BF52" s="91">
        <f t="shared" si="140"/>
        <v>0</v>
      </c>
      <c r="BG52" s="91">
        <f t="shared" si="140"/>
        <v>0</v>
      </c>
      <c r="BH52" s="91">
        <f t="shared" si="140"/>
        <v>0</v>
      </c>
      <c r="BI52" s="91">
        <f t="shared" si="140"/>
        <v>0</v>
      </c>
      <c r="BJ52" s="91">
        <f t="shared" si="140"/>
        <v>0</v>
      </c>
      <c r="BK52" s="155">
        <f t="shared" si="140"/>
        <v>0</v>
      </c>
      <c r="BL52" s="346">
        <f>BK52*1.5</f>
        <v>0</v>
      </c>
      <c r="BM52" s="91">
        <f t="shared" si="140"/>
        <v>0</v>
      </c>
      <c r="BN52" s="91">
        <f t="shared" si="140"/>
        <v>0</v>
      </c>
      <c r="BO52" s="91">
        <f t="shared" si="140"/>
        <v>0</v>
      </c>
      <c r="BP52" s="91">
        <f t="shared" si="140"/>
        <v>0</v>
      </c>
      <c r="BQ52" s="91">
        <f t="shared" si="140"/>
        <v>0</v>
      </c>
      <c r="BR52" s="91">
        <f t="shared" si="140"/>
        <v>0</v>
      </c>
      <c r="BS52" s="91">
        <f t="shared" si="140"/>
        <v>0</v>
      </c>
      <c r="BT52" s="91">
        <f t="shared" si="140"/>
        <v>0</v>
      </c>
      <c r="BU52" s="91">
        <f t="shared" si="140"/>
        <v>0</v>
      </c>
      <c r="BV52" s="91">
        <f t="shared" si="140"/>
        <v>0</v>
      </c>
      <c r="BW52" s="155">
        <f t="shared" si="140"/>
        <v>0</v>
      </c>
      <c r="BX52" s="346">
        <f>BW52*1.5</f>
        <v>0</v>
      </c>
      <c r="BY52" s="91">
        <f t="shared" si="140"/>
        <v>0</v>
      </c>
      <c r="BZ52" s="91">
        <f t="shared" si="140"/>
        <v>0</v>
      </c>
      <c r="CA52" s="91">
        <f t="shared" si="140"/>
        <v>0</v>
      </c>
      <c r="CB52" s="91">
        <f t="shared" si="141"/>
        <v>0</v>
      </c>
      <c r="CC52" s="91">
        <f t="shared" si="141"/>
        <v>0</v>
      </c>
      <c r="CD52" s="91">
        <f t="shared" si="141"/>
        <v>0</v>
      </c>
      <c r="CE52" s="91">
        <f t="shared" si="141"/>
        <v>0</v>
      </c>
      <c r="CF52" s="91">
        <f t="shared" si="141"/>
        <v>0</v>
      </c>
      <c r="CG52" s="91">
        <f t="shared" si="141"/>
        <v>0</v>
      </c>
      <c r="CH52" s="91">
        <f t="shared" si="141"/>
        <v>0</v>
      </c>
      <c r="CI52" s="155">
        <f t="shared" si="141"/>
        <v>0</v>
      </c>
      <c r="CJ52" s="346">
        <f>CI52*1.5</f>
        <v>0</v>
      </c>
      <c r="CK52" s="91">
        <f t="shared" si="141"/>
        <v>0</v>
      </c>
      <c r="CL52" s="91">
        <f t="shared" si="141"/>
        <v>0</v>
      </c>
      <c r="CM52" s="91">
        <f t="shared" si="141"/>
        <v>0</v>
      </c>
      <c r="CN52" s="91">
        <f t="shared" si="141"/>
        <v>0</v>
      </c>
      <c r="CO52" s="91">
        <f t="shared" si="141"/>
        <v>0</v>
      </c>
      <c r="CP52" s="91">
        <f t="shared" si="141"/>
        <v>0</v>
      </c>
      <c r="CQ52" s="91">
        <f t="shared" si="141"/>
        <v>0</v>
      </c>
      <c r="CR52" s="91">
        <f t="shared" si="141"/>
        <v>0</v>
      </c>
      <c r="CS52" s="91">
        <f t="shared" si="141"/>
        <v>0</v>
      </c>
      <c r="CT52" s="91">
        <f t="shared" si="141"/>
        <v>0</v>
      </c>
      <c r="CU52" s="155">
        <f t="shared" si="141"/>
        <v>0</v>
      </c>
      <c r="CV52" s="346">
        <f>CU52*1.5</f>
        <v>0</v>
      </c>
      <c r="CW52" s="91">
        <f t="shared" si="141"/>
        <v>0</v>
      </c>
      <c r="CX52" s="91">
        <f t="shared" si="141"/>
        <v>0</v>
      </c>
      <c r="CY52" s="91">
        <f t="shared" si="141"/>
        <v>0</v>
      </c>
      <c r="CZ52" s="91">
        <f t="shared" si="141"/>
        <v>0</v>
      </c>
      <c r="DA52" s="91">
        <f t="shared" si="141"/>
        <v>0</v>
      </c>
      <c r="DB52" s="91">
        <f t="shared" si="141"/>
        <v>0</v>
      </c>
      <c r="DC52" s="91">
        <f t="shared" si="141"/>
        <v>0</v>
      </c>
      <c r="DD52" s="91">
        <f t="shared" si="141"/>
        <v>0</v>
      </c>
      <c r="DE52" s="91">
        <f t="shared" si="141"/>
        <v>0</v>
      </c>
      <c r="DF52" s="91">
        <f t="shared" si="141"/>
        <v>0</v>
      </c>
      <c r="DG52" s="91">
        <f t="shared" si="141"/>
        <v>0</v>
      </c>
    </row>
    <row r="53" spans="1:111" s="15" customFormat="1" x14ac:dyDescent="0.25">
      <c r="A53"/>
      <c r="B53" s="1" t="s">
        <v>303</v>
      </c>
      <c r="C53" s="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>
        <v>279.3</v>
      </c>
      <c r="P53" s="91"/>
      <c r="Q53" s="91"/>
      <c r="R53" s="91"/>
      <c r="S53" s="91">
        <v>23.99</v>
      </c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>
        <v>26.8</v>
      </c>
      <c r="AF53" s="91"/>
      <c r="AG53" s="91"/>
      <c r="AH53" s="91"/>
      <c r="AI53" s="91"/>
      <c r="AJ53" s="91"/>
      <c r="AK53" s="91"/>
      <c r="AL53" s="91">
        <v>0</v>
      </c>
      <c r="AM53" s="91">
        <v>51.94</v>
      </c>
      <c r="AN53" s="91"/>
      <c r="AO53" s="91">
        <v>38.5</v>
      </c>
      <c r="AP53" s="91">
        <v>32.21</v>
      </c>
      <c r="AQ53" s="91">
        <v>867.33</v>
      </c>
      <c r="AR53" s="91">
        <v>35.79</v>
      </c>
      <c r="AS53" s="155">
        <v>17.62</v>
      </c>
      <c r="AT53" s="743">
        <f>AVERAGE(AN53:AS53)</f>
        <v>198.29000000000002</v>
      </c>
      <c r="AU53" s="91">
        <f t="shared" ref="AU53:CA53" si="162">AT53</f>
        <v>198.29000000000002</v>
      </c>
      <c r="AV53" s="91">
        <f t="shared" si="162"/>
        <v>198.29000000000002</v>
      </c>
      <c r="AW53" s="91">
        <f t="shared" si="162"/>
        <v>198.29000000000002</v>
      </c>
      <c r="AX53" s="91">
        <f t="shared" si="162"/>
        <v>198.29000000000002</v>
      </c>
      <c r="AY53" s="155">
        <f t="shared" si="162"/>
        <v>198.29000000000002</v>
      </c>
      <c r="AZ53" s="346">
        <f t="shared" ref="AZ53:AZ55" si="163">AY53*1.5</f>
        <v>297.43500000000006</v>
      </c>
      <c r="BA53" s="91">
        <f t="shared" si="162"/>
        <v>297.43500000000006</v>
      </c>
      <c r="BB53" s="91">
        <f t="shared" si="162"/>
        <v>297.43500000000006</v>
      </c>
      <c r="BC53" s="91">
        <f t="shared" si="162"/>
        <v>297.43500000000006</v>
      </c>
      <c r="BD53" s="91">
        <f t="shared" si="162"/>
        <v>297.43500000000006</v>
      </c>
      <c r="BE53" s="91">
        <f t="shared" si="162"/>
        <v>297.43500000000006</v>
      </c>
      <c r="BF53" s="91">
        <f t="shared" si="162"/>
        <v>297.43500000000006</v>
      </c>
      <c r="BG53" s="91">
        <f t="shared" si="162"/>
        <v>297.43500000000006</v>
      </c>
      <c r="BH53" s="91">
        <f t="shared" si="162"/>
        <v>297.43500000000006</v>
      </c>
      <c r="BI53" s="91">
        <f t="shared" si="162"/>
        <v>297.43500000000006</v>
      </c>
      <c r="BJ53" s="91">
        <f t="shared" si="162"/>
        <v>297.43500000000006</v>
      </c>
      <c r="BK53" s="155">
        <f t="shared" si="162"/>
        <v>297.43500000000006</v>
      </c>
      <c r="BL53" s="346">
        <f t="shared" ref="BL53:BL55" si="164">BK53*1.5</f>
        <v>446.15250000000009</v>
      </c>
      <c r="BM53" s="91">
        <f t="shared" si="162"/>
        <v>446.15250000000009</v>
      </c>
      <c r="BN53" s="91">
        <f t="shared" si="162"/>
        <v>446.15250000000009</v>
      </c>
      <c r="BO53" s="91">
        <f t="shared" si="162"/>
        <v>446.15250000000009</v>
      </c>
      <c r="BP53" s="91">
        <f t="shared" si="162"/>
        <v>446.15250000000009</v>
      </c>
      <c r="BQ53" s="91">
        <f t="shared" si="162"/>
        <v>446.15250000000009</v>
      </c>
      <c r="BR53" s="91">
        <f t="shared" si="162"/>
        <v>446.15250000000009</v>
      </c>
      <c r="BS53" s="91">
        <f t="shared" si="162"/>
        <v>446.15250000000009</v>
      </c>
      <c r="BT53" s="91">
        <f t="shared" si="162"/>
        <v>446.15250000000009</v>
      </c>
      <c r="BU53" s="91">
        <f t="shared" si="162"/>
        <v>446.15250000000009</v>
      </c>
      <c r="BV53" s="91">
        <f t="shared" si="162"/>
        <v>446.15250000000009</v>
      </c>
      <c r="BW53" s="155">
        <f t="shared" si="162"/>
        <v>446.15250000000009</v>
      </c>
      <c r="BX53" s="346">
        <f t="shared" ref="BX53:BX55" si="165">BW53*1.5</f>
        <v>669.2287500000001</v>
      </c>
      <c r="BY53" s="91">
        <f t="shared" si="162"/>
        <v>669.2287500000001</v>
      </c>
      <c r="BZ53" s="91">
        <f t="shared" si="162"/>
        <v>669.2287500000001</v>
      </c>
      <c r="CA53" s="91">
        <f t="shared" si="162"/>
        <v>669.2287500000001</v>
      </c>
      <c r="CB53" s="91">
        <f t="shared" ref="CB53:DG53" si="166">CA53</f>
        <v>669.2287500000001</v>
      </c>
      <c r="CC53" s="91">
        <f t="shared" si="166"/>
        <v>669.2287500000001</v>
      </c>
      <c r="CD53" s="91">
        <f t="shared" si="166"/>
        <v>669.2287500000001</v>
      </c>
      <c r="CE53" s="91">
        <f t="shared" si="166"/>
        <v>669.2287500000001</v>
      </c>
      <c r="CF53" s="91">
        <f t="shared" si="166"/>
        <v>669.2287500000001</v>
      </c>
      <c r="CG53" s="91">
        <f t="shared" si="166"/>
        <v>669.2287500000001</v>
      </c>
      <c r="CH53" s="91">
        <f t="shared" si="166"/>
        <v>669.2287500000001</v>
      </c>
      <c r="CI53" s="155">
        <f t="shared" si="166"/>
        <v>669.2287500000001</v>
      </c>
      <c r="CJ53" s="346">
        <f t="shared" ref="CJ53:CJ55" si="167">CI53*1.5</f>
        <v>1003.8431250000001</v>
      </c>
      <c r="CK53" s="91">
        <f t="shared" si="166"/>
        <v>1003.8431250000001</v>
      </c>
      <c r="CL53" s="91">
        <f t="shared" si="166"/>
        <v>1003.8431250000001</v>
      </c>
      <c r="CM53" s="91">
        <f t="shared" si="166"/>
        <v>1003.8431250000001</v>
      </c>
      <c r="CN53" s="91">
        <f t="shared" si="166"/>
        <v>1003.8431250000001</v>
      </c>
      <c r="CO53" s="91">
        <f t="shared" si="166"/>
        <v>1003.8431250000001</v>
      </c>
      <c r="CP53" s="91">
        <f t="shared" si="166"/>
        <v>1003.8431250000001</v>
      </c>
      <c r="CQ53" s="91">
        <f t="shared" si="166"/>
        <v>1003.8431250000001</v>
      </c>
      <c r="CR53" s="91">
        <f t="shared" si="166"/>
        <v>1003.8431250000001</v>
      </c>
      <c r="CS53" s="91">
        <f t="shared" si="166"/>
        <v>1003.8431250000001</v>
      </c>
      <c r="CT53" s="91">
        <f t="shared" si="166"/>
        <v>1003.8431250000001</v>
      </c>
      <c r="CU53" s="155">
        <f t="shared" si="166"/>
        <v>1003.8431250000001</v>
      </c>
      <c r="CV53" s="346">
        <f t="shared" ref="CV53:CV55" si="168">CU53*1.5</f>
        <v>1505.7646875</v>
      </c>
      <c r="CW53" s="91">
        <f t="shared" si="166"/>
        <v>1505.7646875</v>
      </c>
      <c r="CX53" s="91">
        <f t="shared" si="166"/>
        <v>1505.7646875</v>
      </c>
      <c r="CY53" s="91">
        <f t="shared" si="166"/>
        <v>1505.7646875</v>
      </c>
      <c r="CZ53" s="91">
        <f t="shared" si="166"/>
        <v>1505.7646875</v>
      </c>
      <c r="DA53" s="91">
        <f t="shared" si="166"/>
        <v>1505.7646875</v>
      </c>
      <c r="DB53" s="91">
        <f t="shared" si="166"/>
        <v>1505.7646875</v>
      </c>
      <c r="DC53" s="91">
        <f t="shared" si="166"/>
        <v>1505.7646875</v>
      </c>
      <c r="DD53" s="91">
        <f t="shared" si="166"/>
        <v>1505.7646875</v>
      </c>
      <c r="DE53" s="91">
        <f t="shared" si="166"/>
        <v>1505.7646875</v>
      </c>
      <c r="DF53" s="91">
        <f t="shared" si="166"/>
        <v>1505.7646875</v>
      </c>
      <c r="DG53" s="91">
        <f t="shared" si="166"/>
        <v>1505.7646875</v>
      </c>
    </row>
    <row r="54" spans="1:111" s="15" customFormat="1" x14ac:dyDescent="0.25">
      <c r="A54"/>
      <c r="B54" s="1" t="s">
        <v>304</v>
      </c>
      <c r="C54" s="1"/>
      <c r="D54" s="91"/>
      <c r="E54" s="91"/>
      <c r="F54" s="91"/>
      <c r="G54" s="91"/>
      <c r="H54" s="91"/>
      <c r="I54" s="91"/>
      <c r="J54" s="91"/>
      <c r="K54" s="91"/>
      <c r="L54" s="91"/>
      <c r="M54" s="91">
        <v>50.3</v>
      </c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>
        <v>324.25</v>
      </c>
      <c r="Y54" s="91"/>
      <c r="Z54" s="91"/>
      <c r="AA54" s="91"/>
      <c r="AB54" s="91"/>
      <c r="AC54" s="91"/>
      <c r="AD54" s="91"/>
      <c r="AE54" s="91"/>
      <c r="AF54" s="91">
        <v>0</v>
      </c>
      <c r="AG54" s="91">
        <v>0</v>
      </c>
      <c r="AH54" s="91">
        <v>0</v>
      </c>
      <c r="AI54" s="91">
        <v>0</v>
      </c>
      <c r="AJ54" s="91">
        <v>0</v>
      </c>
      <c r="AK54" s="91">
        <v>0</v>
      </c>
      <c r="AL54" s="91">
        <v>0</v>
      </c>
      <c r="AM54" s="91"/>
      <c r="AN54" s="91">
        <v>264</v>
      </c>
      <c r="AO54" s="91">
        <v>21.11</v>
      </c>
      <c r="AP54" s="91">
        <v>15.05</v>
      </c>
      <c r="AQ54" s="91"/>
      <c r="AR54" s="91"/>
      <c r="AS54" s="155"/>
      <c r="AT54" s="743">
        <f>+AS54</f>
        <v>0</v>
      </c>
      <c r="AU54" s="91">
        <f t="shared" ref="AU54:CI54" si="169">+AT54</f>
        <v>0</v>
      </c>
      <c r="AV54" s="91">
        <f t="shared" si="169"/>
        <v>0</v>
      </c>
      <c r="AW54" s="91">
        <f t="shared" si="169"/>
        <v>0</v>
      </c>
      <c r="AX54" s="91">
        <f t="shared" si="169"/>
        <v>0</v>
      </c>
      <c r="AY54" s="155">
        <f t="shared" si="169"/>
        <v>0</v>
      </c>
      <c r="AZ54" s="346">
        <f t="shared" si="163"/>
        <v>0</v>
      </c>
      <c r="BA54" s="91">
        <f t="shared" si="169"/>
        <v>0</v>
      </c>
      <c r="BB54" s="91">
        <f t="shared" si="169"/>
        <v>0</v>
      </c>
      <c r="BC54" s="91">
        <f t="shared" si="169"/>
        <v>0</v>
      </c>
      <c r="BD54" s="91">
        <f t="shared" si="169"/>
        <v>0</v>
      </c>
      <c r="BE54" s="91">
        <f t="shared" si="169"/>
        <v>0</v>
      </c>
      <c r="BF54" s="91">
        <f t="shared" si="169"/>
        <v>0</v>
      </c>
      <c r="BG54" s="91">
        <f t="shared" si="169"/>
        <v>0</v>
      </c>
      <c r="BH54" s="91">
        <f t="shared" si="169"/>
        <v>0</v>
      </c>
      <c r="BI54" s="91">
        <f t="shared" si="169"/>
        <v>0</v>
      </c>
      <c r="BJ54" s="91">
        <f t="shared" si="169"/>
        <v>0</v>
      </c>
      <c r="BK54" s="155">
        <f t="shared" si="169"/>
        <v>0</v>
      </c>
      <c r="BL54" s="346">
        <f t="shared" si="164"/>
        <v>0</v>
      </c>
      <c r="BM54" s="91">
        <f t="shared" si="169"/>
        <v>0</v>
      </c>
      <c r="BN54" s="91">
        <f t="shared" si="169"/>
        <v>0</v>
      </c>
      <c r="BO54" s="91">
        <f t="shared" si="169"/>
        <v>0</v>
      </c>
      <c r="BP54" s="91">
        <f t="shared" si="169"/>
        <v>0</v>
      </c>
      <c r="BQ54" s="91">
        <f t="shared" si="169"/>
        <v>0</v>
      </c>
      <c r="BR54" s="91">
        <f t="shared" si="169"/>
        <v>0</v>
      </c>
      <c r="BS54" s="91">
        <f t="shared" si="169"/>
        <v>0</v>
      </c>
      <c r="BT54" s="91">
        <f t="shared" si="169"/>
        <v>0</v>
      </c>
      <c r="BU54" s="91">
        <f t="shared" si="169"/>
        <v>0</v>
      </c>
      <c r="BV54" s="91">
        <f t="shared" si="169"/>
        <v>0</v>
      </c>
      <c r="BW54" s="155">
        <f t="shared" si="169"/>
        <v>0</v>
      </c>
      <c r="BX54" s="346">
        <f t="shared" si="165"/>
        <v>0</v>
      </c>
      <c r="BY54" s="91">
        <f t="shared" si="169"/>
        <v>0</v>
      </c>
      <c r="BZ54" s="91">
        <f t="shared" si="169"/>
        <v>0</v>
      </c>
      <c r="CA54" s="91">
        <f t="shared" si="169"/>
        <v>0</v>
      </c>
      <c r="CB54" s="91">
        <f t="shared" si="169"/>
        <v>0</v>
      </c>
      <c r="CC54" s="91">
        <f t="shared" si="169"/>
        <v>0</v>
      </c>
      <c r="CD54" s="91">
        <f t="shared" si="169"/>
        <v>0</v>
      </c>
      <c r="CE54" s="91">
        <f t="shared" si="169"/>
        <v>0</v>
      </c>
      <c r="CF54" s="91">
        <f t="shared" si="169"/>
        <v>0</v>
      </c>
      <c r="CG54" s="91">
        <f t="shared" si="169"/>
        <v>0</v>
      </c>
      <c r="CH54" s="91">
        <f t="shared" si="169"/>
        <v>0</v>
      </c>
      <c r="CI54" s="155">
        <f t="shared" si="169"/>
        <v>0</v>
      </c>
      <c r="CJ54" s="346">
        <f t="shared" si="167"/>
        <v>0</v>
      </c>
      <c r="CK54" s="91">
        <f t="shared" ref="CK54:DG54" si="170">+CJ54</f>
        <v>0</v>
      </c>
      <c r="CL54" s="91">
        <f t="shared" si="170"/>
        <v>0</v>
      </c>
      <c r="CM54" s="91">
        <f t="shared" si="170"/>
        <v>0</v>
      </c>
      <c r="CN54" s="91">
        <f t="shared" si="170"/>
        <v>0</v>
      </c>
      <c r="CO54" s="91">
        <f t="shared" si="170"/>
        <v>0</v>
      </c>
      <c r="CP54" s="91">
        <f t="shared" si="170"/>
        <v>0</v>
      </c>
      <c r="CQ54" s="91">
        <f t="shared" si="170"/>
        <v>0</v>
      </c>
      <c r="CR54" s="91">
        <f t="shared" si="170"/>
        <v>0</v>
      </c>
      <c r="CS54" s="91">
        <f t="shared" si="170"/>
        <v>0</v>
      </c>
      <c r="CT54" s="91">
        <f t="shared" si="170"/>
        <v>0</v>
      </c>
      <c r="CU54" s="155">
        <f t="shared" si="170"/>
        <v>0</v>
      </c>
      <c r="CV54" s="346">
        <f t="shared" si="168"/>
        <v>0</v>
      </c>
      <c r="CW54" s="91">
        <f t="shared" si="170"/>
        <v>0</v>
      </c>
      <c r="CX54" s="91">
        <f t="shared" si="170"/>
        <v>0</v>
      </c>
      <c r="CY54" s="91">
        <f t="shared" si="170"/>
        <v>0</v>
      </c>
      <c r="CZ54" s="91">
        <f t="shared" si="170"/>
        <v>0</v>
      </c>
      <c r="DA54" s="91">
        <f t="shared" si="170"/>
        <v>0</v>
      </c>
      <c r="DB54" s="91">
        <f t="shared" si="170"/>
        <v>0</v>
      </c>
      <c r="DC54" s="91">
        <f t="shared" si="170"/>
        <v>0</v>
      </c>
      <c r="DD54" s="91">
        <f t="shared" si="170"/>
        <v>0</v>
      </c>
      <c r="DE54" s="91">
        <f t="shared" si="170"/>
        <v>0</v>
      </c>
      <c r="DF54" s="91">
        <f t="shared" si="170"/>
        <v>0</v>
      </c>
      <c r="DG54" s="91">
        <f t="shared" si="170"/>
        <v>0</v>
      </c>
    </row>
    <row r="55" spans="1:111" s="15" customFormat="1" x14ac:dyDescent="0.25">
      <c r="A55"/>
      <c r="B55" s="1" t="s">
        <v>305</v>
      </c>
      <c r="C55" s="1"/>
      <c r="D55" s="91"/>
      <c r="E55" s="91">
        <v>12</v>
      </c>
      <c r="F55" s="91">
        <v>11.83</v>
      </c>
      <c r="G55" s="91">
        <v>12</v>
      </c>
      <c r="H55" s="91">
        <v>132</v>
      </c>
      <c r="I55" s="91">
        <v>242</v>
      </c>
      <c r="J55" s="91">
        <v>12</v>
      </c>
      <c r="K55" s="91">
        <v>211</v>
      </c>
      <c r="L55" s="91">
        <v>211</v>
      </c>
      <c r="M55" s="91">
        <v>211</v>
      </c>
      <c r="N55" s="91">
        <v>211</v>
      </c>
      <c r="O55" s="91">
        <v>226.5</v>
      </c>
      <c r="P55" s="91">
        <v>255.56</v>
      </c>
      <c r="Q55" s="91">
        <v>222.1</v>
      </c>
      <c r="R55" s="91">
        <v>299.5</v>
      </c>
      <c r="S55" s="91">
        <v>272</v>
      </c>
      <c r="T55" s="91">
        <v>756.91</v>
      </c>
      <c r="U55" s="91">
        <v>272</v>
      </c>
      <c r="V55" s="91">
        <v>272</v>
      </c>
      <c r="W55" s="91">
        <v>289</v>
      </c>
      <c r="X55" s="91">
        <v>395.49</v>
      </c>
      <c r="Y55" s="91">
        <v>331</v>
      </c>
      <c r="Z55" s="91">
        <v>307</v>
      </c>
      <c r="AA55" s="91">
        <v>307</v>
      </c>
      <c r="AB55" s="91">
        <v>321.97000000000003</v>
      </c>
      <c r="AC55" s="91">
        <v>769</v>
      </c>
      <c r="AD55" s="91">
        <v>307</v>
      </c>
      <c r="AE55" s="91">
        <v>307</v>
      </c>
      <c r="AF55" s="91">
        <v>833.34</v>
      </c>
      <c r="AG55" s="91">
        <v>1006.94</v>
      </c>
      <c r="AH55" s="91">
        <v>319</v>
      </c>
      <c r="AI55" s="91">
        <v>359.36</v>
      </c>
      <c r="AJ55" s="91">
        <v>328</v>
      </c>
      <c r="AK55" s="91">
        <v>328</v>
      </c>
      <c r="AL55" s="91">
        <v>334</v>
      </c>
      <c r="AM55" s="91">
        <v>235</v>
      </c>
      <c r="AN55" s="91">
        <v>366.92</v>
      </c>
      <c r="AO55" s="91">
        <v>986.75</v>
      </c>
      <c r="AP55" s="91">
        <v>612.64</v>
      </c>
      <c r="AQ55" s="91">
        <v>731.12</v>
      </c>
      <c r="AR55" s="91">
        <v>756.36</v>
      </c>
      <c r="AS55" s="155">
        <v>950.99</v>
      </c>
      <c r="AT55" s="743">
        <f>AVERAGE(AN55:AS55)</f>
        <v>734.13</v>
      </c>
      <c r="AU55" s="91">
        <f t="shared" ref="AU55:CK55" si="171">+AT55</f>
        <v>734.13</v>
      </c>
      <c r="AV55" s="91">
        <f t="shared" si="171"/>
        <v>734.13</v>
      </c>
      <c r="AW55" s="91">
        <f t="shared" si="171"/>
        <v>734.13</v>
      </c>
      <c r="AX55" s="91">
        <f t="shared" si="171"/>
        <v>734.13</v>
      </c>
      <c r="AY55" s="155">
        <f t="shared" si="171"/>
        <v>734.13</v>
      </c>
      <c r="AZ55" s="346">
        <f t="shared" si="163"/>
        <v>1101.1949999999999</v>
      </c>
      <c r="BA55" s="91">
        <f t="shared" si="171"/>
        <v>1101.1949999999999</v>
      </c>
      <c r="BB55" s="91">
        <f t="shared" si="171"/>
        <v>1101.1949999999999</v>
      </c>
      <c r="BC55" s="91">
        <f t="shared" si="171"/>
        <v>1101.1949999999999</v>
      </c>
      <c r="BD55" s="91">
        <f t="shared" si="171"/>
        <v>1101.1949999999999</v>
      </c>
      <c r="BE55" s="91">
        <f t="shared" si="171"/>
        <v>1101.1949999999999</v>
      </c>
      <c r="BF55" s="91">
        <f t="shared" si="171"/>
        <v>1101.1949999999999</v>
      </c>
      <c r="BG55" s="91">
        <f t="shared" si="171"/>
        <v>1101.1949999999999</v>
      </c>
      <c r="BH55" s="91">
        <f t="shared" si="171"/>
        <v>1101.1949999999999</v>
      </c>
      <c r="BI55" s="91">
        <f t="shared" si="171"/>
        <v>1101.1949999999999</v>
      </c>
      <c r="BJ55" s="91">
        <f t="shared" si="171"/>
        <v>1101.1949999999999</v>
      </c>
      <c r="BK55" s="155">
        <f t="shared" si="171"/>
        <v>1101.1949999999999</v>
      </c>
      <c r="BL55" s="346">
        <f t="shared" si="164"/>
        <v>1651.7925</v>
      </c>
      <c r="BM55" s="91">
        <f t="shared" si="171"/>
        <v>1651.7925</v>
      </c>
      <c r="BN55" s="91">
        <f t="shared" si="171"/>
        <v>1651.7925</v>
      </c>
      <c r="BO55" s="91">
        <f t="shared" si="171"/>
        <v>1651.7925</v>
      </c>
      <c r="BP55" s="91">
        <f t="shared" si="171"/>
        <v>1651.7925</v>
      </c>
      <c r="BQ55" s="91">
        <f t="shared" si="171"/>
        <v>1651.7925</v>
      </c>
      <c r="BR55" s="91">
        <f t="shared" si="171"/>
        <v>1651.7925</v>
      </c>
      <c r="BS55" s="91">
        <f t="shared" si="171"/>
        <v>1651.7925</v>
      </c>
      <c r="BT55" s="91">
        <f t="shared" si="171"/>
        <v>1651.7925</v>
      </c>
      <c r="BU55" s="91">
        <f t="shared" si="171"/>
        <v>1651.7925</v>
      </c>
      <c r="BV55" s="91">
        <f t="shared" si="171"/>
        <v>1651.7925</v>
      </c>
      <c r="BW55" s="155">
        <f t="shared" si="171"/>
        <v>1651.7925</v>
      </c>
      <c r="BX55" s="346">
        <f t="shared" si="165"/>
        <v>2477.6887500000003</v>
      </c>
      <c r="BY55" s="91">
        <f t="shared" si="171"/>
        <v>2477.6887500000003</v>
      </c>
      <c r="BZ55" s="91">
        <f t="shared" si="171"/>
        <v>2477.6887500000003</v>
      </c>
      <c r="CA55" s="91">
        <f t="shared" si="171"/>
        <v>2477.6887500000003</v>
      </c>
      <c r="CB55" s="91">
        <f t="shared" si="171"/>
        <v>2477.6887500000003</v>
      </c>
      <c r="CC55" s="91">
        <f t="shared" si="171"/>
        <v>2477.6887500000003</v>
      </c>
      <c r="CD55" s="91">
        <f t="shared" si="171"/>
        <v>2477.6887500000003</v>
      </c>
      <c r="CE55" s="91">
        <f t="shared" si="171"/>
        <v>2477.6887500000003</v>
      </c>
      <c r="CF55" s="91">
        <f t="shared" si="171"/>
        <v>2477.6887500000003</v>
      </c>
      <c r="CG55" s="91">
        <f t="shared" si="171"/>
        <v>2477.6887500000003</v>
      </c>
      <c r="CH55" s="91">
        <f t="shared" si="171"/>
        <v>2477.6887500000003</v>
      </c>
      <c r="CI55" s="155">
        <f t="shared" si="171"/>
        <v>2477.6887500000003</v>
      </c>
      <c r="CJ55" s="346">
        <f t="shared" si="167"/>
        <v>3716.5331250000004</v>
      </c>
      <c r="CK55" s="91">
        <f t="shared" si="171"/>
        <v>3716.5331250000004</v>
      </c>
      <c r="CL55" s="91">
        <f t="shared" ref="CL55:DG55" si="172">+CK55</f>
        <v>3716.5331250000004</v>
      </c>
      <c r="CM55" s="91">
        <f t="shared" si="172"/>
        <v>3716.5331250000004</v>
      </c>
      <c r="CN55" s="91">
        <f t="shared" si="172"/>
        <v>3716.5331250000004</v>
      </c>
      <c r="CO55" s="91">
        <f t="shared" si="172"/>
        <v>3716.5331250000004</v>
      </c>
      <c r="CP55" s="91">
        <f t="shared" si="172"/>
        <v>3716.5331250000004</v>
      </c>
      <c r="CQ55" s="91">
        <f t="shared" si="172"/>
        <v>3716.5331250000004</v>
      </c>
      <c r="CR55" s="91">
        <f t="shared" si="172"/>
        <v>3716.5331250000004</v>
      </c>
      <c r="CS55" s="91">
        <f t="shared" si="172"/>
        <v>3716.5331250000004</v>
      </c>
      <c r="CT55" s="91">
        <f t="shared" si="172"/>
        <v>3716.5331250000004</v>
      </c>
      <c r="CU55" s="155">
        <f t="shared" si="172"/>
        <v>3716.5331250000004</v>
      </c>
      <c r="CV55" s="346">
        <f t="shared" si="168"/>
        <v>5574.7996875000008</v>
      </c>
      <c r="CW55" s="91">
        <f t="shared" si="172"/>
        <v>5574.7996875000008</v>
      </c>
      <c r="CX55" s="91">
        <f t="shared" si="172"/>
        <v>5574.7996875000008</v>
      </c>
      <c r="CY55" s="91">
        <f t="shared" si="172"/>
        <v>5574.7996875000008</v>
      </c>
      <c r="CZ55" s="91">
        <f t="shared" si="172"/>
        <v>5574.7996875000008</v>
      </c>
      <c r="DA55" s="91">
        <f t="shared" si="172"/>
        <v>5574.7996875000008</v>
      </c>
      <c r="DB55" s="91">
        <f t="shared" si="172"/>
        <v>5574.7996875000008</v>
      </c>
      <c r="DC55" s="91">
        <f t="shared" si="172"/>
        <v>5574.7996875000008</v>
      </c>
      <c r="DD55" s="91">
        <f t="shared" si="172"/>
        <v>5574.7996875000008</v>
      </c>
      <c r="DE55" s="91">
        <f t="shared" si="172"/>
        <v>5574.7996875000008</v>
      </c>
      <c r="DF55" s="91">
        <f t="shared" si="172"/>
        <v>5574.7996875000008</v>
      </c>
      <c r="DG55" s="91">
        <f t="shared" si="172"/>
        <v>5574.7996875000008</v>
      </c>
    </row>
    <row r="56" spans="1:111" s="15" customFormat="1" x14ac:dyDescent="0.25">
      <c r="A56"/>
      <c r="B56" s="1" t="s">
        <v>559</v>
      </c>
      <c r="C56" s="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>
        <v>125</v>
      </c>
      <c r="AP56" s="91"/>
      <c r="AQ56" s="91"/>
      <c r="AR56" s="91"/>
      <c r="AS56" s="155"/>
      <c r="AT56" s="743">
        <f>+AH56</f>
        <v>0</v>
      </c>
      <c r="AU56" s="91">
        <f t="shared" ref="AU56:DB56" si="173">+AI56</f>
        <v>0</v>
      </c>
      <c r="AV56" s="91">
        <f t="shared" si="173"/>
        <v>0</v>
      </c>
      <c r="AW56" s="91">
        <f t="shared" si="173"/>
        <v>0</v>
      </c>
      <c r="AX56" s="91">
        <f t="shared" si="173"/>
        <v>0</v>
      </c>
      <c r="AY56" s="155">
        <f t="shared" si="173"/>
        <v>0</v>
      </c>
      <c r="AZ56" s="346">
        <f t="shared" si="173"/>
        <v>0</v>
      </c>
      <c r="BA56" s="91">
        <f t="shared" si="173"/>
        <v>125</v>
      </c>
      <c r="BB56" s="91">
        <f t="shared" si="173"/>
        <v>0</v>
      </c>
      <c r="BC56" s="91">
        <f t="shared" si="173"/>
        <v>0</v>
      </c>
      <c r="BD56" s="91">
        <f t="shared" si="173"/>
        <v>0</v>
      </c>
      <c r="BE56" s="91">
        <f t="shared" si="173"/>
        <v>0</v>
      </c>
      <c r="BF56" s="91">
        <f t="shared" si="173"/>
        <v>0</v>
      </c>
      <c r="BG56" s="91">
        <f t="shared" si="173"/>
        <v>0</v>
      </c>
      <c r="BH56" s="91">
        <f t="shared" si="173"/>
        <v>0</v>
      </c>
      <c r="BI56" s="91">
        <f t="shared" si="173"/>
        <v>0</v>
      </c>
      <c r="BJ56" s="91">
        <f t="shared" si="173"/>
        <v>0</v>
      </c>
      <c r="BK56" s="155">
        <f t="shared" si="173"/>
        <v>0</v>
      </c>
      <c r="BL56" s="346">
        <f t="shared" si="173"/>
        <v>0</v>
      </c>
      <c r="BM56" s="91">
        <f t="shared" si="173"/>
        <v>125</v>
      </c>
      <c r="BN56" s="91">
        <f t="shared" si="173"/>
        <v>0</v>
      </c>
      <c r="BO56" s="91">
        <f t="shared" si="173"/>
        <v>0</v>
      </c>
      <c r="BP56" s="91">
        <f t="shared" si="173"/>
        <v>0</v>
      </c>
      <c r="BQ56" s="91">
        <f t="shared" si="173"/>
        <v>0</v>
      </c>
      <c r="BR56" s="91">
        <f t="shared" si="173"/>
        <v>0</v>
      </c>
      <c r="BS56" s="91">
        <f t="shared" si="173"/>
        <v>0</v>
      </c>
      <c r="BT56" s="91">
        <f t="shared" si="173"/>
        <v>0</v>
      </c>
      <c r="BU56" s="91">
        <f t="shared" si="173"/>
        <v>0</v>
      </c>
      <c r="BV56" s="91">
        <f t="shared" si="173"/>
        <v>0</v>
      </c>
      <c r="BW56" s="155">
        <f t="shared" si="173"/>
        <v>0</v>
      </c>
      <c r="BX56" s="346">
        <f t="shared" si="173"/>
        <v>0</v>
      </c>
      <c r="BY56" s="91">
        <f t="shared" si="173"/>
        <v>125</v>
      </c>
      <c r="BZ56" s="91">
        <f t="shared" si="173"/>
        <v>0</v>
      </c>
      <c r="CA56" s="91">
        <f t="shared" si="173"/>
        <v>0</v>
      </c>
      <c r="CB56" s="91">
        <f t="shared" si="173"/>
        <v>0</v>
      </c>
      <c r="CC56" s="91">
        <f t="shared" si="173"/>
        <v>0</v>
      </c>
      <c r="CD56" s="91">
        <f t="shared" si="173"/>
        <v>0</v>
      </c>
      <c r="CE56" s="91">
        <f t="shared" si="173"/>
        <v>0</v>
      </c>
      <c r="CF56" s="91">
        <f t="shared" si="173"/>
        <v>0</v>
      </c>
      <c r="CG56" s="91">
        <f t="shared" si="173"/>
        <v>0</v>
      </c>
      <c r="CH56" s="91">
        <f t="shared" si="173"/>
        <v>0</v>
      </c>
      <c r="CI56" s="155">
        <f t="shared" si="173"/>
        <v>0</v>
      </c>
      <c r="CJ56" s="346">
        <f t="shared" si="173"/>
        <v>0</v>
      </c>
      <c r="CK56" s="91">
        <f t="shared" si="173"/>
        <v>125</v>
      </c>
      <c r="CL56" s="91">
        <f t="shared" si="173"/>
        <v>0</v>
      </c>
      <c r="CM56" s="91">
        <f t="shared" si="173"/>
        <v>0</v>
      </c>
      <c r="CN56" s="91">
        <f t="shared" si="173"/>
        <v>0</v>
      </c>
      <c r="CO56" s="91">
        <f t="shared" si="173"/>
        <v>0</v>
      </c>
      <c r="CP56" s="91">
        <f t="shared" si="173"/>
        <v>0</v>
      </c>
      <c r="CQ56" s="91">
        <f t="shared" si="173"/>
        <v>0</v>
      </c>
      <c r="CR56" s="91">
        <f t="shared" si="173"/>
        <v>0</v>
      </c>
      <c r="CS56" s="91">
        <f t="shared" si="173"/>
        <v>0</v>
      </c>
      <c r="CT56" s="91">
        <f t="shared" si="173"/>
        <v>0</v>
      </c>
      <c r="CU56" s="155">
        <f t="shared" si="173"/>
        <v>0</v>
      </c>
      <c r="CV56" s="346">
        <f t="shared" si="173"/>
        <v>0</v>
      </c>
      <c r="CW56" s="91">
        <f t="shared" si="173"/>
        <v>125</v>
      </c>
      <c r="CX56" s="91">
        <f t="shared" si="173"/>
        <v>0</v>
      </c>
      <c r="CY56" s="91">
        <f t="shared" si="173"/>
        <v>0</v>
      </c>
      <c r="CZ56" s="91">
        <f t="shared" si="173"/>
        <v>0</v>
      </c>
      <c r="DA56" s="91">
        <f t="shared" si="173"/>
        <v>0</v>
      </c>
      <c r="DB56" s="91">
        <f t="shared" si="173"/>
        <v>0</v>
      </c>
      <c r="DC56" s="91">
        <f t="shared" ref="DC56:DG56" si="174">+CQ56</f>
        <v>0</v>
      </c>
      <c r="DD56" s="91">
        <f t="shared" si="174"/>
        <v>0</v>
      </c>
      <c r="DE56" s="91">
        <f t="shared" si="174"/>
        <v>0</v>
      </c>
      <c r="DF56" s="91">
        <f t="shared" si="174"/>
        <v>0</v>
      </c>
      <c r="DG56" s="91">
        <f t="shared" si="174"/>
        <v>0</v>
      </c>
    </row>
    <row r="57" spans="1:111" x14ac:dyDescent="0.25">
      <c r="A57" s="3"/>
      <c r="B57" s="4" t="s">
        <v>249</v>
      </c>
      <c r="C57" s="4"/>
      <c r="D57" s="37"/>
      <c r="E57" s="37">
        <f t="shared" ref="E57:AN57" si="175">SUM(E52:E55)</f>
        <v>12</v>
      </c>
      <c r="F57" s="37">
        <f t="shared" si="175"/>
        <v>11.83</v>
      </c>
      <c r="G57" s="37">
        <f t="shared" si="175"/>
        <v>12</v>
      </c>
      <c r="H57" s="37">
        <f t="shared" si="175"/>
        <v>132</v>
      </c>
      <c r="I57" s="37">
        <f t="shared" si="175"/>
        <v>242</v>
      </c>
      <c r="J57" s="37">
        <f t="shared" si="175"/>
        <v>12</v>
      </c>
      <c r="K57" s="37">
        <f t="shared" si="175"/>
        <v>211</v>
      </c>
      <c r="L57" s="37">
        <f t="shared" si="175"/>
        <v>211</v>
      </c>
      <c r="M57" s="37">
        <f t="shared" si="175"/>
        <v>261.3</v>
      </c>
      <c r="N57" s="37">
        <f t="shared" si="175"/>
        <v>211</v>
      </c>
      <c r="O57" s="37">
        <f t="shared" si="175"/>
        <v>505.8</v>
      </c>
      <c r="P57" s="37">
        <f t="shared" si="175"/>
        <v>260.43</v>
      </c>
      <c r="Q57" s="37">
        <f t="shared" si="175"/>
        <v>335.11</v>
      </c>
      <c r="R57" s="37">
        <f t="shared" si="175"/>
        <v>299.5</v>
      </c>
      <c r="S57" s="37">
        <f t="shared" si="175"/>
        <v>295.99</v>
      </c>
      <c r="T57" s="37">
        <f t="shared" si="175"/>
        <v>808.86</v>
      </c>
      <c r="U57" s="37">
        <f t="shared" si="175"/>
        <v>272</v>
      </c>
      <c r="V57" s="37">
        <f t="shared" si="175"/>
        <v>272</v>
      </c>
      <c r="W57" s="37">
        <f t="shared" si="175"/>
        <v>532.25</v>
      </c>
      <c r="X57" s="37">
        <f t="shared" si="175"/>
        <v>719.74</v>
      </c>
      <c r="Y57" s="37">
        <f t="shared" si="175"/>
        <v>331</v>
      </c>
      <c r="Z57" s="37">
        <f t="shared" si="175"/>
        <v>569.35</v>
      </c>
      <c r="AA57" s="37">
        <f t="shared" si="175"/>
        <v>449.90999999999997</v>
      </c>
      <c r="AB57" s="37">
        <f t="shared" si="175"/>
        <v>321.97000000000003</v>
      </c>
      <c r="AC57" s="37">
        <f t="shared" si="175"/>
        <v>980.98</v>
      </c>
      <c r="AD57" s="37">
        <f t="shared" si="175"/>
        <v>307</v>
      </c>
      <c r="AE57" s="37">
        <f t="shared" si="175"/>
        <v>333.8</v>
      </c>
      <c r="AF57" s="37">
        <f t="shared" si="175"/>
        <v>913.42000000000007</v>
      </c>
      <c r="AG57" s="37">
        <f t="shared" si="175"/>
        <v>1178.76</v>
      </c>
      <c r="AH57" s="37">
        <f t="shared" si="175"/>
        <v>319</v>
      </c>
      <c r="AI57" s="37">
        <f t="shared" si="175"/>
        <v>359.36</v>
      </c>
      <c r="AJ57" s="37">
        <f t="shared" si="175"/>
        <v>796.73</v>
      </c>
      <c r="AK57" s="37">
        <f t="shared" si="175"/>
        <v>328</v>
      </c>
      <c r="AL57" s="37">
        <f t="shared" si="175"/>
        <v>334</v>
      </c>
      <c r="AM57" s="37">
        <f t="shared" si="175"/>
        <v>286.94</v>
      </c>
      <c r="AN57" s="37">
        <f t="shared" si="175"/>
        <v>630.92000000000007</v>
      </c>
      <c r="AO57" s="37">
        <f>SUM(AO52:AO56)</f>
        <v>1171.3599999999999</v>
      </c>
      <c r="AP57" s="37">
        <f>SUM(AP52:AP56)</f>
        <v>659.9</v>
      </c>
      <c r="AQ57" s="37">
        <f>SUM(AQ52:AQ56)</f>
        <v>1598.45</v>
      </c>
      <c r="AR57" s="37">
        <f>SUM(AR52:AR56)</f>
        <v>792.15</v>
      </c>
      <c r="AS57" s="156">
        <f>SUM(AS52:AS56)</f>
        <v>968.61</v>
      </c>
      <c r="AT57" s="754">
        <f t="shared" ref="AT57" si="176">SUM(AT52:AT56)</f>
        <v>932.42000000000007</v>
      </c>
      <c r="AU57" s="37">
        <f t="shared" ref="AU57:DA57" si="177">SUM(AU52:AU56)</f>
        <v>932.42000000000007</v>
      </c>
      <c r="AV57" s="37">
        <f t="shared" si="177"/>
        <v>932.42000000000007</v>
      </c>
      <c r="AW57" s="37">
        <f t="shared" si="177"/>
        <v>932.42000000000007</v>
      </c>
      <c r="AX57" s="37">
        <f t="shared" si="177"/>
        <v>932.42000000000007</v>
      </c>
      <c r="AY57" s="156">
        <f t="shared" si="177"/>
        <v>932.42000000000007</v>
      </c>
      <c r="AZ57" s="37">
        <f t="shared" si="177"/>
        <v>1398.63</v>
      </c>
      <c r="BA57" s="37">
        <f t="shared" si="177"/>
        <v>1523.63</v>
      </c>
      <c r="BB57" s="37">
        <f t="shared" si="177"/>
        <v>1398.63</v>
      </c>
      <c r="BC57" s="37">
        <f t="shared" si="177"/>
        <v>1398.63</v>
      </c>
      <c r="BD57" s="37">
        <f t="shared" si="177"/>
        <v>1398.63</v>
      </c>
      <c r="BE57" s="37">
        <f t="shared" si="177"/>
        <v>1398.63</v>
      </c>
      <c r="BF57" s="37">
        <f t="shared" si="177"/>
        <v>1398.63</v>
      </c>
      <c r="BG57" s="37">
        <f t="shared" si="177"/>
        <v>1398.63</v>
      </c>
      <c r="BH57" s="37">
        <f t="shared" si="177"/>
        <v>1398.63</v>
      </c>
      <c r="BI57" s="37">
        <f t="shared" si="177"/>
        <v>1398.63</v>
      </c>
      <c r="BJ57" s="37">
        <f t="shared" si="177"/>
        <v>1398.63</v>
      </c>
      <c r="BK57" s="156">
        <f t="shared" si="177"/>
        <v>1398.63</v>
      </c>
      <c r="BL57" s="37">
        <f t="shared" si="177"/>
        <v>2097.9450000000002</v>
      </c>
      <c r="BM57" s="37">
        <f t="shared" si="177"/>
        <v>2222.9450000000002</v>
      </c>
      <c r="BN57" s="37">
        <f t="shared" si="177"/>
        <v>2097.9450000000002</v>
      </c>
      <c r="BO57" s="37">
        <f t="shared" si="177"/>
        <v>2097.9450000000002</v>
      </c>
      <c r="BP57" s="37">
        <f t="shared" si="177"/>
        <v>2097.9450000000002</v>
      </c>
      <c r="BQ57" s="37">
        <f t="shared" si="177"/>
        <v>2097.9450000000002</v>
      </c>
      <c r="BR57" s="37">
        <f t="shared" si="177"/>
        <v>2097.9450000000002</v>
      </c>
      <c r="BS57" s="37">
        <f t="shared" si="177"/>
        <v>2097.9450000000002</v>
      </c>
      <c r="BT57" s="37">
        <f t="shared" si="177"/>
        <v>2097.9450000000002</v>
      </c>
      <c r="BU57" s="37">
        <f t="shared" si="177"/>
        <v>2097.9450000000002</v>
      </c>
      <c r="BV57" s="37">
        <f t="shared" si="177"/>
        <v>2097.9450000000002</v>
      </c>
      <c r="BW57" s="156">
        <f t="shared" si="177"/>
        <v>2097.9450000000002</v>
      </c>
      <c r="BX57" s="37">
        <f t="shared" si="177"/>
        <v>3146.9175000000005</v>
      </c>
      <c r="BY57" s="37">
        <f t="shared" si="177"/>
        <v>3271.9175000000005</v>
      </c>
      <c r="BZ57" s="37">
        <f t="shared" si="177"/>
        <v>3146.9175000000005</v>
      </c>
      <c r="CA57" s="37">
        <f t="shared" si="177"/>
        <v>3146.9175000000005</v>
      </c>
      <c r="CB57" s="37">
        <f t="shared" si="177"/>
        <v>3146.9175000000005</v>
      </c>
      <c r="CC57" s="37">
        <f t="shared" si="177"/>
        <v>3146.9175000000005</v>
      </c>
      <c r="CD57" s="37">
        <f t="shared" si="177"/>
        <v>3146.9175000000005</v>
      </c>
      <c r="CE57" s="37">
        <f t="shared" si="177"/>
        <v>3146.9175000000005</v>
      </c>
      <c r="CF57" s="37">
        <f t="shared" si="177"/>
        <v>3146.9175000000005</v>
      </c>
      <c r="CG57" s="37">
        <f t="shared" si="177"/>
        <v>3146.9175000000005</v>
      </c>
      <c r="CH57" s="37">
        <f t="shared" si="177"/>
        <v>3146.9175000000005</v>
      </c>
      <c r="CI57" s="156">
        <f t="shared" si="177"/>
        <v>3146.9175000000005</v>
      </c>
      <c r="CJ57" s="37">
        <f t="shared" si="177"/>
        <v>4720.3762500000003</v>
      </c>
      <c r="CK57" s="37">
        <f t="shared" si="177"/>
        <v>4845.3762500000003</v>
      </c>
      <c r="CL57" s="37">
        <f t="shared" si="177"/>
        <v>4720.3762500000003</v>
      </c>
      <c r="CM57" s="37">
        <f t="shared" si="177"/>
        <v>4720.3762500000003</v>
      </c>
      <c r="CN57" s="37">
        <f t="shared" si="177"/>
        <v>4720.3762500000003</v>
      </c>
      <c r="CO57" s="37">
        <f t="shared" si="177"/>
        <v>4720.3762500000003</v>
      </c>
      <c r="CP57" s="37">
        <f t="shared" si="177"/>
        <v>4720.3762500000003</v>
      </c>
      <c r="CQ57" s="37">
        <f t="shared" si="177"/>
        <v>4720.3762500000003</v>
      </c>
      <c r="CR57" s="37">
        <f t="shared" si="177"/>
        <v>4720.3762500000003</v>
      </c>
      <c r="CS57" s="37">
        <f t="shared" si="177"/>
        <v>4720.3762500000003</v>
      </c>
      <c r="CT57" s="37">
        <f t="shared" si="177"/>
        <v>4720.3762500000003</v>
      </c>
      <c r="CU57" s="156">
        <f t="shared" si="177"/>
        <v>4720.3762500000003</v>
      </c>
      <c r="CV57" s="37">
        <f t="shared" si="177"/>
        <v>7080.5643750000008</v>
      </c>
      <c r="CW57" s="37">
        <f t="shared" si="177"/>
        <v>7205.5643750000008</v>
      </c>
      <c r="CX57" s="37">
        <f t="shared" si="177"/>
        <v>7080.5643750000008</v>
      </c>
      <c r="CY57" s="37">
        <f t="shared" si="177"/>
        <v>7080.5643750000008</v>
      </c>
      <c r="CZ57" s="37">
        <f t="shared" si="177"/>
        <v>7080.5643750000008</v>
      </c>
      <c r="DA57" s="37">
        <f t="shared" si="177"/>
        <v>7080.5643750000008</v>
      </c>
      <c r="DB57" s="37">
        <f t="shared" ref="DB57:DG57" si="178">SUM(DB52:DB56)</f>
        <v>7080.5643750000008</v>
      </c>
      <c r="DC57" s="37">
        <f t="shared" si="178"/>
        <v>7080.5643750000008</v>
      </c>
      <c r="DD57" s="37">
        <f t="shared" si="178"/>
        <v>7080.5643750000008</v>
      </c>
      <c r="DE57" s="37">
        <f t="shared" si="178"/>
        <v>7080.5643750000008</v>
      </c>
      <c r="DF57" s="37">
        <f t="shared" si="178"/>
        <v>7080.5643750000008</v>
      </c>
      <c r="DG57" s="37">
        <f t="shared" si="178"/>
        <v>7080.5643750000008</v>
      </c>
    </row>
    <row r="58" spans="1:111" s="15" customFormat="1" x14ac:dyDescent="0.25">
      <c r="A58"/>
      <c r="B58" s="1" t="s">
        <v>250</v>
      </c>
      <c r="C58" s="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155"/>
      <c r="AT58" s="743">
        <v>0</v>
      </c>
      <c r="AU58" s="91">
        <f t="shared" ref="AU58:BK58" si="179">+AT58</f>
        <v>0</v>
      </c>
      <c r="AV58" s="91">
        <f t="shared" si="179"/>
        <v>0</v>
      </c>
      <c r="AW58" s="91">
        <f t="shared" si="179"/>
        <v>0</v>
      </c>
      <c r="AX58" s="91">
        <f t="shared" si="179"/>
        <v>0</v>
      </c>
      <c r="AY58" s="155">
        <f t="shared" si="179"/>
        <v>0</v>
      </c>
      <c r="AZ58" s="91">
        <f t="shared" si="179"/>
        <v>0</v>
      </c>
      <c r="BA58" s="91">
        <f t="shared" si="179"/>
        <v>0</v>
      </c>
      <c r="BB58" s="91">
        <f t="shared" si="179"/>
        <v>0</v>
      </c>
      <c r="BC58" s="91">
        <f t="shared" si="179"/>
        <v>0</v>
      </c>
      <c r="BD58" s="91">
        <f t="shared" si="179"/>
        <v>0</v>
      </c>
      <c r="BE58" s="91">
        <f t="shared" si="179"/>
        <v>0</v>
      </c>
      <c r="BF58" s="91">
        <f t="shared" si="179"/>
        <v>0</v>
      </c>
      <c r="BG58" s="91">
        <f t="shared" si="179"/>
        <v>0</v>
      </c>
      <c r="BH58" s="91">
        <f t="shared" si="179"/>
        <v>0</v>
      </c>
      <c r="BI58" s="91">
        <f t="shared" si="179"/>
        <v>0</v>
      </c>
      <c r="BJ58" s="91">
        <f t="shared" si="179"/>
        <v>0</v>
      </c>
      <c r="BK58" s="155">
        <f t="shared" si="179"/>
        <v>0</v>
      </c>
      <c r="BL58" s="91">
        <f t="shared" ref="BL58" si="180">+BK58</f>
        <v>0</v>
      </c>
      <c r="BM58" s="91">
        <f t="shared" ref="BM58:CR58" si="181">+BL58</f>
        <v>0</v>
      </c>
      <c r="BN58" s="91">
        <f t="shared" si="181"/>
        <v>0</v>
      </c>
      <c r="BO58" s="91">
        <f t="shared" si="181"/>
        <v>0</v>
      </c>
      <c r="BP58" s="91">
        <f t="shared" si="181"/>
        <v>0</v>
      </c>
      <c r="BQ58" s="91">
        <f t="shared" si="181"/>
        <v>0</v>
      </c>
      <c r="BR58" s="91">
        <f t="shared" si="181"/>
        <v>0</v>
      </c>
      <c r="BS58" s="91">
        <f t="shared" si="181"/>
        <v>0</v>
      </c>
      <c r="BT58" s="91">
        <f t="shared" si="181"/>
        <v>0</v>
      </c>
      <c r="BU58" s="91">
        <f t="shared" si="181"/>
        <v>0</v>
      </c>
      <c r="BV58" s="91">
        <f t="shared" si="181"/>
        <v>0</v>
      </c>
      <c r="BW58" s="155">
        <f t="shared" si="181"/>
        <v>0</v>
      </c>
      <c r="BX58" s="91">
        <f t="shared" si="181"/>
        <v>0</v>
      </c>
      <c r="BY58" s="91">
        <f t="shared" si="181"/>
        <v>0</v>
      </c>
      <c r="BZ58" s="91">
        <f t="shared" si="181"/>
        <v>0</v>
      </c>
      <c r="CA58" s="91">
        <f t="shared" si="181"/>
        <v>0</v>
      </c>
      <c r="CB58" s="91">
        <f t="shared" si="181"/>
        <v>0</v>
      </c>
      <c r="CC58" s="91">
        <f t="shared" si="181"/>
        <v>0</v>
      </c>
      <c r="CD58" s="91">
        <f t="shared" si="181"/>
        <v>0</v>
      </c>
      <c r="CE58" s="91">
        <f t="shared" si="181"/>
        <v>0</v>
      </c>
      <c r="CF58" s="91">
        <f t="shared" si="181"/>
        <v>0</v>
      </c>
      <c r="CG58" s="91">
        <f t="shared" si="181"/>
        <v>0</v>
      </c>
      <c r="CH58" s="91">
        <f t="shared" si="181"/>
        <v>0</v>
      </c>
      <c r="CI58" s="155">
        <f t="shared" si="181"/>
        <v>0</v>
      </c>
      <c r="CJ58" s="91">
        <f t="shared" si="181"/>
        <v>0</v>
      </c>
      <c r="CK58" s="91">
        <f t="shared" si="181"/>
        <v>0</v>
      </c>
      <c r="CL58" s="91">
        <f t="shared" si="181"/>
        <v>0</v>
      </c>
      <c r="CM58" s="91">
        <f t="shared" si="181"/>
        <v>0</v>
      </c>
      <c r="CN58" s="91">
        <f t="shared" si="181"/>
        <v>0</v>
      </c>
      <c r="CO58" s="91">
        <f t="shared" si="181"/>
        <v>0</v>
      </c>
      <c r="CP58" s="91">
        <f t="shared" si="181"/>
        <v>0</v>
      </c>
      <c r="CQ58" s="91">
        <f t="shared" si="181"/>
        <v>0</v>
      </c>
      <c r="CR58" s="91">
        <f t="shared" si="181"/>
        <v>0</v>
      </c>
      <c r="CS58" s="91">
        <f t="shared" ref="CS58:DG58" si="182">+CR58</f>
        <v>0</v>
      </c>
      <c r="CT58" s="91">
        <f t="shared" si="182"/>
        <v>0</v>
      </c>
      <c r="CU58" s="155">
        <f t="shared" si="182"/>
        <v>0</v>
      </c>
      <c r="CV58" s="91">
        <f t="shared" si="182"/>
        <v>0</v>
      </c>
      <c r="CW58" s="91">
        <f t="shared" si="182"/>
        <v>0</v>
      </c>
      <c r="CX58" s="91">
        <f t="shared" si="182"/>
        <v>0</v>
      </c>
      <c r="CY58" s="91">
        <f t="shared" si="182"/>
        <v>0</v>
      </c>
      <c r="CZ58" s="91">
        <f t="shared" si="182"/>
        <v>0</v>
      </c>
      <c r="DA58" s="91">
        <f t="shared" si="182"/>
        <v>0</v>
      </c>
      <c r="DB58" s="91">
        <f t="shared" si="182"/>
        <v>0</v>
      </c>
      <c r="DC58" s="91">
        <f t="shared" si="182"/>
        <v>0</v>
      </c>
      <c r="DD58" s="91">
        <f t="shared" si="182"/>
        <v>0</v>
      </c>
      <c r="DE58" s="91">
        <f t="shared" si="182"/>
        <v>0</v>
      </c>
      <c r="DF58" s="91">
        <f t="shared" si="182"/>
        <v>0</v>
      </c>
      <c r="DG58" s="91">
        <f t="shared" si="182"/>
        <v>0</v>
      </c>
    </row>
    <row r="59" spans="1:111" s="15" customFormat="1" x14ac:dyDescent="0.25">
      <c r="A59"/>
      <c r="B59" s="1" t="s">
        <v>306</v>
      </c>
      <c r="C59" s="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>
        <v>1088</v>
      </c>
      <c r="S59" s="91"/>
      <c r="T59" s="91"/>
      <c r="U59" s="91"/>
      <c r="V59" s="91"/>
      <c r="W59" s="91"/>
      <c r="X59" s="91"/>
      <c r="Y59" s="91"/>
      <c r="Z59" s="91"/>
      <c r="AA59" s="91"/>
      <c r="AB59" s="91">
        <v>543.75</v>
      </c>
      <c r="AC59" s="91">
        <v>262.5</v>
      </c>
      <c r="AD59" s="91">
        <v>375</v>
      </c>
      <c r="AE59" s="91">
        <v>262.5</v>
      </c>
      <c r="AF59" s="91">
        <v>712.5</v>
      </c>
      <c r="AG59" s="91">
        <v>450</v>
      </c>
      <c r="AH59" s="91">
        <v>337.5</v>
      </c>
      <c r="AI59" s="91">
        <v>407.5</v>
      </c>
      <c r="AJ59" s="91">
        <v>262.5</v>
      </c>
      <c r="AK59" s="91">
        <v>373.75</v>
      </c>
      <c r="AL59" s="91">
        <v>336.25</v>
      </c>
      <c r="AM59" s="91">
        <v>137.5</v>
      </c>
      <c r="AN59" s="91">
        <v>354.17</v>
      </c>
      <c r="AO59" s="91">
        <v>255</v>
      </c>
      <c r="AP59" s="91">
        <v>442</v>
      </c>
      <c r="AQ59" s="91">
        <v>355.58</v>
      </c>
      <c r="AR59" s="91">
        <v>276.25</v>
      </c>
      <c r="AS59" s="155">
        <v>212.5</v>
      </c>
      <c r="AT59" s="743">
        <v>300</v>
      </c>
      <c r="AU59" s="91">
        <f t="shared" ref="AU59:BM59" si="183">+AT59</f>
        <v>300</v>
      </c>
      <c r="AV59" s="91">
        <f t="shared" si="183"/>
        <v>300</v>
      </c>
      <c r="AW59" s="91">
        <f t="shared" si="183"/>
        <v>300</v>
      </c>
      <c r="AX59" s="91">
        <f t="shared" si="183"/>
        <v>300</v>
      </c>
      <c r="AY59" s="155">
        <f t="shared" si="183"/>
        <v>300</v>
      </c>
      <c r="AZ59" s="346">
        <f>+AY59*1.5</f>
        <v>450</v>
      </c>
      <c r="BA59" s="91">
        <f t="shared" si="183"/>
        <v>450</v>
      </c>
      <c r="BB59" s="91">
        <f t="shared" si="183"/>
        <v>450</v>
      </c>
      <c r="BC59" s="91">
        <f t="shared" si="183"/>
        <v>450</v>
      </c>
      <c r="BD59" s="91">
        <f t="shared" si="183"/>
        <v>450</v>
      </c>
      <c r="BE59" s="91">
        <f t="shared" si="183"/>
        <v>450</v>
      </c>
      <c r="BF59" s="91">
        <f t="shared" si="183"/>
        <v>450</v>
      </c>
      <c r="BG59" s="91">
        <f t="shared" si="183"/>
        <v>450</v>
      </c>
      <c r="BH59" s="91">
        <f t="shared" si="183"/>
        <v>450</v>
      </c>
      <c r="BI59" s="91">
        <f t="shared" si="183"/>
        <v>450</v>
      </c>
      <c r="BJ59" s="91">
        <f t="shared" si="183"/>
        <v>450</v>
      </c>
      <c r="BK59" s="155">
        <f t="shared" si="183"/>
        <v>450</v>
      </c>
      <c r="BL59" s="346">
        <f>+BK59*1.5</f>
        <v>675</v>
      </c>
      <c r="BM59" s="91">
        <f t="shared" si="183"/>
        <v>675</v>
      </c>
      <c r="BN59" s="91">
        <f t="shared" ref="BN59:CS59" si="184">+BM59</f>
        <v>675</v>
      </c>
      <c r="BO59" s="91">
        <f t="shared" si="184"/>
        <v>675</v>
      </c>
      <c r="BP59" s="91">
        <f t="shared" si="184"/>
        <v>675</v>
      </c>
      <c r="BQ59" s="91">
        <f t="shared" si="184"/>
        <v>675</v>
      </c>
      <c r="BR59" s="91">
        <f t="shared" si="184"/>
        <v>675</v>
      </c>
      <c r="BS59" s="91">
        <f t="shared" si="184"/>
        <v>675</v>
      </c>
      <c r="BT59" s="91">
        <f t="shared" si="184"/>
        <v>675</v>
      </c>
      <c r="BU59" s="91">
        <f t="shared" si="184"/>
        <v>675</v>
      </c>
      <c r="BV59" s="91">
        <f t="shared" si="184"/>
        <v>675</v>
      </c>
      <c r="BW59" s="155">
        <f t="shared" si="184"/>
        <v>675</v>
      </c>
      <c r="BX59" s="346">
        <f>+BW59*1.5</f>
        <v>1012.5</v>
      </c>
      <c r="BY59" s="91">
        <f t="shared" si="184"/>
        <v>1012.5</v>
      </c>
      <c r="BZ59" s="91">
        <f t="shared" si="184"/>
        <v>1012.5</v>
      </c>
      <c r="CA59" s="91">
        <f t="shared" si="184"/>
        <v>1012.5</v>
      </c>
      <c r="CB59" s="91">
        <f t="shared" si="184"/>
        <v>1012.5</v>
      </c>
      <c r="CC59" s="91">
        <f t="shared" si="184"/>
        <v>1012.5</v>
      </c>
      <c r="CD59" s="91">
        <f t="shared" si="184"/>
        <v>1012.5</v>
      </c>
      <c r="CE59" s="91">
        <f t="shared" si="184"/>
        <v>1012.5</v>
      </c>
      <c r="CF59" s="91">
        <f t="shared" si="184"/>
        <v>1012.5</v>
      </c>
      <c r="CG59" s="91">
        <f t="shared" si="184"/>
        <v>1012.5</v>
      </c>
      <c r="CH59" s="91">
        <f t="shared" si="184"/>
        <v>1012.5</v>
      </c>
      <c r="CI59" s="155">
        <f t="shared" si="184"/>
        <v>1012.5</v>
      </c>
      <c r="CJ59" s="346">
        <f>+CI59*1.5</f>
        <v>1518.75</v>
      </c>
      <c r="CK59" s="91">
        <f t="shared" si="184"/>
        <v>1518.75</v>
      </c>
      <c r="CL59" s="91">
        <f t="shared" si="184"/>
        <v>1518.75</v>
      </c>
      <c r="CM59" s="91">
        <f t="shared" si="184"/>
        <v>1518.75</v>
      </c>
      <c r="CN59" s="91">
        <f t="shared" si="184"/>
        <v>1518.75</v>
      </c>
      <c r="CO59" s="91">
        <f t="shared" si="184"/>
        <v>1518.75</v>
      </c>
      <c r="CP59" s="91">
        <f t="shared" si="184"/>
        <v>1518.75</v>
      </c>
      <c r="CQ59" s="91">
        <f t="shared" si="184"/>
        <v>1518.75</v>
      </c>
      <c r="CR59" s="91">
        <f t="shared" si="184"/>
        <v>1518.75</v>
      </c>
      <c r="CS59" s="91">
        <f t="shared" si="184"/>
        <v>1518.75</v>
      </c>
      <c r="CT59" s="91">
        <f t="shared" ref="CT59:DG59" si="185">+CS59</f>
        <v>1518.75</v>
      </c>
      <c r="CU59" s="155">
        <f t="shared" si="185"/>
        <v>1518.75</v>
      </c>
      <c r="CV59" s="346">
        <f>+CU59*1.5</f>
        <v>2278.125</v>
      </c>
      <c r="CW59" s="91">
        <f t="shared" si="185"/>
        <v>2278.125</v>
      </c>
      <c r="CX59" s="91">
        <f t="shared" si="185"/>
        <v>2278.125</v>
      </c>
      <c r="CY59" s="91">
        <f t="shared" si="185"/>
        <v>2278.125</v>
      </c>
      <c r="CZ59" s="91">
        <f t="shared" si="185"/>
        <v>2278.125</v>
      </c>
      <c r="DA59" s="91">
        <f t="shared" si="185"/>
        <v>2278.125</v>
      </c>
      <c r="DB59" s="91">
        <f t="shared" si="185"/>
        <v>2278.125</v>
      </c>
      <c r="DC59" s="91">
        <f t="shared" si="185"/>
        <v>2278.125</v>
      </c>
      <c r="DD59" s="91">
        <f t="shared" si="185"/>
        <v>2278.125</v>
      </c>
      <c r="DE59" s="91">
        <f t="shared" si="185"/>
        <v>2278.125</v>
      </c>
      <c r="DF59" s="91">
        <f t="shared" si="185"/>
        <v>2278.125</v>
      </c>
      <c r="DG59" s="91">
        <f t="shared" si="185"/>
        <v>2278.125</v>
      </c>
    </row>
    <row r="60" spans="1:111" s="15" customFormat="1" x14ac:dyDescent="0.25">
      <c r="A60"/>
      <c r="B60" s="1" t="s">
        <v>307</v>
      </c>
      <c r="C60" s="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>
        <v>2275</v>
      </c>
      <c r="P60" s="91"/>
      <c r="Q60" s="91"/>
      <c r="R60" s="91"/>
      <c r="S60" s="91"/>
      <c r="T60" s="91">
        <v>1005</v>
      </c>
      <c r="U60" s="91"/>
      <c r="V60" s="91">
        <v>700</v>
      </c>
      <c r="W60" s="91"/>
      <c r="X60" s="91">
        <v>621</v>
      </c>
      <c r="Y60" s="91"/>
      <c r="Z60" s="91"/>
      <c r="AA60" s="91"/>
      <c r="AB60" s="91"/>
      <c r="AC60" s="91"/>
      <c r="AD60" s="91"/>
      <c r="AE60" s="91"/>
      <c r="AF60" s="91">
        <v>400</v>
      </c>
      <c r="AG60" s="91"/>
      <c r="AH60" s="91"/>
      <c r="AI60" s="91"/>
      <c r="AJ60" s="91"/>
      <c r="AK60" s="91"/>
      <c r="AL60" s="91"/>
      <c r="AM60" s="91">
        <v>1750</v>
      </c>
      <c r="AN60" s="91">
        <v>2000</v>
      </c>
      <c r="AO60" s="91">
        <v>500</v>
      </c>
      <c r="AP60" s="91">
        <v>1500</v>
      </c>
      <c r="AQ60" s="91">
        <v>0</v>
      </c>
      <c r="AR60" s="91">
        <v>0</v>
      </c>
      <c r="AS60" s="155">
        <v>0</v>
      </c>
      <c r="AT60" s="743">
        <v>100</v>
      </c>
      <c r="AU60" s="91">
        <f t="shared" ref="AU60:CZ60" si="186">+AI60*1.1</f>
        <v>0</v>
      </c>
      <c r="AV60" s="91">
        <f t="shared" si="186"/>
        <v>0</v>
      </c>
      <c r="AW60" s="91">
        <f t="shared" si="186"/>
        <v>0</v>
      </c>
      <c r="AX60" s="91">
        <f t="shared" si="186"/>
        <v>0</v>
      </c>
      <c r="AY60" s="155">
        <f t="shared" si="186"/>
        <v>1925.0000000000002</v>
      </c>
      <c r="AZ60" s="91">
        <f t="shared" si="186"/>
        <v>2200</v>
      </c>
      <c r="BA60" s="91">
        <f t="shared" si="186"/>
        <v>550</v>
      </c>
      <c r="BB60" s="91">
        <f t="shared" si="186"/>
        <v>1650.0000000000002</v>
      </c>
      <c r="BC60" s="91">
        <f t="shared" si="186"/>
        <v>0</v>
      </c>
      <c r="BD60" s="91">
        <f t="shared" si="186"/>
        <v>0</v>
      </c>
      <c r="BE60" s="91">
        <f t="shared" si="186"/>
        <v>0</v>
      </c>
      <c r="BF60" s="91">
        <f t="shared" si="186"/>
        <v>110.00000000000001</v>
      </c>
      <c r="BG60" s="91">
        <f t="shared" si="186"/>
        <v>0</v>
      </c>
      <c r="BH60" s="91">
        <f t="shared" si="186"/>
        <v>0</v>
      </c>
      <c r="BI60" s="91">
        <f t="shared" si="186"/>
        <v>0</v>
      </c>
      <c r="BJ60" s="91">
        <f t="shared" si="186"/>
        <v>0</v>
      </c>
      <c r="BK60" s="155">
        <f t="shared" si="186"/>
        <v>2117.5000000000005</v>
      </c>
      <c r="BL60" s="91">
        <f t="shared" si="186"/>
        <v>2420</v>
      </c>
      <c r="BM60" s="91">
        <f t="shared" si="186"/>
        <v>605</v>
      </c>
      <c r="BN60" s="91">
        <f t="shared" si="186"/>
        <v>1815.0000000000005</v>
      </c>
      <c r="BO60" s="91">
        <f t="shared" si="186"/>
        <v>0</v>
      </c>
      <c r="BP60" s="91">
        <f t="shared" si="186"/>
        <v>0</v>
      </c>
      <c r="BQ60" s="91">
        <f t="shared" si="186"/>
        <v>0</v>
      </c>
      <c r="BR60" s="91">
        <f t="shared" si="186"/>
        <v>121.00000000000003</v>
      </c>
      <c r="BS60" s="91">
        <f t="shared" si="186"/>
        <v>0</v>
      </c>
      <c r="BT60" s="91">
        <f t="shared" si="186"/>
        <v>0</v>
      </c>
      <c r="BU60" s="91">
        <f t="shared" si="186"/>
        <v>0</v>
      </c>
      <c r="BV60" s="91">
        <f t="shared" si="186"/>
        <v>0</v>
      </c>
      <c r="BW60" s="155">
        <f t="shared" si="186"/>
        <v>2329.2500000000009</v>
      </c>
      <c r="BX60" s="91">
        <f t="shared" si="186"/>
        <v>2662</v>
      </c>
      <c r="BY60" s="91">
        <f t="shared" si="186"/>
        <v>665.5</v>
      </c>
      <c r="BZ60" s="91">
        <f t="shared" si="186"/>
        <v>1996.5000000000007</v>
      </c>
      <c r="CA60" s="91">
        <f t="shared" si="186"/>
        <v>0</v>
      </c>
      <c r="CB60" s="91">
        <f t="shared" si="186"/>
        <v>0</v>
      </c>
      <c r="CC60" s="91">
        <f t="shared" si="186"/>
        <v>0</v>
      </c>
      <c r="CD60" s="91">
        <f t="shared" si="186"/>
        <v>133.10000000000005</v>
      </c>
      <c r="CE60" s="91">
        <f t="shared" si="186"/>
        <v>0</v>
      </c>
      <c r="CF60" s="91">
        <f t="shared" si="186"/>
        <v>0</v>
      </c>
      <c r="CG60" s="91">
        <f t="shared" si="186"/>
        <v>0</v>
      </c>
      <c r="CH60" s="91">
        <f t="shared" si="186"/>
        <v>0</v>
      </c>
      <c r="CI60" s="155">
        <f t="shared" si="186"/>
        <v>2562.1750000000011</v>
      </c>
      <c r="CJ60" s="91">
        <f t="shared" si="186"/>
        <v>2928.2000000000003</v>
      </c>
      <c r="CK60" s="91">
        <f t="shared" si="186"/>
        <v>732.05000000000007</v>
      </c>
      <c r="CL60" s="91">
        <f t="shared" si="186"/>
        <v>2196.150000000001</v>
      </c>
      <c r="CM60" s="91">
        <f t="shared" si="186"/>
        <v>0</v>
      </c>
      <c r="CN60" s="91">
        <f t="shared" si="186"/>
        <v>0</v>
      </c>
      <c r="CO60" s="91">
        <f t="shared" si="186"/>
        <v>0</v>
      </c>
      <c r="CP60" s="91">
        <f t="shared" si="186"/>
        <v>146.41000000000008</v>
      </c>
      <c r="CQ60" s="91">
        <f t="shared" si="186"/>
        <v>0</v>
      </c>
      <c r="CR60" s="91">
        <f t="shared" si="186"/>
        <v>0</v>
      </c>
      <c r="CS60" s="91">
        <f t="shared" si="186"/>
        <v>0</v>
      </c>
      <c r="CT60" s="91">
        <f t="shared" si="186"/>
        <v>0</v>
      </c>
      <c r="CU60" s="155">
        <f t="shared" si="186"/>
        <v>2818.3925000000013</v>
      </c>
      <c r="CV60" s="91">
        <f t="shared" si="186"/>
        <v>3221.0200000000004</v>
      </c>
      <c r="CW60" s="91">
        <f t="shared" si="186"/>
        <v>805.25500000000011</v>
      </c>
      <c r="CX60" s="91">
        <f t="shared" si="186"/>
        <v>2415.7650000000012</v>
      </c>
      <c r="CY60" s="91">
        <f t="shared" si="186"/>
        <v>0</v>
      </c>
      <c r="CZ60" s="91">
        <f t="shared" si="186"/>
        <v>0</v>
      </c>
      <c r="DA60" s="91">
        <f t="shared" ref="DA60:DG60" si="187">+CO60*1.1</f>
        <v>0</v>
      </c>
      <c r="DB60" s="91">
        <f t="shared" si="187"/>
        <v>161.0510000000001</v>
      </c>
      <c r="DC60" s="91">
        <f t="shared" si="187"/>
        <v>0</v>
      </c>
      <c r="DD60" s="91">
        <f t="shared" si="187"/>
        <v>0</v>
      </c>
      <c r="DE60" s="91">
        <f t="shared" si="187"/>
        <v>0</v>
      </c>
      <c r="DF60" s="91">
        <f t="shared" si="187"/>
        <v>0</v>
      </c>
      <c r="DG60" s="91">
        <f t="shared" si="187"/>
        <v>3100.2317500000017</v>
      </c>
    </row>
    <row r="61" spans="1:111" x14ac:dyDescent="0.25">
      <c r="A61" s="3"/>
      <c r="B61" s="4" t="s">
        <v>251</v>
      </c>
      <c r="C61" s="4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>
        <f>SUM(O59:O60)</f>
        <v>2275</v>
      </c>
      <c r="P61" s="37">
        <f t="shared" ref="P61:CA61" si="188">SUM(P59:P60)</f>
        <v>0</v>
      </c>
      <c r="Q61" s="37">
        <f t="shared" si="188"/>
        <v>0</v>
      </c>
      <c r="R61" s="37">
        <f t="shared" si="188"/>
        <v>1088</v>
      </c>
      <c r="S61" s="37">
        <f t="shared" si="188"/>
        <v>0</v>
      </c>
      <c r="T61" s="37">
        <f t="shared" si="188"/>
        <v>1005</v>
      </c>
      <c r="U61" s="37">
        <f t="shared" si="188"/>
        <v>0</v>
      </c>
      <c r="V61" s="37">
        <f t="shared" si="188"/>
        <v>700</v>
      </c>
      <c r="W61" s="37">
        <f t="shared" si="188"/>
        <v>0</v>
      </c>
      <c r="X61" s="37">
        <f t="shared" si="188"/>
        <v>621</v>
      </c>
      <c r="Y61" s="37">
        <f t="shared" si="188"/>
        <v>0</v>
      </c>
      <c r="Z61" s="37">
        <f t="shared" si="188"/>
        <v>0</v>
      </c>
      <c r="AA61" s="37">
        <f t="shared" si="188"/>
        <v>0</v>
      </c>
      <c r="AB61" s="37">
        <f t="shared" si="188"/>
        <v>543.75</v>
      </c>
      <c r="AC61" s="37">
        <f t="shared" si="188"/>
        <v>262.5</v>
      </c>
      <c r="AD61" s="37">
        <f t="shared" si="188"/>
        <v>375</v>
      </c>
      <c r="AE61" s="37">
        <f t="shared" si="188"/>
        <v>262.5</v>
      </c>
      <c r="AF61" s="37">
        <f t="shared" ref="AF61:AG61" si="189">SUM(AF59:AF60)</f>
        <v>1112.5</v>
      </c>
      <c r="AG61" s="37">
        <f t="shared" si="189"/>
        <v>450</v>
      </c>
      <c r="AH61" s="37">
        <f t="shared" ref="AH61:AI61" si="190">SUM(AH59:AH60)</f>
        <v>337.5</v>
      </c>
      <c r="AI61" s="37">
        <f t="shared" si="190"/>
        <v>407.5</v>
      </c>
      <c r="AJ61" s="37">
        <f t="shared" ref="AJ61:AK61" si="191">SUM(AJ59:AJ60)</f>
        <v>262.5</v>
      </c>
      <c r="AK61" s="37">
        <f t="shared" si="191"/>
        <v>373.75</v>
      </c>
      <c r="AL61" s="37">
        <f t="shared" ref="AL61:AM61" si="192">SUM(AL59:AL60)</f>
        <v>336.25</v>
      </c>
      <c r="AM61" s="37">
        <f t="shared" si="192"/>
        <v>1887.5</v>
      </c>
      <c r="AN61" s="37">
        <f t="shared" ref="AN61" si="193">SUM(AN59:AN60)</f>
        <v>2354.17</v>
      </c>
      <c r="AO61" s="37">
        <f t="shared" ref="AO61:AP61" si="194">SUM(AO59:AO60)</f>
        <v>755</v>
      </c>
      <c r="AP61" s="37">
        <f t="shared" si="194"/>
        <v>1942</v>
      </c>
      <c r="AQ61" s="37">
        <f t="shared" ref="AQ61:AR61" si="195">SUM(AQ59:AQ60)</f>
        <v>355.58</v>
      </c>
      <c r="AR61" s="37">
        <f t="shared" si="195"/>
        <v>276.25</v>
      </c>
      <c r="AS61" s="156">
        <f t="shared" ref="AS61" si="196">SUM(AS59:AS60)</f>
        <v>212.5</v>
      </c>
      <c r="AT61" s="37">
        <f t="shared" ref="AT61" si="197">SUM(AT59:AT60)</f>
        <v>400</v>
      </c>
      <c r="AU61" s="37">
        <f t="shared" si="188"/>
        <v>300</v>
      </c>
      <c r="AV61" s="37">
        <f t="shared" si="188"/>
        <v>300</v>
      </c>
      <c r="AW61" s="37">
        <f t="shared" si="188"/>
        <v>300</v>
      </c>
      <c r="AX61" s="37">
        <f t="shared" si="188"/>
        <v>300</v>
      </c>
      <c r="AY61" s="156">
        <f t="shared" si="188"/>
        <v>2225</v>
      </c>
      <c r="AZ61" s="37">
        <f t="shared" si="188"/>
        <v>2650</v>
      </c>
      <c r="BA61" s="37">
        <f t="shared" si="188"/>
        <v>1000</v>
      </c>
      <c r="BB61" s="37">
        <f t="shared" si="188"/>
        <v>2100</v>
      </c>
      <c r="BC61" s="37">
        <f t="shared" si="188"/>
        <v>450</v>
      </c>
      <c r="BD61" s="37">
        <f t="shared" si="188"/>
        <v>450</v>
      </c>
      <c r="BE61" s="37">
        <f t="shared" si="188"/>
        <v>450</v>
      </c>
      <c r="BF61" s="37">
        <f t="shared" si="188"/>
        <v>560</v>
      </c>
      <c r="BG61" s="37">
        <f t="shared" si="188"/>
        <v>450</v>
      </c>
      <c r="BH61" s="37">
        <f t="shared" si="188"/>
        <v>450</v>
      </c>
      <c r="BI61" s="37">
        <f t="shared" si="188"/>
        <v>450</v>
      </c>
      <c r="BJ61" s="37">
        <f t="shared" si="188"/>
        <v>450</v>
      </c>
      <c r="BK61" s="156">
        <f t="shared" si="188"/>
        <v>2567.5000000000005</v>
      </c>
      <c r="BL61" s="37">
        <f t="shared" ref="BL61" si="198">SUM(BL59:BL60)</f>
        <v>3095</v>
      </c>
      <c r="BM61" s="37">
        <f t="shared" si="188"/>
        <v>1280</v>
      </c>
      <c r="BN61" s="37">
        <f t="shared" si="188"/>
        <v>2490.0000000000005</v>
      </c>
      <c r="BO61" s="37">
        <f t="shared" si="188"/>
        <v>675</v>
      </c>
      <c r="BP61" s="37">
        <f t="shared" si="188"/>
        <v>675</v>
      </c>
      <c r="BQ61" s="37">
        <f t="shared" si="188"/>
        <v>675</v>
      </c>
      <c r="BR61" s="37">
        <f t="shared" si="188"/>
        <v>796</v>
      </c>
      <c r="BS61" s="37">
        <f t="shared" si="188"/>
        <v>675</v>
      </c>
      <c r="BT61" s="37">
        <f t="shared" si="188"/>
        <v>675</v>
      </c>
      <c r="BU61" s="37">
        <f t="shared" si="188"/>
        <v>675</v>
      </c>
      <c r="BV61" s="37">
        <f t="shared" si="188"/>
        <v>675</v>
      </c>
      <c r="BW61" s="156">
        <f t="shared" si="188"/>
        <v>3004.2500000000009</v>
      </c>
      <c r="BX61" s="37">
        <f t="shared" ref="BX61" si="199">SUM(BX59:BX60)</f>
        <v>3674.5</v>
      </c>
      <c r="BY61" s="37">
        <f t="shared" si="188"/>
        <v>1678</v>
      </c>
      <c r="BZ61" s="37">
        <f t="shared" si="188"/>
        <v>3009.0000000000009</v>
      </c>
      <c r="CA61" s="37">
        <f t="shared" si="188"/>
        <v>1012.5</v>
      </c>
      <c r="CB61" s="37">
        <f t="shared" ref="CB61:DG61" si="200">SUM(CB59:CB60)</f>
        <v>1012.5</v>
      </c>
      <c r="CC61" s="37">
        <f t="shared" si="200"/>
        <v>1012.5</v>
      </c>
      <c r="CD61" s="37">
        <f t="shared" si="200"/>
        <v>1145.6000000000001</v>
      </c>
      <c r="CE61" s="37">
        <f t="shared" si="200"/>
        <v>1012.5</v>
      </c>
      <c r="CF61" s="37">
        <f t="shared" si="200"/>
        <v>1012.5</v>
      </c>
      <c r="CG61" s="37">
        <f t="shared" si="200"/>
        <v>1012.5</v>
      </c>
      <c r="CH61" s="37">
        <f t="shared" si="200"/>
        <v>1012.5</v>
      </c>
      <c r="CI61" s="156">
        <f t="shared" si="200"/>
        <v>3574.6750000000011</v>
      </c>
      <c r="CJ61" s="37">
        <f t="shared" si="200"/>
        <v>4446.9500000000007</v>
      </c>
      <c r="CK61" s="37">
        <f t="shared" si="200"/>
        <v>2250.8000000000002</v>
      </c>
      <c r="CL61" s="37">
        <f t="shared" si="200"/>
        <v>3714.900000000001</v>
      </c>
      <c r="CM61" s="37">
        <f t="shared" si="200"/>
        <v>1518.75</v>
      </c>
      <c r="CN61" s="37">
        <f t="shared" si="200"/>
        <v>1518.75</v>
      </c>
      <c r="CO61" s="37">
        <f t="shared" si="200"/>
        <v>1518.75</v>
      </c>
      <c r="CP61" s="37">
        <f t="shared" si="200"/>
        <v>1665.16</v>
      </c>
      <c r="CQ61" s="37">
        <f t="shared" si="200"/>
        <v>1518.75</v>
      </c>
      <c r="CR61" s="37">
        <f t="shared" si="200"/>
        <v>1518.75</v>
      </c>
      <c r="CS61" s="37">
        <f t="shared" si="200"/>
        <v>1518.75</v>
      </c>
      <c r="CT61" s="37">
        <f t="shared" si="200"/>
        <v>1518.75</v>
      </c>
      <c r="CU61" s="156">
        <f t="shared" si="200"/>
        <v>4337.1425000000017</v>
      </c>
      <c r="CV61" s="37">
        <f t="shared" si="200"/>
        <v>5499.1450000000004</v>
      </c>
      <c r="CW61" s="37">
        <f t="shared" si="200"/>
        <v>3083.38</v>
      </c>
      <c r="CX61" s="37">
        <f t="shared" si="200"/>
        <v>4693.8900000000012</v>
      </c>
      <c r="CY61" s="37">
        <f t="shared" si="200"/>
        <v>2278.125</v>
      </c>
      <c r="CZ61" s="37">
        <f t="shared" si="200"/>
        <v>2278.125</v>
      </c>
      <c r="DA61" s="37">
        <f t="shared" si="200"/>
        <v>2278.125</v>
      </c>
      <c r="DB61" s="37">
        <f t="shared" si="200"/>
        <v>2439.1759999999999</v>
      </c>
      <c r="DC61" s="37">
        <f t="shared" si="200"/>
        <v>2278.125</v>
      </c>
      <c r="DD61" s="37">
        <f t="shared" si="200"/>
        <v>2278.125</v>
      </c>
      <c r="DE61" s="37">
        <f t="shared" si="200"/>
        <v>2278.125</v>
      </c>
      <c r="DF61" s="37">
        <f t="shared" si="200"/>
        <v>2278.125</v>
      </c>
      <c r="DG61" s="37">
        <f t="shared" si="200"/>
        <v>5378.3567500000017</v>
      </c>
    </row>
    <row r="62" spans="1:111" s="15" customFormat="1" x14ac:dyDescent="0.25">
      <c r="A62"/>
      <c r="B62" s="1" t="s">
        <v>308</v>
      </c>
      <c r="C62" s="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155"/>
      <c r="AT62" s="743">
        <v>0</v>
      </c>
      <c r="AU62" s="91">
        <f t="shared" ref="AU62:CP62" si="201">+AT62</f>
        <v>0</v>
      </c>
      <c r="AV62" s="91">
        <f t="shared" si="201"/>
        <v>0</v>
      </c>
      <c r="AW62" s="91">
        <f t="shared" si="201"/>
        <v>0</v>
      </c>
      <c r="AX62" s="91">
        <f t="shared" si="201"/>
        <v>0</v>
      </c>
      <c r="AY62" s="155">
        <f t="shared" si="201"/>
        <v>0</v>
      </c>
      <c r="AZ62" s="91">
        <f t="shared" si="201"/>
        <v>0</v>
      </c>
      <c r="BA62" s="91">
        <f t="shared" si="201"/>
        <v>0</v>
      </c>
      <c r="BB62" s="91">
        <f t="shared" si="201"/>
        <v>0</v>
      </c>
      <c r="BC62" s="91">
        <f t="shared" si="201"/>
        <v>0</v>
      </c>
      <c r="BD62" s="91">
        <f t="shared" si="201"/>
        <v>0</v>
      </c>
      <c r="BE62" s="91">
        <f t="shared" si="201"/>
        <v>0</v>
      </c>
      <c r="BF62" s="91">
        <f t="shared" si="201"/>
        <v>0</v>
      </c>
      <c r="BG62" s="91">
        <f t="shared" si="201"/>
        <v>0</v>
      </c>
      <c r="BH62" s="91">
        <f t="shared" si="201"/>
        <v>0</v>
      </c>
      <c r="BI62" s="91">
        <f t="shared" si="201"/>
        <v>0</v>
      </c>
      <c r="BJ62" s="91">
        <f t="shared" si="201"/>
        <v>0</v>
      </c>
      <c r="BK62" s="155">
        <f t="shared" si="201"/>
        <v>0</v>
      </c>
      <c r="BL62" s="91">
        <f t="shared" si="201"/>
        <v>0</v>
      </c>
      <c r="BM62" s="91">
        <f t="shared" si="201"/>
        <v>0</v>
      </c>
      <c r="BN62" s="91">
        <f t="shared" si="201"/>
        <v>0</v>
      </c>
      <c r="BO62" s="91">
        <f t="shared" si="201"/>
        <v>0</v>
      </c>
      <c r="BP62" s="91">
        <f t="shared" si="201"/>
        <v>0</v>
      </c>
      <c r="BQ62" s="91">
        <f t="shared" si="201"/>
        <v>0</v>
      </c>
      <c r="BR62" s="91">
        <f t="shared" si="201"/>
        <v>0</v>
      </c>
      <c r="BS62" s="91">
        <f t="shared" si="201"/>
        <v>0</v>
      </c>
      <c r="BT62" s="91">
        <f t="shared" si="201"/>
        <v>0</v>
      </c>
      <c r="BU62" s="91">
        <f t="shared" si="201"/>
        <v>0</v>
      </c>
      <c r="BV62" s="91">
        <f t="shared" si="201"/>
        <v>0</v>
      </c>
      <c r="BW62" s="155">
        <f t="shared" si="201"/>
        <v>0</v>
      </c>
      <c r="BX62" s="91">
        <f t="shared" si="201"/>
        <v>0</v>
      </c>
      <c r="BY62" s="91">
        <f t="shared" si="201"/>
        <v>0</v>
      </c>
      <c r="BZ62" s="91">
        <f t="shared" si="201"/>
        <v>0</v>
      </c>
      <c r="CA62" s="91">
        <f t="shared" si="201"/>
        <v>0</v>
      </c>
      <c r="CB62" s="91">
        <f t="shared" si="201"/>
        <v>0</v>
      </c>
      <c r="CC62" s="91">
        <f t="shared" si="201"/>
        <v>0</v>
      </c>
      <c r="CD62" s="91">
        <f t="shared" si="201"/>
        <v>0</v>
      </c>
      <c r="CE62" s="91">
        <f t="shared" si="201"/>
        <v>0</v>
      </c>
      <c r="CF62" s="91">
        <f t="shared" si="201"/>
        <v>0</v>
      </c>
      <c r="CG62" s="91">
        <f t="shared" si="201"/>
        <v>0</v>
      </c>
      <c r="CH62" s="91">
        <f t="shared" si="201"/>
        <v>0</v>
      </c>
      <c r="CI62" s="155">
        <f t="shared" si="201"/>
        <v>0</v>
      </c>
      <c r="CJ62" s="91">
        <f t="shared" si="201"/>
        <v>0</v>
      </c>
      <c r="CK62" s="91">
        <f t="shared" si="201"/>
        <v>0</v>
      </c>
      <c r="CL62" s="91">
        <f t="shared" si="201"/>
        <v>0</v>
      </c>
      <c r="CM62" s="91">
        <f t="shared" si="201"/>
        <v>0</v>
      </c>
      <c r="CN62" s="91">
        <f t="shared" si="201"/>
        <v>0</v>
      </c>
      <c r="CO62" s="91">
        <f t="shared" si="201"/>
        <v>0</v>
      </c>
      <c r="CP62" s="91">
        <f t="shared" si="201"/>
        <v>0</v>
      </c>
      <c r="CQ62" s="91">
        <f t="shared" ref="CQ62:DG62" si="202">+CP62</f>
        <v>0</v>
      </c>
      <c r="CR62" s="91">
        <f t="shared" si="202"/>
        <v>0</v>
      </c>
      <c r="CS62" s="91">
        <f t="shared" si="202"/>
        <v>0</v>
      </c>
      <c r="CT62" s="91">
        <f t="shared" si="202"/>
        <v>0</v>
      </c>
      <c r="CU62" s="155">
        <f t="shared" si="202"/>
        <v>0</v>
      </c>
      <c r="CV62" s="91">
        <f t="shared" si="202"/>
        <v>0</v>
      </c>
      <c r="CW62" s="91">
        <f t="shared" si="202"/>
        <v>0</v>
      </c>
      <c r="CX62" s="91">
        <f t="shared" si="202"/>
        <v>0</v>
      </c>
      <c r="CY62" s="91">
        <f t="shared" si="202"/>
        <v>0</v>
      </c>
      <c r="CZ62" s="91">
        <f t="shared" si="202"/>
        <v>0</v>
      </c>
      <c r="DA62" s="91">
        <f t="shared" si="202"/>
        <v>0</v>
      </c>
      <c r="DB62" s="91">
        <f t="shared" si="202"/>
        <v>0</v>
      </c>
      <c r="DC62" s="91">
        <f t="shared" si="202"/>
        <v>0</v>
      </c>
      <c r="DD62" s="91">
        <f t="shared" si="202"/>
        <v>0</v>
      </c>
      <c r="DE62" s="91">
        <f t="shared" si="202"/>
        <v>0</v>
      </c>
      <c r="DF62" s="91">
        <f t="shared" si="202"/>
        <v>0</v>
      </c>
      <c r="DG62" s="91">
        <f t="shared" si="202"/>
        <v>0</v>
      </c>
    </row>
    <row r="63" spans="1:111" s="15" customFormat="1" x14ac:dyDescent="0.25">
      <c r="A63"/>
      <c r="B63" s="1" t="s">
        <v>309</v>
      </c>
      <c r="C63" s="1"/>
      <c r="D63" s="91"/>
      <c r="E63" s="91"/>
      <c r="F63" s="91"/>
      <c r="G63" s="91"/>
      <c r="H63" s="91"/>
      <c r="I63" s="91"/>
      <c r="J63" s="91"/>
      <c r="K63" s="91"/>
      <c r="L63" s="91">
        <v>1000</v>
      </c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>
        <v>248.6</v>
      </c>
      <c r="AA63" s="91">
        <v>492.62</v>
      </c>
      <c r="AB63" s="91"/>
      <c r="AC63" s="91">
        <v>120</v>
      </c>
      <c r="AD63" s="91"/>
      <c r="AE63" s="91"/>
      <c r="AF63" s="91"/>
      <c r="AG63" s="91"/>
      <c r="AH63" s="91"/>
      <c r="AI63" s="91"/>
      <c r="AJ63" s="91"/>
      <c r="AK63" s="91"/>
      <c r="AL63" s="91"/>
      <c r="AM63" s="91">
        <v>1111.8399999999999</v>
      </c>
      <c r="AN63" s="91"/>
      <c r="AO63" s="91">
        <v>2084.7600000000002</v>
      </c>
      <c r="AP63" s="91">
        <v>90</v>
      </c>
      <c r="AQ63" s="91">
        <v>80</v>
      </c>
      <c r="AR63" s="91">
        <v>0</v>
      </c>
      <c r="AS63" s="155">
        <v>0</v>
      </c>
      <c r="AT63" s="743">
        <v>250</v>
      </c>
      <c r="AU63" s="91">
        <f t="shared" ref="AU63:CP63" si="203">++AT63</f>
        <v>250</v>
      </c>
      <c r="AV63" s="91">
        <f t="shared" si="203"/>
        <v>250</v>
      </c>
      <c r="AW63" s="91">
        <f t="shared" si="203"/>
        <v>250</v>
      </c>
      <c r="AX63" s="91">
        <f t="shared" si="203"/>
        <v>250</v>
      </c>
      <c r="AY63" s="155">
        <f t="shared" si="203"/>
        <v>250</v>
      </c>
      <c r="AZ63" s="346">
        <f>++AY63*2</f>
        <v>500</v>
      </c>
      <c r="BA63" s="91">
        <f t="shared" si="203"/>
        <v>500</v>
      </c>
      <c r="BB63" s="91">
        <f t="shared" si="203"/>
        <v>500</v>
      </c>
      <c r="BC63" s="91">
        <f t="shared" si="203"/>
        <v>500</v>
      </c>
      <c r="BD63" s="91">
        <f t="shared" si="203"/>
        <v>500</v>
      </c>
      <c r="BE63" s="91">
        <f t="shared" si="203"/>
        <v>500</v>
      </c>
      <c r="BF63" s="91">
        <f t="shared" si="203"/>
        <v>500</v>
      </c>
      <c r="BG63" s="91">
        <f t="shared" si="203"/>
        <v>500</v>
      </c>
      <c r="BH63" s="91">
        <f t="shared" si="203"/>
        <v>500</v>
      </c>
      <c r="BI63" s="91">
        <f t="shared" si="203"/>
        <v>500</v>
      </c>
      <c r="BJ63" s="91">
        <f t="shared" si="203"/>
        <v>500</v>
      </c>
      <c r="BK63" s="155">
        <f t="shared" si="203"/>
        <v>500</v>
      </c>
      <c r="BL63" s="346">
        <f>++BK63*2</f>
        <v>1000</v>
      </c>
      <c r="BM63" s="91">
        <f t="shared" si="203"/>
        <v>1000</v>
      </c>
      <c r="BN63" s="91">
        <f t="shared" si="203"/>
        <v>1000</v>
      </c>
      <c r="BO63" s="91">
        <f t="shared" si="203"/>
        <v>1000</v>
      </c>
      <c r="BP63" s="91">
        <f t="shared" si="203"/>
        <v>1000</v>
      </c>
      <c r="BQ63" s="91">
        <f t="shared" si="203"/>
        <v>1000</v>
      </c>
      <c r="BR63" s="91">
        <f t="shared" si="203"/>
        <v>1000</v>
      </c>
      <c r="BS63" s="91">
        <f t="shared" si="203"/>
        <v>1000</v>
      </c>
      <c r="BT63" s="91">
        <f t="shared" si="203"/>
        <v>1000</v>
      </c>
      <c r="BU63" s="91">
        <f t="shared" si="203"/>
        <v>1000</v>
      </c>
      <c r="BV63" s="91">
        <f t="shared" si="203"/>
        <v>1000</v>
      </c>
      <c r="BW63" s="155">
        <f t="shared" si="203"/>
        <v>1000</v>
      </c>
      <c r="BX63" s="346">
        <f>++BW63*2</f>
        <v>2000</v>
      </c>
      <c r="BY63" s="91">
        <f t="shared" si="203"/>
        <v>2000</v>
      </c>
      <c r="BZ63" s="91">
        <f t="shared" si="203"/>
        <v>2000</v>
      </c>
      <c r="CA63" s="91">
        <f t="shared" si="203"/>
        <v>2000</v>
      </c>
      <c r="CB63" s="91">
        <f t="shared" si="203"/>
        <v>2000</v>
      </c>
      <c r="CC63" s="91">
        <f t="shared" si="203"/>
        <v>2000</v>
      </c>
      <c r="CD63" s="91">
        <f t="shared" si="203"/>
        <v>2000</v>
      </c>
      <c r="CE63" s="91">
        <f t="shared" si="203"/>
        <v>2000</v>
      </c>
      <c r="CF63" s="91">
        <f t="shared" si="203"/>
        <v>2000</v>
      </c>
      <c r="CG63" s="91">
        <f t="shared" si="203"/>
        <v>2000</v>
      </c>
      <c r="CH63" s="91">
        <f t="shared" si="203"/>
        <v>2000</v>
      </c>
      <c r="CI63" s="155">
        <f t="shared" si="203"/>
        <v>2000</v>
      </c>
      <c r="CJ63" s="346">
        <f>+CI63</f>
        <v>2000</v>
      </c>
      <c r="CK63" s="91">
        <f t="shared" si="203"/>
        <v>2000</v>
      </c>
      <c r="CL63" s="91">
        <f t="shared" si="203"/>
        <v>2000</v>
      </c>
      <c r="CM63" s="91">
        <f t="shared" si="203"/>
        <v>2000</v>
      </c>
      <c r="CN63" s="91">
        <f t="shared" si="203"/>
        <v>2000</v>
      </c>
      <c r="CO63" s="91">
        <f t="shared" si="203"/>
        <v>2000</v>
      </c>
      <c r="CP63" s="91">
        <f t="shared" si="203"/>
        <v>2000</v>
      </c>
      <c r="CQ63" s="91">
        <f t="shared" ref="CQ63:DG63" si="204">++CP63</f>
        <v>2000</v>
      </c>
      <c r="CR63" s="91">
        <f t="shared" si="204"/>
        <v>2000</v>
      </c>
      <c r="CS63" s="91">
        <f t="shared" si="204"/>
        <v>2000</v>
      </c>
      <c r="CT63" s="91">
        <f t="shared" si="204"/>
        <v>2000</v>
      </c>
      <c r="CU63" s="155">
        <f t="shared" si="204"/>
        <v>2000</v>
      </c>
      <c r="CV63" s="346">
        <f>+CU63</f>
        <v>2000</v>
      </c>
      <c r="CW63" s="91">
        <f t="shared" si="204"/>
        <v>2000</v>
      </c>
      <c r="CX63" s="91">
        <f t="shared" si="204"/>
        <v>2000</v>
      </c>
      <c r="CY63" s="91">
        <f t="shared" si="204"/>
        <v>2000</v>
      </c>
      <c r="CZ63" s="91">
        <f t="shared" si="204"/>
        <v>2000</v>
      </c>
      <c r="DA63" s="91">
        <f t="shared" si="204"/>
        <v>2000</v>
      </c>
      <c r="DB63" s="91">
        <f t="shared" si="204"/>
        <v>2000</v>
      </c>
      <c r="DC63" s="91">
        <f t="shared" si="204"/>
        <v>2000</v>
      </c>
      <c r="DD63" s="91">
        <f t="shared" si="204"/>
        <v>2000</v>
      </c>
      <c r="DE63" s="91">
        <f t="shared" si="204"/>
        <v>2000</v>
      </c>
      <c r="DF63" s="91">
        <f t="shared" si="204"/>
        <v>2000</v>
      </c>
      <c r="DG63" s="91">
        <f t="shared" si="204"/>
        <v>2000</v>
      </c>
    </row>
    <row r="64" spans="1:111" s="15" customFormat="1" x14ac:dyDescent="0.25">
      <c r="A64"/>
      <c r="B64" s="1" t="s">
        <v>456</v>
      </c>
      <c r="C64" s="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>
        <v>1004.77</v>
      </c>
      <c r="AB64" s="91"/>
      <c r="AC64" s="91">
        <v>250.07</v>
      </c>
      <c r="AD64" s="91">
        <v>586.91999999999996</v>
      </c>
      <c r="AE64" s="91">
        <v>726.59</v>
      </c>
      <c r="AF64" s="91">
        <v>303.93</v>
      </c>
      <c r="AG64" s="91">
        <v>412.44</v>
      </c>
      <c r="AH64" s="91">
        <v>308.2</v>
      </c>
      <c r="AI64" s="91">
        <v>76.38</v>
      </c>
      <c r="AJ64" s="91">
        <v>241.2</v>
      </c>
      <c r="AK64" s="91">
        <v>139.1</v>
      </c>
      <c r="AL64" s="91">
        <v>241.19</v>
      </c>
      <c r="AM64" s="91">
        <v>77.290000000000006</v>
      </c>
      <c r="AN64" s="91"/>
      <c r="AO64" s="91"/>
      <c r="AP64" s="91">
        <v>134.18</v>
      </c>
      <c r="AQ64" s="91"/>
      <c r="AR64" s="91"/>
      <c r="AS64" s="155">
        <v>0</v>
      </c>
      <c r="AT64" s="743">
        <f t="shared" ref="AT64" si="205">+AVERAGE(AQ64:AS64)</f>
        <v>0</v>
      </c>
      <c r="AU64" s="91">
        <f t="shared" ref="AU64:CP64" si="206">++AT64</f>
        <v>0</v>
      </c>
      <c r="AV64" s="91">
        <f t="shared" si="206"/>
        <v>0</v>
      </c>
      <c r="AW64" s="91">
        <f t="shared" si="206"/>
        <v>0</v>
      </c>
      <c r="AX64" s="91">
        <f t="shared" si="206"/>
        <v>0</v>
      </c>
      <c r="AY64" s="155">
        <f t="shared" si="206"/>
        <v>0</v>
      </c>
      <c r="AZ64" s="346">
        <f t="shared" ref="AZ64:AZ66" si="207">++AY64*2</f>
        <v>0</v>
      </c>
      <c r="BA64" s="91">
        <f t="shared" si="206"/>
        <v>0</v>
      </c>
      <c r="BB64" s="91">
        <f t="shared" si="206"/>
        <v>0</v>
      </c>
      <c r="BC64" s="91">
        <f t="shared" si="206"/>
        <v>0</v>
      </c>
      <c r="BD64" s="91">
        <f t="shared" si="206"/>
        <v>0</v>
      </c>
      <c r="BE64" s="91">
        <f t="shared" si="206"/>
        <v>0</v>
      </c>
      <c r="BF64" s="91">
        <f t="shared" si="206"/>
        <v>0</v>
      </c>
      <c r="BG64" s="91">
        <f t="shared" si="206"/>
        <v>0</v>
      </c>
      <c r="BH64" s="91">
        <f t="shared" si="206"/>
        <v>0</v>
      </c>
      <c r="BI64" s="91">
        <f t="shared" si="206"/>
        <v>0</v>
      </c>
      <c r="BJ64" s="91">
        <f t="shared" si="206"/>
        <v>0</v>
      </c>
      <c r="BK64" s="155">
        <f t="shared" si="206"/>
        <v>0</v>
      </c>
      <c r="BL64" s="346">
        <f t="shared" ref="BL64:BL66" si="208">++BK64*2</f>
        <v>0</v>
      </c>
      <c r="BM64" s="91">
        <f t="shared" si="206"/>
        <v>0</v>
      </c>
      <c r="BN64" s="91">
        <f t="shared" si="206"/>
        <v>0</v>
      </c>
      <c r="BO64" s="91">
        <f t="shared" si="206"/>
        <v>0</v>
      </c>
      <c r="BP64" s="91">
        <f t="shared" si="206"/>
        <v>0</v>
      </c>
      <c r="BQ64" s="91">
        <f t="shared" si="206"/>
        <v>0</v>
      </c>
      <c r="BR64" s="91">
        <f t="shared" si="206"/>
        <v>0</v>
      </c>
      <c r="BS64" s="91">
        <f t="shared" si="206"/>
        <v>0</v>
      </c>
      <c r="BT64" s="91">
        <f t="shared" si="206"/>
        <v>0</v>
      </c>
      <c r="BU64" s="91">
        <f t="shared" si="206"/>
        <v>0</v>
      </c>
      <c r="BV64" s="91">
        <f t="shared" si="206"/>
        <v>0</v>
      </c>
      <c r="BW64" s="155">
        <f t="shared" si="206"/>
        <v>0</v>
      </c>
      <c r="BX64" s="346">
        <f t="shared" ref="BX64:BX66" si="209">++BW64*2</f>
        <v>0</v>
      </c>
      <c r="BY64" s="91">
        <f t="shared" si="206"/>
        <v>0</v>
      </c>
      <c r="BZ64" s="91">
        <f t="shared" si="206"/>
        <v>0</v>
      </c>
      <c r="CA64" s="91">
        <f t="shared" si="206"/>
        <v>0</v>
      </c>
      <c r="CB64" s="91">
        <f t="shared" si="206"/>
        <v>0</v>
      </c>
      <c r="CC64" s="91">
        <f t="shared" si="206"/>
        <v>0</v>
      </c>
      <c r="CD64" s="91">
        <f t="shared" si="206"/>
        <v>0</v>
      </c>
      <c r="CE64" s="91">
        <f t="shared" si="206"/>
        <v>0</v>
      </c>
      <c r="CF64" s="91">
        <f t="shared" si="206"/>
        <v>0</v>
      </c>
      <c r="CG64" s="91">
        <f t="shared" si="206"/>
        <v>0</v>
      </c>
      <c r="CH64" s="91">
        <f t="shared" si="206"/>
        <v>0</v>
      </c>
      <c r="CI64" s="155">
        <f t="shared" si="206"/>
        <v>0</v>
      </c>
      <c r="CJ64" s="346">
        <f t="shared" ref="CJ64:CJ66" si="210">+CI64</f>
        <v>0</v>
      </c>
      <c r="CK64" s="91">
        <f t="shared" si="206"/>
        <v>0</v>
      </c>
      <c r="CL64" s="91">
        <f t="shared" si="206"/>
        <v>0</v>
      </c>
      <c r="CM64" s="91">
        <f t="shared" si="206"/>
        <v>0</v>
      </c>
      <c r="CN64" s="91">
        <f t="shared" si="206"/>
        <v>0</v>
      </c>
      <c r="CO64" s="91">
        <f t="shared" si="206"/>
        <v>0</v>
      </c>
      <c r="CP64" s="91">
        <f t="shared" si="206"/>
        <v>0</v>
      </c>
      <c r="CQ64" s="91">
        <f t="shared" ref="CQ64:DG64" si="211">++CP64</f>
        <v>0</v>
      </c>
      <c r="CR64" s="91">
        <f t="shared" si="211"/>
        <v>0</v>
      </c>
      <c r="CS64" s="91">
        <f t="shared" si="211"/>
        <v>0</v>
      </c>
      <c r="CT64" s="91">
        <f t="shared" si="211"/>
        <v>0</v>
      </c>
      <c r="CU64" s="155">
        <f t="shared" si="211"/>
        <v>0</v>
      </c>
      <c r="CV64" s="346">
        <f t="shared" ref="CV64:CV66" si="212">+CU64</f>
        <v>0</v>
      </c>
      <c r="CW64" s="91">
        <f t="shared" si="211"/>
        <v>0</v>
      </c>
      <c r="CX64" s="91">
        <f t="shared" si="211"/>
        <v>0</v>
      </c>
      <c r="CY64" s="91">
        <f t="shared" si="211"/>
        <v>0</v>
      </c>
      <c r="CZ64" s="91">
        <f t="shared" si="211"/>
        <v>0</v>
      </c>
      <c r="DA64" s="91">
        <f t="shared" si="211"/>
        <v>0</v>
      </c>
      <c r="DB64" s="91">
        <f t="shared" si="211"/>
        <v>0</v>
      </c>
      <c r="DC64" s="91">
        <f t="shared" si="211"/>
        <v>0</v>
      </c>
      <c r="DD64" s="91">
        <f t="shared" si="211"/>
        <v>0</v>
      </c>
      <c r="DE64" s="91">
        <f t="shared" si="211"/>
        <v>0</v>
      </c>
      <c r="DF64" s="91">
        <f t="shared" si="211"/>
        <v>0</v>
      </c>
      <c r="DG64" s="91">
        <f t="shared" si="211"/>
        <v>0</v>
      </c>
    </row>
    <row r="65" spans="1:111" s="15" customFormat="1" x14ac:dyDescent="0.25">
      <c r="A65"/>
      <c r="B65" s="1" t="s">
        <v>310</v>
      </c>
      <c r="C65" s="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>
        <v>994.4</v>
      </c>
      <c r="AD65" s="91"/>
      <c r="AE65" s="91"/>
      <c r="AF65" s="91">
        <v>361.13</v>
      </c>
      <c r="AG65" s="91">
        <v>1644.31</v>
      </c>
      <c r="AH65" s="91"/>
      <c r="AI65" s="91"/>
      <c r="AJ65" s="91"/>
      <c r="AK65" s="91">
        <v>201.78</v>
      </c>
      <c r="AL65" s="91"/>
      <c r="AM65" s="91"/>
      <c r="AN65" s="91"/>
      <c r="AO65" s="91">
        <v>3224.71</v>
      </c>
      <c r="AP65" s="91">
        <v>933.21</v>
      </c>
      <c r="AQ65" s="91">
        <v>1744.56</v>
      </c>
      <c r="AR65" s="91">
        <v>491.8</v>
      </c>
      <c r="AS65" s="155">
        <v>0</v>
      </c>
      <c r="AT65" s="743">
        <v>750</v>
      </c>
      <c r="AU65" s="91">
        <f t="shared" ref="AU65:AU66" si="213">++AT65</f>
        <v>750</v>
      </c>
      <c r="AV65" s="91">
        <f t="shared" ref="AV65:AV66" si="214">++AU65</f>
        <v>750</v>
      </c>
      <c r="AW65" s="91">
        <f t="shared" ref="AW65:AW66" si="215">++AV65</f>
        <v>750</v>
      </c>
      <c r="AX65" s="91">
        <f t="shared" ref="AX65:AX66" si="216">++AW65</f>
        <v>750</v>
      </c>
      <c r="AY65" s="155">
        <f t="shared" ref="AY65:AY66" si="217">++AX65</f>
        <v>750</v>
      </c>
      <c r="AZ65" s="346">
        <f t="shared" si="207"/>
        <v>1500</v>
      </c>
      <c r="BA65" s="91">
        <f t="shared" ref="BA65:BA66" si="218">++AZ65</f>
        <v>1500</v>
      </c>
      <c r="BB65" s="91">
        <f t="shared" ref="BB65:BB66" si="219">++BA65</f>
        <v>1500</v>
      </c>
      <c r="BC65" s="91">
        <f t="shared" ref="BC65:BC66" si="220">++BB65</f>
        <v>1500</v>
      </c>
      <c r="BD65" s="91">
        <f t="shared" ref="BD65:BD66" si="221">++BC65</f>
        <v>1500</v>
      </c>
      <c r="BE65" s="91">
        <f t="shared" ref="BE65:BE66" si="222">++BD65</f>
        <v>1500</v>
      </c>
      <c r="BF65" s="91">
        <f t="shared" ref="BF65:BF66" si="223">++BE65</f>
        <v>1500</v>
      </c>
      <c r="BG65" s="91">
        <f t="shared" ref="BG65:BG66" si="224">++BF65</f>
        <v>1500</v>
      </c>
      <c r="BH65" s="91">
        <f t="shared" ref="BH65:BH66" si="225">++BG65</f>
        <v>1500</v>
      </c>
      <c r="BI65" s="91">
        <f t="shared" ref="BI65:BI66" si="226">++BH65</f>
        <v>1500</v>
      </c>
      <c r="BJ65" s="91">
        <f t="shared" ref="BJ65:BJ66" si="227">++BI65</f>
        <v>1500</v>
      </c>
      <c r="BK65" s="155">
        <f t="shared" ref="BK65:BK66" si="228">++BJ65</f>
        <v>1500</v>
      </c>
      <c r="BL65" s="346">
        <f t="shared" si="208"/>
        <v>3000</v>
      </c>
      <c r="BM65" s="91">
        <f t="shared" ref="BM65:BM66" si="229">++BL65</f>
        <v>3000</v>
      </c>
      <c r="BN65" s="91">
        <f t="shared" ref="BN65:BN66" si="230">++BM65</f>
        <v>3000</v>
      </c>
      <c r="BO65" s="91">
        <f t="shared" ref="BO65:BO66" si="231">++BN65</f>
        <v>3000</v>
      </c>
      <c r="BP65" s="91">
        <f t="shared" ref="BP65:BP66" si="232">++BO65</f>
        <v>3000</v>
      </c>
      <c r="BQ65" s="91">
        <f t="shared" ref="BQ65:BQ66" si="233">++BP65</f>
        <v>3000</v>
      </c>
      <c r="BR65" s="91">
        <f t="shared" ref="BR65:BR66" si="234">++BQ65</f>
        <v>3000</v>
      </c>
      <c r="BS65" s="91">
        <f t="shared" ref="BS65:BS66" si="235">++BR65</f>
        <v>3000</v>
      </c>
      <c r="BT65" s="91">
        <f t="shared" ref="BT65:BT66" si="236">++BS65</f>
        <v>3000</v>
      </c>
      <c r="BU65" s="91">
        <f t="shared" ref="BU65:BU66" si="237">++BT65</f>
        <v>3000</v>
      </c>
      <c r="BV65" s="91">
        <f t="shared" ref="BV65:BV66" si="238">++BU65</f>
        <v>3000</v>
      </c>
      <c r="BW65" s="155">
        <f t="shared" ref="BW65:BW66" si="239">++BV65</f>
        <v>3000</v>
      </c>
      <c r="BX65" s="346">
        <f t="shared" si="209"/>
        <v>6000</v>
      </c>
      <c r="BY65" s="91">
        <f t="shared" ref="BY65:BY66" si="240">++BX65</f>
        <v>6000</v>
      </c>
      <c r="BZ65" s="91">
        <f t="shared" ref="BZ65:BZ66" si="241">++BY65</f>
        <v>6000</v>
      </c>
      <c r="CA65" s="91">
        <f t="shared" ref="CA65:CA66" si="242">++BZ65</f>
        <v>6000</v>
      </c>
      <c r="CB65" s="91">
        <f t="shared" ref="CB65:CB66" si="243">++CA65</f>
        <v>6000</v>
      </c>
      <c r="CC65" s="91">
        <f t="shared" ref="CC65:CC66" si="244">++CB65</f>
        <v>6000</v>
      </c>
      <c r="CD65" s="91">
        <f t="shared" ref="CD65:CD66" si="245">++CC65</f>
        <v>6000</v>
      </c>
      <c r="CE65" s="91">
        <f t="shared" ref="CE65:CE66" si="246">++CD65</f>
        <v>6000</v>
      </c>
      <c r="CF65" s="91">
        <f t="shared" ref="CF65:CF66" si="247">++CE65</f>
        <v>6000</v>
      </c>
      <c r="CG65" s="91">
        <f t="shared" ref="CG65:CG66" si="248">++CF65</f>
        <v>6000</v>
      </c>
      <c r="CH65" s="91">
        <f t="shared" ref="CH65:CH66" si="249">++CG65</f>
        <v>6000</v>
      </c>
      <c r="CI65" s="155">
        <f t="shared" ref="CI65:CI66" si="250">++CH65</f>
        <v>6000</v>
      </c>
      <c r="CJ65" s="346">
        <f t="shared" si="210"/>
        <v>6000</v>
      </c>
      <c r="CK65" s="91">
        <f t="shared" ref="CK65:CK66" si="251">++CJ65</f>
        <v>6000</v>
      </c>
      <c r="CL65" s="91">
        <f t="shared" ref="CL65:CL66" si="252">++CK65</f>
        <v>6000</v>
      </c>
      <c r="CM65" s="91">
        <f t="shared" ref="CM65:CM66" si="253">++CL65</f>
        <v>6000</v>
      </c>
      <c r="CN65" s="91">
        <f t="shared" ref="CN65:CN66" si="254">++CM65</f>
        <v>6000</v>
      </c>
      <c r="CO65" s="91">
        <f t="shared" ref="CO65:CO66" si="255">++CN65</f>
        <v>6000</v>
      </c>
      <c r="CP65" s="91">
        <f t="shared" ref="CP65:CP66" si="256">++CO65</f>
        <v>6000</v>
      </c>
      <c r="CQ65" s="91">
        <f t="shared" ref="CQ65:CQ66" si="257">++CP65</f>
        <v>6000</v>
      </c>
      <c r="CR65" s="91">
        <f t="shared" ref="CR65:CR66" si="258">++CQ65</f>
        <v>6000</v>
      </c>
      <c r="CS65" s="91">
        <f t="shared" ref="CS65:CS66" si="259">++CR65</f>
        <v>6000</v>
      </c>
      <c r="CT65" s="91">
        <f t="shared" ref="CT65:CT66" si="260">++CS65</f>
        <v>6000</v>
      </c>
      <c r="CU65" s="155">
        <f t="shared" ref="CU65:CU66" si="261">++CT65</f>
        <v>6000</v>
      </c>
      <c r="CV65" s="346">
        <f t="shared" si="212"/>
        <v>6000</v>
      </c>
      <c r="CW65" s="91">
        <f t="shared" ref="CW65:CW66" si="262">++CV65</f>
        <v>6000</v>
      </c>
      <c r="CX65" s="91">
        <f t="shared" ref="CX65:CX66" si="263">++CW65</f>
        <v>6000</v>
      </c>
      <c r="CY65" s="91">
        <f t="shared" ref="CY65:CY66" si="264">++CX65</f>
        <v>6000</v>
      </c>
      <c r="CZ65" s="91">
        <f t="shared" ref="CZ65:CZ66" si="265">++CY65</f>
        <v>6000</v>
      </c>
      <c r="DA65" s="91">
        <f t="shared" ref="DA65:DA66" si="266">++CZ65</f>
        <v>6000</v>
      </c>
      <c r="DB65" s="91">
        <f t="shared" ref="DB65:DB66" si="267">++DA65</f>
        <v>6000</v>
      </c>
      <c r="DC65" s="91">
        <f t="shared" ref="DC65:DC66" si="268">++DB65</f>
        <v>6000</v>
      </c>
      <c r="DD65" s="91">
        <f t="shared" ref="DD65:DD66" si="269">++DC65</f>
        <v>6000</v>
      </c>
      <c r="DE65" s="91">
        <f t="shared" ref="DE65:DE66" si="270">++DD65</f>
        <v>6000</v>
      </c>
      <c r="DF65" s="91">
        <f t="shared" ref="DF65:DF66" si="271">++DE65</f>
        <v>6000</v>
      </c>
      <c r="DG65" s="91">
        <f t="shared" ref="DG65:DG66" si="272">++DF65</f>
        <v>6000</v>
      </c>
    </row>
    <row r="66" spans="1:111" s="15" customFormat="1" x14ac:dyDescent="0.25">
      <c r="A66"/>
      <c r="B66" s="1" t="s">
        <v>457</v>
      </c>
      <c r="C66" s="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>
        <v>298.60000000000002</v>
      </c>
      <c r="AD66" s="91"/>
      <c r="AE66" s="91"/>
      <c r="AF66" s="91"/>
      <c r="AG66" s="91">
        <v>120</v>
      </c>
      <c r="AH66" s="91"/>
      <c r="AI66" s="91"/>
      <c r="AJ66" s="91"/>
      <c r="AK66" s="91"/>
      <c r="AL66" s="91"/>
      <c r="AM66" s="91"/>
      <c r="AN66" s="91"/>
      <c r="AO66" s="91">
        <v>600.35</v>
      </c>
      <c r="AP66" s="91">
        <v>85.33</v>
      </c>
      <c r="AQ66" s="91">
        <v>40.83</v>
      </c>
      <c r="AR66" s="91">
        <v>0</v>
      </c>
      <c r="AS66" s="155">
        <v>0</v>
      </c>
      <c r="AT66" s="743">
        <f>+AS66</f>
        <v>0</v>
      </c>
      <c r="AU66" s="91">
        <f t="shared" si="213"/>
        <v>0</v>
      </c>
      <c r="AV66" s="91">
        <f t="shared" si="214"/>
        <v>0</v>
      </c>
      <c r="AW66" s="91">
        <f t="shared" si="215"/>
        <v>0</v>
      </c>
      <c r="AX66" s="91">
        <f t="shared" si="216"/>
        <v>0</v>
      </c>
      <c r="AY66" s="155">
        <f t="shared" si="217"/>
        <v>0</v>
      </c>
      <c r="AZ66" s="346">
        <f t="shared" si="207"/>
        <v>0</v>
      </c>
      <c r="BA66" s="91">
        <f t="shared" si="218"/>
        <v>0</v>
      </c>
      <c r="BB66" s="91">
        <f t="shared" si="219"/>
        <v>0</v>
      </c>
      <c r="BC66" s="91">
        <f t="shared" si="220"/>
        <v>0</v>
      </c>
      <c r="BD66" s="91">
        <f t="shared" si="221"/>
        <v>0</v>
      </c>
      <c r="BE66" s="91">
        <f t="shared" si="222"/>
        <v>0</v>
      </c>
      <c r="BF66" s="91">
        <f t="shared" si="223"/>
        <v>0</v>
      </c>
      <c r="BG66" s="91">
        <f t="shared" si="224"/>
        <v>0</v>
      </c>
      <c r="BH66" s="91">
        <f t="shared" si="225"/>
        <v>0</v>
      </c>
      <c r="BI66" s="91">
        <f t="shared" si="226"/>
        <v>0</v>
      </c>
      <c r="BJ66" s="91">
        <f t="shared" si="227"/>
        <v>0</v>
      </c>
      <c r="BK66" s="155">
        <f t="shared" si="228"/>
        <v>0</v>
      </c>
      <c r="BL66" s="346">
        <f t="shared" si="208"/>
        <v>0</v>
      </c>
      <c r="BM66" s="91">
        <f t="shared" si="229"/>
        <v>0</v>
      </c>
      <c r="BN66" s="91">
        <f t="shared" si="230"/>
        <v>0</v>
      </c>
      <c r="BO66" s="91">
        <f t="shared" si="231"/>
        <v>0</v>
      </c>
      <c r="BP66" s="91">
        <f t="shared" si="232"/>
        <v>0</v>
      </c>
      <c r="BQ66" s="91">
        <f t="shared" si="233"/>
        <v>0</v>
      </c>
      <c r="BR66" s="91">
        <f t="shared" si="234"/>
        <v>0</v>
      </c>
      <c r="BS66" s="91">
        <f t="shared" si="235"/>
        <v>0</v>
      </c>
      <c r="BT66" s="91">
        <f t="shared" si="236"/>
        <v>0</v>
      </c>
      <c r="BU66" s="91">
        <f t="shared" si="237"/>
        <v>0</v>
      </c>
      <c r="BV66" s="91">
        <f t="shared" si="238"/>
        <v>0</v>
      </c>
      <c r="BW66" s="155">
        <f t="shared" si="239"/>
        <v>0</v>
      </c>
      <c r="BX66" s="346">
        <f t="shared" si="209"/>
        <v>0</v>
      </c>
      <c r="BY66" s="91">
        <f t="shared" si="240"/>
        <v>0</v>
      </c>
      <c r="BZ66" s="91">
        <f t="shared" si="241"/>
        <v>0</v>
      </c>
      <c r="CA66" s="91">
        <f t="shared" si="242"/>
        <v>0</v>
      </c>
      <c r="CB66" s="91">
        <f t="shared" si="243"/>
        <v>0</v>
      </c>
      <c r="CC66" s="91">
        <f t="shared" si="244"/>
        <v>0</v>
      </c>
      <c r="CD66" s="91">
        <f t="shared" si="245"/>
        <v>0</v>
      </c>
      <c r="CE66" s="91">
        <f t="shared" si="246"/>
        <v>0</v>
      </c>
      <c r="CF66" s="91">
        <f t="shared" si="247"/>
        <v>0</v>
      </c>
      <c r="CG66" s="91">
        <f t="shared" si="248"/>
        <v>0</v>
      </c>
      <c r="CH66" s="91">
        <f t="shared" si="249"/>
        <v>0</v>
      </c>
      <c r="CI66" s="155">
        <f t="shared" si="250"/>
        <v>0</v>
      </c>
      <c r="CJ66" s="346">
        <f t="shared" si="210"/>
        <v>0</v>
      </c>
      <c r="CK66" s="91">
        <f t="shared" si="251"/>
        <v>0</v>
      </c>
      <c r="CL66" s="91">
        <f t="shared" si="252"/>
        <v>0</v>
      </c>
      <c r="CM66" s="91">
        <f t="shared" si="253"/>
        <v>0</v>
      </c>
      <c r="CN66" s="91">
        <f t="shared" si="254"/>
        <v>0</v>
      </c>
      <c r="CO66" s="91">
        <f t="shared" si="255"/>
        <v>0</v>
      </c>
      <c r="CP66" s="91">
        <f t="shared" si="256"/>
        <v>0</v>
      </c>
      <c r="CQ66" s="91">
        <f t="shared" si="257"/>
        <v>0</v>
      </c>
      <c r="CR66" s="91">
        <f t="shared" si="258"/>
        <v>0</v>
      </c>
      <c r="CS66" s="91">
        <f t="shared" si="259"/>
        <v>0</v>
      </c>
      <c r="CT66" s="91">
        <f t="shared" si="260"/>
        <v>0</v>
      </c>
      <c r="CU66" s="155">
        <f t="shared" si="261"/>
        <v>0</v>
      </c>
      <c r="CV66" s="346">
        <f t="shared" si="212"/>
        <v>0</v>
      </c>
      <c r="CW66" s="91">
        <f t="shared" si="262"/>
        <v>0</v>
      </c>
      <c r="CX66" s="91">
        <f t="shared" si="263"/>
        <v>0</v>
      </c>
      <c r="CY66" s="91">
        <f t="shared" si="264"/>
        <v>0</v>
      </c>
      <c r="CZ66" s="91">
        <f t="shared" si="265"/>
        <v>0</v>
      </c>
      <c r="DA66" s="91">
        <f t="shared" si="266"/>
        <v>0</v>
      </c>
      <c r="DB66" s="91">
        <f t="shared" si="267"/>
        <v>0</v>
      </c>
      <c r="DC66" s="91">
        <f t="shared" si="268"/>
        <v>0</v>
      </c>
      <c r="DD66" s="91">
        <f t="shared" si="269"/>
        <v>0</v>
      </c>
      <c r="DE66" s="91">
        <f t="shared" si="270"/>
        <v>0</v>
      </c>
      <c r="DF66" s="91">
        <f t="shared" si="271"/>
        <v>0</v>
      </c>
      <c r="DG66" s="91">
        <f t="shared" si="272"/>
        <v>0</v>
      </c>
    </row>
    <row r="67" spans="1:111" s="15" customFormat="1" x14ac:dyDescent="0.25">
      <c r="A67"/>
      <c r="B67" s="1" t="s">
        <v>458</v>
      </c>
      <c r="C67" s="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>
        <v>475.27</v>
      </c>
      <c r="AH67" s="91"/>
      <c r="AI67" s="91"/>
      <c r="AJ67" s="91"/>
      <c r="AK67" s="91">
        <v>249</v>
      </c>
      <c r="AL67" s="91"/>
      <c r="AM67" s="91"/>
      <c r="AN67" s="91">
        <v>0</v>
      </c>
      <c r="AO67" s="91"/>
      <c r="AP67" s="91">
        <v>117.1</v>
      </c>
      <c r="AQ67" s="91">
        <v>458.28</v>
      </c>
      <c r="AR67" s="91">
        <v>0</v>
      </c>
      <c r="AS67" s="155">
        <v>0</v>
      </c>
      <c r="AT67" s="743">
        <f t="shared" ref="AT67" si="273">+AVERAGE(AQ67:AS67)</f>
        <v>152.76</v>
      </c>
      <c r="AU67" s="91">
        <f t="shared" ref="AU67" si="274">++AT67</f>
        <v>152.76</v>
      </c>
      <c r="AV67" s="91">
        <f t="shared" ref="AV67" si="275">++AU67</f>
        <v>152.76</v>
      </c>
      <c r="AW67" s="91">
        <f t="shared" ref="AW67" si="276">++AV67</f>
        <v>152.76</v>
      </c>
      <c r="AX67" s="91">
        <f t="shared" ref="AX67" si="277">++AW67</f>
        <v>152.76</v>
      </c>
      <c r="AY67" s="155">
        <f t="shared" ref="AY67" si="278">++AX67</f>
        <v>152.76</v>
      </c>
      <c r="AZ67" s="346">
        <f t="shared" ref="AZ67" si="279">++AY67*2</f>
        <v>305.52</v>
      </c>
      <c r="BA67" s="91">
        <f t="shared" ref="BA67" si="280">++AZ67</f>
        <v>305.52</v>
      </c>
      <c r="BB67" s="91">
        <f t="shared" ref="BB67" si="281">++BA67</f>
        <v>305.52</v>
      </c>
      <c r="BC67" s="91">
        <f t="shared" ref="BC67" si="282">++BB67</f>
        <v>305.52</v>
      </c>
      <c r="BD67" s="91">
        <f t="shared" ref="BD67" si="283">++BC67</f>
        <v>305.52</v>
      </c>
      <c r="BE67" s="91">
        <f t="shared" ref="BE67" si="284">++BD67</f>
        <v>305.52</v>
      </c>
      <c r="BF67" s="91">
        <f t="shared" ref="BF67" si="285">++BE67</f>
        <v>305.52</v>
      </c>
      <c r="BG67" s="91">
        <f t="shared" ref="BG67" si="286">++BF67</f>
        <v>305.52</v>
      </c>
      <c r="BH67" s="91">
        <f t="shared" ref="BH67" si="287">++BG67</f>
        <v>305.52</v>
      </c>
      <c r="BI67" s="91">
        <f t="shared" ref="BI67" si="288">++BH67</f>
        <v>305.52</v>
      </c>
      <c r="BJ67" s="91">
        <f t="shared" ref="BJ67" si="289">++BI67</f>
        <v>305.52</v>
      </c>
      <c r="BK67" s="155">
        <f t="shared" ref="BK67" si="290">++BJ67</f>
        <v>305.52</v>
      </c>
      <c r="BL67" s="346">
        <f t="shared" ref="BL67" si="291">++BK67*2</f>
        <v>611.04</v>
      </c>
      <c r="BM67" s="91">
        <f t="shared" ref="BM67" si="292">++BL67</f>
        <v>611.04</v>
      </c>
      <c r="BN67" s="91">
        <f t="shared" ref="BN67" si="293">++BM67</f>
        <v>611.04</v>
      </c>
      <c r="BO67" s="91">
        <f t="shared" ref="BO67" si="294">++BN67</f>
        <v>611.04</v>
      </c>
      <c r="BP67" s="91">
        <f t="shared" ref="BP67" si="295">++BO67</f>
        <v>611.04</v>
      </c>
      <c r="BQ67" s="91">
        <f t="shared" ref="BQ67" si="296">++BP67</f>
        <v>611.04</v>
      </c>
      <c r="BR67" s="91">
        <f t="shared" ref="BR67" si="297">++BQ67</f>
        <v>611.04</v>
      </c>
      <c r="BS67" s="91">
        <f t="shared" ref="BS67" si="298">++BR67</f>
        <v>611.04</v>
      </c>
      <c r="BT67" s="91">
        <f t="shared" ref="BT67" si="299">++BS67</f>
        <v>611.04</v>
      </c>
      <c r="BU67" s="91">
        <f t="shared" ref="BU67" si="300">++BT67</f>
        <v>611.04</v>
      </c>
      <c r="BV67" s="91">
        <f t="shared" ref="BV67" si="301">++BU67</f>
        <v>611.04</v>
      </c>
      <c r="BW67" s="155">
        <f t="shared" ref="BW67" si="302">++BV67</f>
        <v>611.04</v>
      </c>
      <c r="BX67" s="346">
        <f t="shared" ref="BX67" si="303">++BW67*2</f>
        <v>1222.08</v>
      </c>
      <c r="BY67" s="91">
        <f t="shared" ref="BY67" si="304">++BX67</f>
        <v>1222.08</v>
      </c>
      <c r="BZ67" s="91">
        <f t="shared" ref="BZ67" si="305">++BY67</f>
        <v>1222.08</v>
      </c>
      <c r="CA67" s="91">
        <f t="shared" ref="CA67" si="306">++BZ67</f>
        <v>1222.08</v>
      </c>
      <c r="CB67" s="91">
        <f t="shared" ref="CB67" si="307">++CA67</f>
        <v>1222.08</v>
      </c>
      <c r="CC67" s="91">
        <f t="shared" ref="CC67" si="308">++CB67</f>
        <v>1222.08</v>
      </c>
      <c r="CD67" s="91">
        <f t="shared" ref="CD67" si="309">++CC67</f>
        <v>1222.08</v>
      </c>
      <c r="CE67" s="91">
        <f t="shared" ref="CE67" si="310">++CD67</f>
        <v>1222.08</v>
      </c>
      <c r="CF67" s="91">
        <f t="shared" ref="CF67" si="311">++CE67</f>
        <v>1222.08</v>
      </c>
      <c r="CG67" s="91">
        <f t="shared" ref="CG67" si="312">++CF67</f>
        <v>1222.08</v>
      </c>
      <c r="CH67" s="91">
        <f t="shared" ref="CH67" si="313">++CG67</f>
        <v>1222.08</v>
      </c>
      <c r="CI67" s="155">
        <f t="shared" ref="CI67" si="314">++CH67</f>
        <v>1222.08</v>
      </c>
      <c r="CJ67" s="346">
        <f t="shared" ref="CJ67" si="315">+CI67</f>
        <v>1222.08</v>
      </c>
      <c r="CK67" s="91">
        <f t="shared" ref="CK67" si="316">++CJ67</f>
        <v>1222.08</v>
      </c>
      <c r="CL67" s="91">
        <f t="shared" ref="CL67" si="317">++CK67</f>
        <v>1222.08</v>
      </c>
      <c r="CM67" s="91">
        <f t="shared" ref="CM67" si="318">++CL67</f>
        <v>1222.08</v>
      </c>
      <c r="CN67" s="91">
        <f t="shared" ref="CN67" si="319">++CM67</f>
        <v>1222.08</v>
      </c>
      <c r="CO67" s="91">
        <f t="shared" ref="CO67" si="320">++CN67</f>
        <v>1222.08</v>
      </c>
      <c r="CP67" s="91">
        <f t="shared" ref="CP67" si="321">++CO67</f>
        <v>1222.08</v>
      </c>
      <c r="CQ67" s="91">
        <f t="shared" ref="CQ67" si="322">++CP67</f>
        <v>1222.08</v>
      </c>
      <c r="CR67" s="91">
        <f t="shared" ref="CR67" si="323">++CQ67</f>
        <v>1222.08</v>
      </c>
      <c r="CS67" s="91">
        <f t="shared" ref="CS67" si="324">++CR67</f>
        <v>1222.08</v>
      </c>
      <c r="CT67" s="91">
        <f t="shared" ref="CT67" si="325">++CS67</f>
        <v>1222.08</v>
      </c>
      <c r="CU67" s="155">
        <f t="shared" ref="CU67" si="326">++CT67</f>
        <v>1222.08</v>
      </c>
      <c r="CV67" s="346">
        <f t="shared" ref="CV67" si="327">+CU67</f>
        <v>1222.08</v>
      </c>
      <c r="CW67" s="91">
        <f t="shared" ref="CW67" si="328">++CV67</f>
        <v>1222.08</v>
      </c>
      <c r="CX67" s="91">
        <f t="shared" ref="CX67" si="329">++CW67</f>
        <v>1222.08</v>
      </c>
      <c r="CY67" s="91">
        <f t="shared" ref="CY67" si="330">++CX67</f>
        <v>1222.08</v>
      </c>
      <c r="CZ67" s="91">
        <f t="shared" ref="CZ67" si="331">++CY67</f>
        <v>1222.08</v>
      </c>
      <c r="DA67" s="91">
        <f t="shared" ref="DA67" si="332">++CZ67</f>
        <v>1222.08</v>
      </c>
      <c r="DB67" s="91">
        <f t="shared" ref="DB67" si="333">++DA67</f>
        <v>1222.08</v>
      </c>
      <c r="DC67" s="91">
        <f t="shared" ref="DC67" si="334">++DB67</f>
        <v>1222.08</v>
      </c>
      <c r="DD67" s="91">
        <f t="shared" ref="DD67" si="335">++DC67</f>
        <v>1222.08</v>
      </c>
      <c r="DE67" s="91">
        <f t="shared" ref="DE67" si="336">++DD67</f>
        <v>1222.08</v>
      </c>
      <c r="DF67" s="91">
        <f t="shared" ref="DF67" si="337">++DE67</f>
        <v>1222.08</v>
      </c>
      <c r="DG67" s="91">
        <f t="shared" ref="DG67" si="338">++DF67</f>
        <v>1222.08</v>
      </c>
    </row>
    <row r="68" spans="1:111" x14ac:dyDescent="0.25">
      <c r="A68" s="3"/>
      <c r="B68" s="4" t="s">
        <v>311</v>
      </c>
      <c r="C68" s="4"/>
      <c r="D68" s="37"/>
      <c r="E68" s="37">
        <f t="shared" ref="E68:O68" si="339">SUM(E62:E64)</f>
        <v>0</v>
      </c>
      <c r="F68" s="37">
        <f t="shared" si="339"/>
        <v>0</v>
      </c>
      <c r="G68" s="37">
        <f t="shared" si="339"/>
        <v>0</v>
      </c>
      <c r="H68" s="37">
        <f t="shared" si="339"/>
        <v>0</v>
      </c>
      <c r="I68" s="37">
        <f t="shared" si="339"/>
        <v>0</v>
      </c>
      <c r="J68" s="37">
        <f t="shared" si="339"/>
        <v>0</v>
      </c>
      <c r="K68" s="37">
        <f t="shared" si="339"/>
        <v>0</v>
      </c>
      <c r="L68" s="37">
        <f t="shared" si="339"/>
        <v>1000</v>
      </c>
      <c r="M68" s="37">
        <f t="shared" si="339"/>
        <v>0</v>
      </c>
      <c r="N68" s="37">
        <f t="shared" si="339"/>
        <v>0</v>
      </c>
      <c r="O68" s="37">
        <f t="shared" si="339"/>
        <v>0</v>
      </c>
      <c r="P68" s="37">
        <f>SUM(P62:P66)</f>
        <v>0</v>
      </c>
      <c r="Q68" s="37">
        <f t="shared" ref="Q68:AE68" si="340">SUM(Q62:Q66)</f>
        <v>0</v>
      </c>
      <c r="R68" s="37">
        <f t="shared" si="340"/>
        <v>0</v>
      </c>
      <c r="S68" s="37">
        <f t="shared" si="340"/>
        <v>0</v>
      </c>
      <c r="T68" s="37">
        <f t="shared" si="340"/>
        <v>0</v>
      </c>
      <c r="U68" s="37">
        <f t="shared" si="340"/>
        <v>0</v>
      </c>
      <c r="V68" s="37">
        <f t="shared" si="340"/>
        <v>0</v>
      </c>
      <c r="W68" s="37">
        <f t="shared" si="340"/>
        <v>0</v>
      </c>
      <c r="X68" s="37">
        <f t="shared" si="340"/>
        <v>0</v>
      </c>
      <c r="Y68" s="37">
        <f t="shared" si="340"/>
        <v>0</v>
      </c>
      <c r="Z68" s="37">
        <f t="shared" si="340"/>
        <v>248.6</v>
      </c>
      <c r="AA68" s="37">
        <f t="shared" si="340"/>
        <v>1497.3899999999999</v>
      </c>
      <c r="AB68" s="37">
        <f t="shared" si="340"/>
        <v>0</v>
      </c>
      <c r="AC68" s="37">
        <f t="shared" si="340"/>
        <v>1663.0700000000002</v>
      </c>
      <c r="AD68" s="37">
        <f t="shared" si="340"/>
        <v>586.91999999999996</v>
      </c>
      <c r="AE68" s="37">
        <f t="shared" si="340"/>
        <v>726.59</v>
      </c>
      <c r="AF68" s="37">
        <f>SUM(AF62:AF67)</f>
        <v>665.06</v>
      </c>
      <c r="AG68" s="37">
        <f t="shared" ref="AG68:AM68" si="341">SUM(AG63:AG67)</f>
        <v>2652.02</v>
      </c>
      <c r="AH68" s="37">
        <f t="shared" si="341"/>
        <v>308.2</v>
      </c>
      <c r="AI68" s="37">
        <f t="shared" si="341"/>
        <v>76.38</v>
      </c>
      <c r="AJ68" s="37">
        <f t="shared" si="341"/>
        <v>241.2</v>
      </c>
      <c r="AK68" s="37">
        <f t="shared" si="341"/>
        <v>589.88</v>
      </c>
      <c r="AL68" s="37">
        <f t="shared" si="341"/>
        <v>241.19</v>
      </c>
      <c r="AM68" s="37">
        <f t="shared" si="341"/>
        <v>1189.1299999999999</v>
      </c>
      <c r="AN68" s="37">
        <f t="shared" ref="AN68" si="342">SUM(AN63:AN67)</f>
        <v>0</v>
      </c>
      <c r="AO68" s="37">
        <f t="shared" ref="AO68:AP68" si="343">SUM(AO63:AO67)</f>
        <v>5909.8200000000006</v>
      </c>
      <c r="AP68" s="37">
        <f t="shared" si="343"/>
        <v>1359.82</v>
      </c>
      <c r="AQ68" s="37">
        <f t="shared" ref="AQ68:AR68" si="344">SUM(AQ63:AQ67)</f>
        <v>2323.67</v>
      </c>
      <c r="AR68" s="37">
        <f t="shared" si="344"/>
        <v>491.8</v>
      </c>
      <c r="AS68" s="156">
        <f t="shared" ref="AS68" si="345">SUM(AS63:AS67)</f>
        <v>0</v>
      </c>
      <c r="AT68" s="37">
        <f t="shared" ref="AT68" si="346">SUM(AT63:AT67)</f>
        <v>1152.76</v>
      </c>
      <c r="AU68" s="37">
        <f t="shared" ref="AU68:CS68" si="347">SUM(AU63:AU67)</f>
        <v>1152.76</v>
      </c>
      <c r="AV68" s="37">
        <f t="shared" si="347"/>
        <v>1152.76</v>
      </c>
      <c r="AW68" s="37">
        <f t="shared" si="347"/>
        <v>1152.76</v>
      </c>
      <c r="AX68" s="37">
        <f t="shared" si="347"/>
        <v>1152.76</v>
      </c>
      <c r="AY68" s="156">
        <f t="shared" si="347"/>
        <v>1152.76</v>
      </c>
      <c r="AZ68" s="37">
        <f t="shared" si="347"/>
        <v>2305.52</v>
      </c>
      <c r="BA68" s="37">
        <f t="shared" si="347"/>
        <v>2305.52</v>
      </c>
      <c r="BB68" s="37">
        <f t="shared" si="347"/>
        <v>2305.52</v>
      </c>
      <c r="BC68" s="37">
        <f t="shared" si="347"/>
        <v>2305.52</v>
      </c>
      <c r="BD68" s="37">
        <f t="shared" si="347"/>
        <v>2305.52</v>
      </c>
      <c r="BE68" s="37">
        <f t="shared" si="347"/>
        <v>2305.52</v>
      </c>
      <c r="BF68" s="37">
        <f t="shared" si="347"/>
        <v>2305.52</v>
      </c>
      <c r="BG68" s="37">
        <f t="shared" si="347"/>
        <v>2305.52</v>
      </c>
      <c r="BH68" s="37">
        <f t="shared" si="347"/>
        <v>2305.52</v>
      </c>
      <c r="BI68" s="37">
        <f t="shared" si="347"/>
        <v>2305.52</v>
      </c>
      <c r="BJ68" s="37">
        <f t="shared" si="347"/>
        <v>2305.52</v>
      </c>
      <c r="BK68" s="156">
        <f t="shared" si="347"/>
        <v>2305.52</v>
      </c>
      <c r="BL68" s="37">
        <f t="shared" si="347"/>
        <v>4611.04</v>
      </c>
      <c r="BM68" s="37">
        <f t="shared" si="347"/>
        <v>4611.04</v>
      </c>
      <c r="BN68" s="37">
        <f t="shared" si="347"/>
        <v>4611.04</v>
      </c>
      <c r="BO68" s="37">
        <f t="shared" si="347"/>
        <v>4611.04</v>
      </c>
      <c r="BP68" s="37">
        <f t="shared" si="347"/>
        <v>4611.04</v>
      </c>
      <c r="BQ68" s="37">
        <f t="shared" si="347"/>
        <v>4611.04</v>
      </c>
      <c r="BR68" s="37">
        <f t="shared" si="347"/>
        <v>4611.04</v>
      </c>
      <c r="BS68" s="37">
        <f t="shared" si="347"/>
        <v>4611.04</v>
      </c>
      <c r="BT68" s="37">
        <f t="shared" si="347"/>
        <v>4611.04</v>
      </c>
      <c r="BU68" s="37">
        <f t="shared" si="347"/>
        <v>4611.04</v>
      </c>
      <c r="BV68" s="37">
        <f t="shared" si="347"/>
        <v>4611.04</v>
      </c>
      <c r="BW68" s="156">
        <f t="shared" si="347"/>
        <v>4611.04</v>
      </c>
      <c r="BX68" s="37">
        <f t="shared" si="347"/>
        <v>9222.08</v>
      </c>
      <c r="BY68" s="37">
        <f t="shared" si="347"/>
        <v>9222.08</v>
      </c>
      <c r="BZ68" s="37">
        <f t="shared" si="347"/>
        <v>9222.08</v>
      </c>
      <c r="CA68" s="37">
        <f t="shared" si="347"/>
        <v>9222.08</v>
      </c>
      <c r="CB68" s="37">
        <f t="shared" si="347"/>
        <v>9222.08</v>
      </c>
      <c r="CC68" s="37">
        <f t="shared" si="347"/>
        <v>9222.08</v>
      </c>
      <c r="CD68" s="37">
        <f t="shared" si="347"/>
        <v>9222.08</v>
      </c>
      <c r="CE68" s="37">
        <f t="shared" si="347"/>
        <v>9222.08</v>
      </c>
      <c r="CF68" s="37">
        <f t="shared" si="347"/>
        <v>9222.08</v>
      </c>
      <c r="CG68" s="37">
        <f t="shared" si="347"/>
        <v>9222.08</v>
      </c>
      <c r="CH68" s="37">
        <f t="shared" si="347"/>
        <v>9222.08</v>
      </c>
      <c r="CI68" s="156">
        <f t="shared" si="347"/>
        <v>9222.08</v>
      </c>
      <c r="CJ68" s="37">
        <f t="shared" si="347"/>
        <v>9222.08</v>
      </c>
      <c r="CK68" s="37">
        <f t="shared" si="347"/>
        <v>9222.08</v>
      </c>
      <c r="CL68" s="37">
        <f t="shared" si="347"/>
        <v>9222.08</v>
      </c>
      <c r="CM68" s="37">
        <f t="shared" si="347"/>
        <v>9222.08</v>
      </c>
      <c r="CN68" s="37">
        <f t="shared" si="347"/>
        <v>9222.08</v>
      </c>
      <c r="CO68" s="37">
        <f t="shared" si="347"/>
        <v>9222.08</v>
      </c>
      <c r="CP68" s="37">
        <f t="shared" si="347"/>
        <v>9222.08</v>
      </c>
      <c r="CQ68" s="37">
        <f t="shared" si="347"/>
        <v>9222.08</v>
      </c>
      <c r="CR68" s="37">
        <f t="shared" si="347"/>
        <v>9222.08</v>
      </c>
      <c r="CS68" s="37">
        <f t="shared" si="347"/>
        <v>9222.08</v>
      </c>
      <c r="CT68" s="37">
        <f t="shared" ref="CT68:DG68" si="348">SUM(CT63:CT67)</f>
        <v>9222.08</v>
      </c>
      <c r="CU68" s="156">
        <f t="shared" si="348"/>
        <v>9222.08</v>
      </c>
      <c r="CV68" s="37">
        <f t="shared" si="348"/>
        <v>9222.08</v>
      </c>
      <c r="CW68" s="37">
        <f t="shared" si="348"/>
        <v>9222.08</v>
      </c>
      <c r="CX68" s="37">
        <f t="shared" si="348"/>
        <v>9222.08</v>
      </c>
      <c r="CY68" s="37">
        <f t="shared" si="348"/>
        <v>9222.08</v>
      </c>
      <c r="CZ68" s="37">
        <f t="shared" si="348"/>
        <v>9222.08</v>
      </c>
      <c r="DA68" s="37">
        <f t="shared" si="348"/>
        <v>9222.08</v>
      </c>
      <c r="DB68" s="37">
        <f t="shared" si="348"/>
        <v>9222.08</v>
      </c>
      <c r="DC68" s="37">
        <f t="shared" si="348"/>
        <v>9222.08</v>
      </c>
      <c r="DD68" s="37">
        <f t="shared" si="348"/>
        <v>9222.08</v>
      </c>
      <c r="DE68" s="37">
        <f t="shared" si="348"/>
        <v>9222.08</v>
      </c>
      <c r="DF68" s="37">
        <f t="shared" si="348"/>
        <v>9222.08</v>
      </c>
      <c r="DG68" s="37">
        <f t="shared" si="348"/>
        <v>9222.08</v>
      </c>
    </row>
    <row r="69" spans="1:111" s="15" customFormat="1" x14ac:dyDescent="0.25">
      <c r="A69"/>
      <c r="B69" s="1" t="s">
        <v>312</v>
      </c>
      <c r="C69" s="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>
        <v>104.27</v>
      </c>
      <c r="Q69" s="91"/>
      <c r="R69" s="91"/>
      <c r="S69" s="91"/>
      <c r="T69" s="91"/>
      <c r="U69" s="91"/>
      <c r="V69" s="91"/>
      <c r="W69" s="91"/>
      <c r="X69" s="91"/>
      <c r="Y69" s="91"/>
      <c r="Z69" s="91">
        <v>1747.5</v>
      </c>
      <c r="AA69" s="91"/>
      <c r="AB69" s="91"/>
      <c r="AC69" s="91"/>
      <c r="AD69" s="91"/>
      <c r="AE69" s="91"/>
      <c r="AF69" s="91">
        <v>1200</v>
      </c>
      <c r="AG69" s="91"/>
      <c r="AH69" s="91"/>
      <c r="AI69" s="91">
        <v>250</v>
      </c>
      <c r="AJ69" s="91"/>
      <c r="AK69" s="91"/>
      <c r="AL69" s="91">
        <v>748.79</v>
      </c>
      <c r="AM69" s="91">
        <v>0</v>
      </c>
      <c r="AN69" s="91">
        <v>1500</v>
      </c>
      <c r="AO69" s="91">
        <v>0</v>
      </c>
      <c r="AP69" s="91">
        <v>0</v>
      </c>
      <c r="AQ69" s="91">
        <v>0</v>
      </c>
      <c r="AR69" s="91">
        <v>1498</v>
      </c>
      <c r="AS69" s="155">
        <v>1430.83</v>
      </c>
      <c r="AT69" s="743">
        <f>+AH69+1250</f>
        <v>1250</v>
      </c>
      <c r="AU69" s="91">
        <f t="shared" ref="AU69:DA69" si="349">+AI69</f>
        <v>250</v>
      </c>
      <c r="AV69" s="91">
        <f t="shared" si="349"/>
        <v>0</v>
      </c>
      <c r="AW69" s="91">
        <f t="shared" si="349"/>
        <v>0</v>
      </c>
      <c r="AX69" s="91">
        <f t="shared" si="349"/>
        <v>748.79</v>
      </c>
      <c r="AY69" s="155">
        <f t="shared" si="349"/>
        <v>0</v>
      </c>
      <c r="AZ69" s="91">
        <f t="shared" si="349"/>
        <v>1500</v>
      </c>
      <c r="BA69" s="91">
        <f t="shared" si="349"/>
        <v>0</v>
      </c>
      <c r="BB69" s="91">
        <f t="shared" si="349"/>
        <v>0</v>
      </c>
      <c r="BC69" s="91">
        <f t="shared" si="349"/>
        <v>0</v>
      </c>
      <c r="BD69" s="91">
        <f t="shared" si="349"/>
        <v>1498</v>
      </c>
      <c r="BE69" s="91">
        <f t="shared" si="349"/>
        <v>1430.83</v>
      </c>
      <c r="BF69" s="91">
        <f t="shared" si="349"/>
        <v>1250</v>
      </c>
      <c r="BG69" s="91">
        <f t="shared" si="349"/>
        <v>250</v>
      </c>
      <c r="BH69" s="91">
        <f t="shared" si="349"/>
        <v>0</v>
      </c>
      <c r="BI69" s="91">
        <f t="shared" si="349"/>
        <v>0</v>
      </c>
      <c r="BJ69" s="91">
        <f t="shared" si="349"/>
        <v>748.79</v>
      </c>
      <c r="BK69" s="155">
        <f t="shared" si="349"/>
        <v>0</v>
      </c>
      <c r="BL69" s="91">
        <f t="shared" si="349"/>
        <v>1500</v>
      </c>
      <c r="BM69" s="91">
        <f t="shared" si="349"/>
        <v>0</v>
      </c>
      <c r="BN69" s="91">
        <f t="shared" si="349"/>
        <v>0</v>
      </c>
      <c r="BO69" s="91">
        <f t="shared" si="349"/>
        <v>0</v>
      </c>
      <c r="BP69" s="91">
        <f t="shared" si="349"/>
        <v>1498</v>
      </c>
      <c r="BQ69" s="91">
        <f t="shared" si="349"/>
        <v>1430.83</v>
      </c>
      <c r="BR69" s="91">
        <f t="shared" si="349"/>
        <v>1250</v>
      </c>
      <c r="BS69" s="91">
        <f t="shared" si="349"/>
        <v>250</v>
      </c>
      <c r="BT69" s="91">
        <f t="shared" si="349"/>
        <v>0</v>
      </c>
      <c r="BU69" s="91">
        <f t="shared" si="349"/>
        <v>0</v>
      </c>
      <c r="BV69" s="91">
        <f t="shared" si="349"/>
        <v>748.79</v>
      </c>
      <c r="BW69" s="155">
        <f t="shared" si="349"/>
        <v>0</v>
      </c>
      <c r="BX69" s="91">
        <f t="shared" si="349"/>
        <v>1500</v>
      </c>
      <c r="BY69" s="91">
        <f t="shared" si="349"/>
        <v>0</v>
      </c>
      <c r="BZ69" s="91">
        <f t="shared" si="349"/>
        <v>0</v>
      </c>
      <c r="CA69" s="91">
        <f t="shared" si="349"/>
        <v>0</v>
      </c>
      <c r="CB69" s="91">
        <f t="shared" si="349"/>
        <v>1498</v>
      </c>
      <c r="CC69" s="91">
        <f t="shared" si="349"/>
        <v>1430.83</v>
      </c>
      <c r="CD69" s="91">
        <f t="shared" si="349"/>
        <v>1250</v>
      </c>
      <c r="CE69" s="91">
        <f t="shared" si="349"/>
        <v>250</v>
      </c>
      <c r="CF69" s="91">
        <f t="shared" si="349"/>
        <v>0</v>
      </c>
      <c r="CG69" s="91">
        <f t="shared" si="349"/>
        <v>0</v>
      </c>
      <c r="CH69" s="91">
        <f t="shared" si="349"/>
        <v>748.79</v>
      </c>
      <c r="CI69" s="155">
        <f t="shared" si="349"/>
        <v>0</v>
      </c>
      <c r="CJ69" s="91">
        <f t="shared" si="349"/>
        <v>1500</v>
      </c>
      <c r="CK69" s="91">
        <f t="shared" si="349"/>
        <v>0</v>
      </c>
      <c r="CL69" s="91">
        <f t="shared" si="349"/>
        <v>0</v>
      </c>
      <c r="CM69" s="91">
        <f t="shared" si="349"/>
        <v>0</v>
      </c>
      <c r="CN69" s="91">
        <f t="shared" si="349"/>
        <v>1498</v>
      </c>
      <c r="CO69" s="91">
        <f t="shared" si="349"/>
        <v>1430.83</v>
      </c>
      <c r="CP69" s="91">
        <f t="shared" si="349"/>
        <v>1250</v>
      </c>
      <c r="CQ69" s="91">
        <f t="shared" si="349"/>
        <v>250</v>
      </c>
      <c r="CR69" s="91">
        <f t="shared" si="349"/>
        <v>0</v>
      </c>
      <c r="CS69" s="91">
        <f t="shared" si="349"/>
        <v>0</v>
      </c>
      <c r="CT69" s="91">
        <f t="shared" si="349"/>
        <v>748.79</v>
      </c>
      <c r="CU69" s="155">
        <f t="shared" si="349"/>
        <v>0</v>
      </c>
      <c r="CV69" s="91">
        <f t="shared" si="349"/>
        <v>1500</v>
      </c>
      <c r="CW69" s="91">
        <f t="shared" si="349"/>
        <v>0</v>
      </c>
      <c r="CX69" s="91">
        <f t="shared" si="349"/>
        <v>0</v>
      </c>
      <c r="CY69" s="91">
        <f t="shared" si="349"/>
        <v>0</v>
      </c>
      <c r="CZ69" s="91">
        <f t="shared" si="349"/>
        <v>1498</v>
      </c>
      <c r="DA69" s="91">
        <f t="shared" si="349"/>
        <v>1430.83</v>
      </c>
      <c r="DB69" s="91">
        <f t="shared" ref="DB69:DG69" si="350">+CP69</f>
        <v>1250</v>
      </c>
      <c r="DC69" s="91">
        <f t="shared" si="350"/>
        <v>250</v>
      </c>
      <c r="DD69" s="91">
        <f t="shared" si="350"/>
        <v>0</v>
      </c>
      <c r="DE69" s="91">
        <f t="shared" si="350"/>
        <v>0</v>
      </c>
      <c r="DF69" s="91">
        <f t="shared" si="350"/>
        <v>748.79</v>
      </c>
      <c r="DG69" s="91">
        <f t="shared" si="350"/>
        <v>0</v>
      </c>
    </row>
    <row r="70" spans="1:111" s="15" customFormat="1" x14ac:dyDescent="0.25">
      <c r="A70"/>
      <c r="B70" s="1" t="s">
        <v>313</v>
      </c>
      <c r="C70" s="1"/>
      <c r="D70" s="91"/>
      <c r="E70" s="91"/>
      <c r="F70" s="91"/>
      <c r="G70" s="91"/>
      <c r="H70" s="91"/>
      <c r="I70" s="91">
        <v>575.36</v>
      </c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>
        <v>93.75</v>
      </c>
      <c r="U70" s="91">
        <v>93.75</v>
      </c>
      <c r="V70" s="91">
        <v>93.75</v>
      </c>
      <c r="W70" s="91">
        <v>93.75</v>
      </c>
      <c r="X70" s="91">
        <v>302.92</v>
      </c>
      <c r="Y70" s="91">
        <v>202.33</v>
      </c>
      <c r="Z70" s="91">
        <v>202.33</v>
      </c>
      <c r="AA70" s="91">
        <v>202.33</v>
      </c>
      <c r="AB70" s="91">
        <v>202.33</v>
      </c>
      <c r="AC70" s="91">
        <v>202.33</v>
      </c>
      <c r="AD70" s="91">
        <v>202.33</v>
      </c>
      <c r="AE70" s="91">
        <v>198.32</v>
      </c>
      <c r="AF70" s="91">
        <v>198.32</v>
      </c>
      <c r="AG70" s="91">
        <v>198.32</v>
      </c>
      <c r="AH70" s="91">
        <v>198.24</v>
      </c>
      <c r="AI70" s="91">
        <v>230.73</v>
      </c>
      <c r="AJ70" s="91">
        <v>230.73</v>
      </c>
      <c r="AK70" s="91">
        <v>230.73</v>
      </c>
      <c r="AL70" s="91">
        <v>230.73</v>
      </c>
      <c r="AM70" s="91">
        <v>230.73</v>
      </c>
      <c r="AN70" s="91">
        <v>230.73</v>
      </c>
      <c r="AO70" s="91">
        <v>230.73</v>
      </c>
      <c r="AP70" s="91">
        <v>230.73</v>
      </c>
      <c r="AQ70" s="91">
        <v>239.15</v>
      </c>
      <c r="AR70" s="91">
        <v>239.15</v>
      </c>
      <c r="AS70" s="155">
        <v>239.15</v>
      </c>
      <c r="AT70" s="743">
        <f>+AVERAGE(AQ70:AS70)</f>
        <v>239.15</v>
      </c>
      <c r="AU70" s="91">
        <f t="shared" ref="AU70:CP72" si="351">+AT70</f>
        <v>239.15</v>
      </c>
      <c r="AV70" s="91">
        <f t="shared" si="351"/>
        <v>239.15</v>
      </c>
      <c r="AW70" s="91">
        <f t="shared" si="351"/>
        <v>239.15</v>
      </c>
      <c r="AX70" s="91">
        <f t="shared" si="351"/>
        <v>239.15</v>
      </c>
      <c r="AY70" s="155">
        <f t="shared" si="351"/>
        <v>239.15</v>
      </c>
      <c r="AZ70" s="91">
        <f t="shared" si="351"/>
        <v>239.15</v>
      </c>
      <c r="BA70" s="91">
        <f t="shared" si="351"/>
        <v>239.15</v>
      </c>
      <c r="BB70" s="91">
        <f t="shared" si="351"/>
        <v>239.15</v>
      </c>
      <c r="BC70" s="91">
        <f t="shared" si="351"/>
        <v>239.15</v>
      </c>
      <c r="BD70" s="91">
        <f t="shared" si="351"/>
        <v>239.15</v>
      </c>
      <c r="BE70" s="91">
        <f t="shared" si="351"/>
        <v>239.15</v>
      </c>
      <c r="BF70" s="91">
        <f t="shared" si="351"/>
        <v>239.15</v>
      </c>
      <c r="BG70" s="91">
        <f t="shared" si="351"/>
        <v>239.15</v>
      </c>
      <c r="BH70" s="91">
        <f t="shared" si="351"/>
        <v>239.15</v>
      </c>
      <c r="BI70" s="91">
        <f t="shared" si="351"/>
        <v>239.15</v>
      </c>
      <c r="BJ70" s="91">
        <f t="shared" si="351"/>
        <v>239.15</v>
      </c>
      <c r="BK70" s="155">
        <f t="shared" si="351"/>
        <v>239.15</v>
      </c>
      <c r="BL70" s="91">
        <f t="shared" si="351"/>
        <v>239.15</v>
      </c>
      <c r="BM70" s="91">
        <f t="shared" si="351"/>
        <v>239.15</v>
      </c>
      <c r="BN70" s="91">
        <f t="shared" si="351"/>
        <v>239.15</v>
      </c>
      <c r="BO70" s="91">
        <f t="shared" si="351"/>
        <v>239.15</v>
      </c>
      <c r="BP70" s="91">
        <f t="shared" si="351"/>
        <v>239.15</v>
      </c>
      <c r="BQ70" s="91">
        <f t="shared" si="351"/>
        <v>239.15</v>
      </c>
      <c r="BR70" s="91">
        <f t="shared" si="351"/>
        <v>239.15</v>
      </c>
      <c r="BS70" s="91">
        <f t="shared" si="351"/>
        <v>239.15</v>
      </c>
      <c r="BT70" s="91">
        <f t="shared" si="351"/>
        <v>239.15</v>
      </c>
      <c r="BU70" s="91">
        <f t="shared" si="351"/>
        <v>239.15</v>
      </c>
      <c r="BV70" s="91">
        <f t="shared" si="351"/>
        <v>239.15</v>
      </c>
      <c r="BW70" s="155">
        <f t="shared" si="351"/>
        <v>239.15</v>
      </c>
      <c r="BX70" s="91">
        <f t="shared" si="351"/>
        <v>239.15</v>
      </c>
      <c r="BY70" s="91">
        <f t="shared" si="351"/>
        <v>239.15</v>
      </c>
      <c r="BZ70" s="91">
        <f t="shared" si="351"/>
        <v>239.15</v>
      </c>
      <c r="CA70" s="91">
        <f t="shared" si="351"/>
        <v>239.15</v>
      </c>
      <c r="CB70" s="91">
        <f t="shared" si="351"/>
        <v>239.15</v>
      </c>
      <c r="CC70" s="91">
        <f t="shared" si="351"/>
        <v>239.15</v>
      </c>
      <c r="CD70" s="91">
        <f t="shared" si="351"/>
        <v>239.15</v>
      </c>
      <c r="CE70" s="91">
        <f t="shared" si="351"/>
        <v>239.15</v>
      </c>
      <c r="CF70" s="91">
        <f t="shared" si="351"/>
        <v>239.15</v>
      </c>
      <c r="CG70" s="91">
        <f t="shared" si="351"/>
        <v>239.15</v>
      </c>
      <c r="CH70" s="91">
        <f t="shared" si="351"/>
        <v>239.15</v>
      </c>
      <c r="CI70" s="155">
        <f t="shared" si="351"/>
        <v>239.15</v>
      </c>
      <c r="CJ70" s="91">
        <f t="shared" si="351"/>
        <v>239.15</v>
      </c>
      <c r="CK70" s="91">
        <f t="shared" si="351"/>
        <v>239.15</v>
      </c>
      <c r="CL70" s="91">
        <f t="shared" si="351"/>
        <v>239.15</v>
      </c>
      <c r="CM70" s="91">
        <f t="shared" si="351"/>
        <v>239.15</v>
      </c>
      <c r="CN70" s="91">
        <f t="shared" si="351"/>
        <v>239.15</v>
      </c>
      <c r="CO70" s="91">
        <f t="shared" si="351"/>
        <v>239.15</v>
      </c>
      <c r="CP70" s="91">
        <f t="shared" si="351"/>
        <v>239.15</v>
      </c>
      <c r="CQ70" s="91">
        <f t="shared" ref="CQ70:DG73" si="352">+CP70</f>
        <v>239.15</v>
      </c>
      <c r="CR70" s="91">
        <f t="shared" si="352"/>
        <v>239.15</v>
      </c>
      <c r="CS70" s="91">
        <f t="shared" si="352"/>
        <v>239.15</v>
      </c>
      <c r="CT70" s="91">
        <f t="shared" si="352"/>
        <v>239.15</v>
      </c>
      <c r="CU70" s="155">
        <f t="shared" si="352"/>
        <v>239.15</v>
      </c>
      <c r="CV70" s="91">
        <f t="shared" si="352"/>
        <v>239.15</v>
      </c>
      <c r="CW70" s="91">
        <f t="shared" si="352"/>
        <v>239.15</v>
      </c>
      <c r="CX70" s="91">
        <f t="shared" si="352"/>
        <v>239.15</v>
      </c>
      <c r="CY70" s="91">
        <f t="shared" si="352"/>
        <v>239.15</v>
      </c>
      <c r="CZ70" s="91">
        <f t="shared" si="352"/>
        <v>239.15</v>
      </c>
      <c r="DA70" s="91">
        <f t="shared" si="352"/>
        <v>239.15</v>
      </c>
      <c r="DB70" s="91">
        <f t="shared" si="352"/>
        <v>239.15</v>
      </c>
      <c r="DC70" s="91">
        <f t="shared" si="352"/>
        <v>239.15</v>
      </c>
      <c r="DD70" s="91">
        <f t="shared" si="352"/>
        <v>239.15</v>
      </c>
      <c r="DE70" s="91">
        <f t="shared" si="352"/>
        <v>239.15</v>
      </c>
      <c r="DF70" s="91">
        <f t="shared" si="352"/>
        <v>239.15</v>
      </c>
      <c r="DG70" s="91">
        <f t="shared" si="352"/>
        <v>239.15</v>
      </c>
    </row>
    <row r="71" spans="1:111" s="15" customFormat="1" x14ac:dyDescent="0.25">
      <c r="A71"/>
      <c r="B71" s="1" t="s">
        <v>314</v>
      </c>
      <c r="C71" s="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>
        <v>277.47000000000003</v>
      </c>
      <c r="Q71" s="91">
        <v>61.43</v>
      </c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>
        <v>394.25</v>
      </c>
      <c r="AD71" s="91"/>
      <c r="AE71" s="91"/>
      <c r="AF71" s="91"/>
      <c r="AG71" s="91">
        <v>665.7</v>
      </c>
      <c r="AH71" s="91">
        <v>1000.01</v>
      </c>
      <c r="AI71" s="91">
        <v>496.91</v>
      </c>
      <c r="AJ71" s="91"/>
      <c r="AK71" s="91">
        <v>163.29</v>
      </c>
      <c r="AL71" s="91"/>
      <c r="AM71" s="91">
        <v>54.18</v>
      </c>
      <c r="AN71" s="91">
        <v>0</v>
      </c>
      <c r="AO71" s="91">
        <v>530.16999999999996</v>
      </c>
      <c r="AP71" s="91">
        <v>1438.03</v>
      </c>
      <c r="AQ71" s="91">
        <v>91.5</v>
      </c>
      <c r="AR71" s="91">
        <v>0</v>
      </c>
      <c r="AS71" s="155">
        <v>48.34</v>
      </c>
      <c r="AT71" s="743">
        <f>+AVERAGE(AQ71:AS71)</f>
        <v>46.613333333333337</v>
      </c>
      <c r="AU71" s="91">
        <f t="shared" si="351"/>
        <v>46.613333333333337</v>
      </c>
      <c r="AV71" s="91">
        <f t="shared" si="351"/>
        <v>46.613333333333337</v>
      </c>
      <c r="AW71" s="91">
        <f t="shared" si="351"/>
        <v>46.613333333333337</v>
      </c>
      <c r="AX71" s="91">
        <f t="shared" si="351"/>
        <v>46.613333333333337</v>
      </c>
      <c r="AY71" s="155">
        <f t="shared" si="351"/>
        <v>46.613333333333337</v>
      </c>
      <c r="AZ71" s="346">
        <f>+AY71*2</f>
        <v>93.226666666666674</v>
      </c>
      <c r="BA71" s="91">
        <f t="shared" si="351"/>
        <v>93.226666666666674</v>
      </c>
      <c r="BB71" s="91">
        <f t="shared" si="351"/>
        <v>93.226666666666674</v>
      </c>
      <c r="BC71" s="91">
        <f t="shared" si="351"/>
        <v>93.226666666666674</v>
      </c>
      <c r="BD71" s="91">
        <f t="shared" si="351"/>
        <v>93.226666666666674</v>
      </c>
      <c r="BE71" s="91">
        <f t="shared" si="351"/>
        <v>93.226666666666674</v>
      </c>
      <c r="BF71" s="91">
        <f t="shared" si="351"/>
        <v>93.226666666666674</v>
      </c>
      <c r="BG71" s="91">
        <f t="shared" si="351"/>
        <v>93.226666666666674</v>
      </c>
      <c r="BH71" s="91">
        <f t="shared" si="351"/>
        <v>93.226666666666674</v>
      </c>
      <c r="BI71" s="91">
        <f t="shared" si="351"/>
        <v>93.226666666666674</v>
      </c>
      <c r="BJ71" s="91">
        <f t="shared" si="351"/>
        <v>93.226666666666674</v>
      </c>
      <c r="BK71" s="155">
        <f t="shared" si="351"/>
        <v>93.226666666666674</v>
      </c>
      <c r="BL71" s="346">
        <f>+BK71*2</f>
        <v>186.45333333333335</v>
      </c>
      <c r="BM71" s="91">
        <f t="shared" si="351"/>
        <v>186.45333333333335</v>
      </c>
      <c r="BN71" s="91">
        <f t="shared" si="351"/>
        <v>186.45333333333335</v>
      </c>
      <c r="BO71" s="91">
        <f t="shared" si="351"/>
        <v>186.45333333333335</v>
      </c>
      <c r="BP71" s="91">
        <f t="shared" si="351"/>
        <v>186.45333333333335</v>
      </c>
      <c r="BQ71" s="91">
        <f t="shared" si="351"/>
        <v>186.45333333333335</v>
      </c>
      <c r="BR71" s="91">
        <f t="shared" si="351"/>
        <v>186.45333333333335</v>
      </c>
      <c r="BS71" s="91">
        <f t="shared" si="351"/>
        <v>186.45333333333335</v>
      </c>
      <c r="BT71" s="91">
        <f t="shared" si="351"/>
        <v>186.45333333333335</v>
      </c>
      <c r="BU71" s="91">
        <f t="shared" si="351"/>
        <v>186.45333333333335</v>
      </c>
      <c r="BV71" s="91">
        <f t="shared" si="351"/>
        <v>186.45333333333335</v>
      </c>
      <c r="BW71" s="155">
        <f t="shared" si="351"/>
        <v>186.45333333333335</v>
      </c>
      <c r="BX71" s="346">
        <f>+BW71*2</f>
        <v>372.90666666666669</v>
      </c>
      <c r="BY71" s="91">
        <f t="shared" si="351"/>
        <v>372.90666666666669</v>
      </c>
      <c r="BZ71" s="91">
        <f t="shared" si="351"/>
        <v>372.90666666666669</v>
      </c>
      <c r="CA71" s="91">
        <f t="shared" si="351"/>
        <v>372.90666666666669</v>
      </c>
      <c r="CB71" s="91">
        <f t="shared" si="351"/>
        <v>372.90666666666669</v>
      </c>
      <c r="CC71" s="91">
        <f t="shared" si="351"/>
        <v>372.90666666666669</v>
      </c>
      <c r="CD71" s="91">
        <f t="shared" si="351"/>
        <v>372.90666666666669</v>
      </c>
      <c r="CE71" s="91">
        <f t="shared" si="351"/>
        <v>372.90666666666669</v>
      </c>
      <c r="CF71" s="91">
        <f t="shared" si="351"/>
        <v>372.90666666666669</v>
      </c>
      <c r="CG71" s="91">
        <f t="shared" si="351"/>
        <v>372.90666666666669</v>
      </c>
      <c r="CH71" s="91">
        <f t="shared" si="351"/>
        <v>372.90666666666669</v>
      </c>
      <c r="CI71" s="155">
        <f t="shared" si="351"/>
        <v>372.90666666666669</v>
      </c>
      <c r="CJ71" s="346">
        <f>+CI71*2</f>
        <v>745.81333333333339</v>
      </c>
      <c r="CK71" s="91">
        <f t="shared" si="351"/>
        <v>745.81333333333339</v>
      </c>
      <c r="CL71" s="91">
        <f t="shared" si="351"/>
        <v>745.81333333333339</v>
      </c>
      <c r="CM71" s="91">
        <f t="shared" si="351"/>
        <v>745.81333333333339</v>
      </c>
      <c r="CN71" s="91">
        <f t="shared" si="351"/>
        <v>745.81333333333339</v>
      </c>
      <c r="CO71" s="91">
        <f t="shared" si="351"/>
        <v>745.81333333333339</v>
      </c>
      <c r="CP71" s="91">
        <f t="shared" si="351"/>
        <v>745.81333333333339</v>
      </c>
      <c r="CQ71" s="91">
        <f t="shared" si="352"/>
        <v>745.81333333333339</v>
      </c>
      <c r="CR71" s="91">
        <f t="shared" si="352"/>
        <v>745.81333333333339</v>
      </c>
      <c r="CS71" s="91">
        <f t="shared" si="352"/>
        <v>745.81333333333339</v>
      </c>
      <c r="CT71" s="91">
        <f t="shared" si="352"/>
        <v>745.81333333333339</v>
      </c>
      <c r="CU71" s="155">
        <f t="shared" si="352"/>
        <v>745.81333333333339</v>
      </c>
      <c r="CV71" s="346">
        <f>+CU71*2</f>
        <v>1491.6266666666668</v>
      </c>
      <c r="CW71" s="91">
        <f t="shared" si="352"/>
        <v>1491.6266666666668</v>
      </c>
      <c r="CX71" s="91">
        <f t="shared" si="352"/>
        <v>1491.6266666666668</v>
      </c>
      <c r="CY71" s="91">
        <f t="shared" si="352"/>
        <v>1491.6266666666668</v>
      </c>
      <c r="CZ71" s="91">
        <f t="shared" si="352"/>
        <v>1491.6266666666668</v>
      </c>
      <c r="DA71" s="91">
        <f t="shared" si="352"/>
        <v>1491.6266666666668</v>
      </c>
      <c r="DB71" s="91">
        <f t="shared" si="352"/>
        <v>1491.6266666666668</v>
      </c>
      <c r="DC71" s="91">
        <f t="shared" si="352"/>
        <v>1491.6266666666668</v>
      </c>
      <c r="DD71" s="91">
        <f t="shared" si="352"/>
        <v>1491.6266666666668</v>
      </c>
      <c r="DE71" s="91">
        <f t="shared" si="352"/>
        <v>1491.6266666666668</v>
      </c>
      <c r="DF71" s="91">
        <f t="shared" si="352"/>
        <v>1491.6266666666668</v>
      </c>
      <c r="DG71" s="91">
        <f t="shared" si="352"/>
        <v>1491.6266666666668</v>
      </c>
    </row>
    <row r="72" spans="1:111" s="15" customFormat="1" x14ac:dyDescent="0.25">
      <c r="A72"/>
      <c r="B72" s="1" t="s">
        <v>315</v>
      </c>
      <c r="C72" s="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>
        <v>117.59</v>
      </c>
      <c r="P72" s="91">
        <v>0</v>
      </c>
      <c r="Q72" s="91">
        <v>67.64</v>
      </c>
      <c r="R72" s="91">
        <v>135.28</v>
      </c>
      <c r="S72" s="91"/>
      <c r="T72" s="91">
        <v>135.28</v>
      </c>
      <c r="U72" s="91">
        <v>67.64</v>
      </c>
      <c r="V72" s="91">
        <v>67.64</v>
      </c>
      <c r="W72" s="91">
        <v>70.64</v>
      </c>
      <c r="X72" s="91">
        <v>70.92</v>
      </c>
      <c r="Y72" s="91">
        <v>70.94</v>
      </c>
      <c r="Z72" s="91">
        <v>70.94</v>
      </c>
      <c r="AA72" s="91">
        <v>70.94</v>
      </c>
      <c r="AB72" s="91">
        <v>70.94</v>
      </c>
      <c r="AC72" s="91">
        <v>70.94</v>
      </c>
      <c r="AD72" s="91">
        <v>70.94</v>
      </c>
      <c r="AE72" s="91">
        <v>71.150000000000006</v>
      </c>
      <c r="AF72" s="91">
        <v>71.150000000000006</v>
      </c>
      <c r="AG72" s="91">
        <v>71.150000000000006</v>
      </c>
      <c r="AH72" s="91">
        <v>71.150000000000006</v>
      </c>
      <c r="AI72" s="91">
        <v>71.150000000000006</v>
      </c>
      <c r="AJ72" s="91">
        <v>71.150000000000006</v>
      </c>
      <c r="AK72" s="91">
        <v>71.650000000000006</v>
      </c>
      <c r="AL72" s="91">
        <v>71.95</v>
      </c>
      <c r="AM72" s="91">
        <v>71.95</v>
      </c>
      <c r="AN72" s="91">
        <v>71.95</v>
      </c>
      <c r="AO72" s="91">
        <v>71.95</v>
      </c>
      <c r="AP72" s="91">
        <v>71.95</v>
      </c>
      <c r="AQ72" s="91">
        <v>71.95</v>
      </c>
      <c r="AR72" s="91">
        <v>71.95</v>
      </c>
      <c r="AS72" s="155">
        <v>72.16</v>
      </c>
      <c r="AT72" s="743">
        <f>+AVERAGE(AQ72:AS72)</f>
        <v>72.02</v>
      </c>
      <c r="AU72" s="91">
        <f t="shared" si="351"/>
        <v>72.02</v>
      </c>
      <c r="AV72" s="91">
        <f t="shared" si="351"/>
        <v>72.02</v>
      </c>
      <c r="AW72" s="91">
        <f t="shared" si="351"/>
        <v>72.02</v>
      </c>
      <c r="AX72" s="91">
        <f t="shared" si="351"/>
        <v>72.02</v>
      </c>
      <c r="AY72" s="155">
        <f t="shared" si="351"/>
        <v>72.02</v>
      </c>
      <c r="AZ72" s="91">
        <f t="shared" si="351"/>
        <v>72.02</v>
      </c>
      <c r="BA72" s="91">
        <f t="shared" si="351"/>
        <v>72.02</v>
      </c>
      <c r="BB72" s="91">
        <f t="shared" si="351"/>
        <v>72.02</v>
      </c>
      <c r="BC72" s="91">
        <f t="shared" si="351"/>
        <v>72.02</v>
      </c>
      <c r="BD72" s="91">
        <f t="shared" si="351"/>
        <v>72.02</v>
      </c>
      <c r="BE72" s="91">
        <f t="shared" si="351"/>
        <v>72.02</v>
      </c>
      <c r="BF72" s="91">
        <f t="shared" si="351"/>
        <v>72.02</v>
      </c>
      <c r="BG72" s="91">
        <f t="shared" si="351"/>
        <v>72.02</v>
      </c>
      <c r="BH72" s="91">
        <f t="shared" si="351"/>
        <v>72.02</v>
      </c>
      <c r="BI72" s="91">
        <f t="shared" si="351"/>
        <v>72.02</v>
      </c>
      <c r="BJ72" s="91">
        <f t="shared" si="351"/>
        <v>72.02</v>
      </c>
      <c r="BK72" s="155">
        <f t="shared" si="351"/>
        <v>72.02</v>
      </c>
      <c r="BL72" s="91">
        <f t="shared" si="351"/>
        <v>72.02</v>
      </c>
      <c r="BM72" s="91">
        <f t="shared" si="351"/>
        <v>72.02</v>
      </c>
      <c r="BN72" s="91">
        <f t="shared" si="351"/>
        <v>72.02</v>
      </c>
      <c r="BO72" s="91">
        <f t="shared" si="351"/>
        <v>72.02</v>
      </c>
      <c r="BP72" s="91">
        <f t="shared" si="351"/>
        <v>72.02</v>
      </c>
      <c r="BQ72" s="91">
        <f t="shared" si="351"/>
        <v>72.02</v>
      </c>
      <c r="BR72" s="91">
        <f t="shared" si="351"/>
        <v>72.02</v>
      </c>
      <c r="BS72" s="91">
        <f t="shared" si="351"/>
        <v>72.02</v>
      </c>
      <c r="BT72" s="91">
        <f t="shared" si="351"/>
        <v>72.02</v>
      </c>
      <c r="BU72" s="91">
        <f t="shared" si="351"/>
        <v>72.02</v>
      </c>
      <c r="BV72" s="91">
        <f t="shared" si="351"/>
        <v>72.02</v>
      </c>
      <c r="BW72" s="155">
        <f t="shared" si="351"/>
        <v>72.02</v>
      </c>
      <c r="BX72" s="91">
        <f t="shared" si="351"/>
        <v>72.02</v>
      </c>
      <c r="BY72" s="91">
        <f t="shared" si="351"/>
        <v>72.02</v>
      </c>
      <c r="BZ72" s="91">
        <f t="shared" si="351"/>
        <v>72.02</v>
      </c>
      <c r="CA72" s="91">
        <f t="shared" si="351"/>
        <v>72.02</v>
      </c>
      <c r="CB72" s="91">
        <f t="shared" si="351"/>
        <v>72.02</v>
      </c>
      <c r="CC72" s="91">
        <f t="shared" si="351"/>
        <v>72.02</v>
      </c>
      <c r="CD72" s="91">
        <f t="shared" si="351"/>
        <v>72.02</v>
      </c>
      <c r="CE72" s="91">
        <f t="shared" si="351"/>
        <v>72.02</v>
      </c>
      <c r="CF72" s="91">
        <f t="shared" si="351"/>
        <v>72.02</v>
      </c>
      <c r="CG72" s="91">
        <f t="shared" si="351"/>
        <v>72.02</v>
      </c>
      <c r="CH72" s="91">
        <f t="shared" si="351"/>
        <v>72.02</v>
      </c>
      <c r="CI72" s="155">
        <f t="shared" si="351"/>
        <v>72.02</v>
      </c>
      <c r="CJ72" s="91">
        <f t="shared" si="351"/>
        <v>72.02</v>
      </c>
      <c r="CK72" s="91">
        <f t="shared" si="351"/>
        <v>72.02</v>
      </c>
      <c r="CL72" s="91">
        <f t="shared" si="351"/>
        <v>72.02</v>
      </c>
      <c r="CM72" s="91">
        <f t="shared" si="351"/>
        <v>72.02</v>
      </c>
      <c r="CN72" s="91">
        <f t="shared" si="351"/>
        <v>72.02</v>
      </c>
      <c r="CO72" s="91">
        <f t="shared" si="351"/>
        <v>72.02</v>
      </c>
      <c r="CP72" s="91">
        <f t="shared" si="351"/>
        <v>72.02</v>
      </c>
      <c r="CQ72" s="91">
        <f t="shared" si="352"/>
        <v>72.02</v>
      </c>
      <c r="CR72" s="91">
        <f t="shared" si="352"/>
        <v>72.02</v>
      </c>
      <c r="CS72" s="91">
        <f t="shared" si="352"/>
        <v>72.02</v>
      </c>
      <c r="CT72" s="91">
        <f t="shared" si="352"/>
        <v>72.02</v>
      </c>
      <c r="CU72" s="155">
        <f t="shared" si="352"/>
        <v>72.02</v>
      </c>
      <c r="CV72" s="91">
        <f t="shared" si="352"/>
        <v>72.02</v>
      </c>
      <c r="CW72" s="91">
        <f t="shared" si="352"/>
        <v>72.02</v>
      </c>
      <c r="CX72" s="91">
        <f t="shared" si="352"/>
        <v>72.02</v>
      </c>
      <c r="CY72" s="91">
        <f t="shared" si="352"/>
        <v>72.02</v>
      </c>
      <c r="CZ72" s="91">
        <f t="shared" si="352"/>
        <v>72.02</v>
      </c>
      <c r="DA72" s="91">
        <f t="shared" si="352"/>
        <v>72.02</v>
      </c>
      <c r="DB72" s="91">
        <f t="shared" si="352"/>
        <v>72.02</v>
      </c>
      <c r="DC72" s="91">
        <f t="shared" si="352"/>
        <v>72.02</v>
      </c>
      <c r="DD72" s="91">
        <f t="shared" si="352"/>
        <v>72.02</v>
      </c>
      <c r="DE72" s="91">
        <f t="shared" si="352"/>
        <v>72.02</v>
      </c>
      <c r="DF72" s="91">
        <f t="shared" si="352"/>
        <v>72.02</v>
      </c>
      <c r="DG72" s="91">
        <f t="shared" si="352"/>
        <v>72.02</v>
      </c>
    </row>
    <row r="73" spans="1:111" s="15" customFormat="1" x14ac:dyDescent="0.25">
      <c r="A73"/>
      <c r="B73" s="1" t="s">
        <v>316</v>
      </c>
      <c r="C73" s="1"/>
      <c r="D73" s="91"/>
      <c r="E73" s="91"/>
      <c r="F73" s="91"/>
      <c r="G73" s="91"/>
      <c r="H73" s="91"/>
      <c r="I73" s="91"/>
      <c r="J73" s="91"/>
      <c r="K73" s="91">
        <v>2</v>
      </c>
      <c r="L73" s="91">
        <v>19.5</v>
      </c>
      <c r="M73" s="91">
        <v>2</v>
      </c>
      <c r="N73" s="91">
        <v>12</v>
      </c>
      <c r="O73" s="91">
        <v>12</v>
      </c>
      <c r="P73" s="91">
        <v>16.989999999999998</v>
      </c>
      <c r="Q73" s="91">
        <v>3</v>
      </c>
      <c r="R73" s="91">
        <v>3</v>
      </c>
      <c r="S73" s="91">
        <v>3</v>
      </c>
      <c r="T73" s="91">
        <v>18</v>
      </c>
      <c r="U73" s="91">
        <v>19.489999999999998</v>
      </c>
      <c r="V73" s="91">
        <v>118.64</v>
      </c>
      <c r="W73" s="91">
        <v>13.22</v>
      </c>
      <c r="X73" s="91">
        <v>6</v>
      </c>
      <c r="Y73" s="91">
        <v>26</v>
      </c>
      <c r="Z73" s="91">
        <v>39</v>
      </c>
      <c r="AA73" s="91">
        <v>15</v>
      </c>
      <c r="AB73" s="91">
        <v>17</v>
      </c>
      <c r="AC73" s="91">
        <v>15</v>
      </c>
      <c r="AD73" s="91"/>
      <c r="AE73" s="91">
        <v>15</v>
      </c>
      <c r="AF73" s="91">
        <v>64.790000000000006</v>
      </c>
      <c r="AG73" s="91"/>
      <c r="AH73" s="91">
        <v>354.78</v>
      </c>
      <c r="AI73" s="91">
        <v>910.82</v>
      </c>
      <c r="AJ73" s="91">
        <v>621.78</v>
      </c>
      <c r="AK73" s="91">
        <v>763.46</v>
      </c>
      <c r="AL73" s="91">
        <v>354.22</v>
      </c>
      <c r="AM73" s="91">
        <v>188.46</v>
      </c>
      <c r="AN73" s="91">
        <v>363.37</v>
      </c>
      <c r="AO73" s="91">
        <v>263.87</v>
      </c>
      <c r="AP73" s="91">
        <v>25.65</v>
      </c>
      <c r="AQ73" s="91">
        <v>182.74</v>
      </c>
      <c r="AR73" s="91">
        <v>133.21</v>
      </c>
      <c r="AS73" s="155">
        <v>273.36</v>
      </c>
      <c r="AT73" s="743">
        <f>+AVERAGE(AQ73:AS73)</f>
        <v>196.4366666666667</v>
      </c>
      <c r="AU73" s="91">
        <f t="shared" ref="AU73:CO73" si="353">+AT73</f>
        <v>196.4366666666667</v>
      </c>
      <c r="AV73" s="91">
        <f t="shared" si="353"/>
        <v>196.4366666666667</v>
      </c>
      <c r="AW73" s="91">
        <f t="shared" si="353"/>
        <v>196.4366666666667</v>
      </c>
      <c r="AX73" s="91">
        <f t="shared" si="353"/>
        <v>196.4366666666667</v>
      </c>
      <c r="AY73" s="155">
        <f t="shared" si="353"/>
        <v>196.4366666666667</v>
      </c>
      <c r="AZ73" s="91">
        <f t="shared" si="353"/>
        <v>196.4366666666667</v>
      </c>
      <c r="BA73" s="91">
        <f t="shared" si="353"/>
        <v>196.4366666666667</v>
      </c>
      <c r="BB73" s="91">
        <f t="shared" si="353"/>
        <v>196.4366666666667</v>
      </c>
      <c r="BC73" s="91">
        <f t="shared" si="353"/>
        <v>196.4366666666667</v>
      </c>
      <c r="BD73" s="91">
        <f t="shared" si="353"/>
        <v>196.4366666666667</v>
      </c>
      <c r="BE73" s="91">
        <f t="shared" si="353"/>
        <v>196.4366666666667</v>
      </c>
      <c r="BF73" s="91">
        <f t="shared" si="353"/>
        <v>196.4366666666667</v>
      </c>
      <c r="BG73" s="91">
        <f t="shared" si="353"/>
        <v>196.4366666666667</v>
      </c>
      <c r="BH73" s="91">
        <f t="shared" si="353"/>
        <v>196.4366666666667</v>
      </c>
      <c r="BI73" s="91">
        <f t="shared" si="353"/>
        <v>196.4366666666667</v>
      </c>
      <c r="BJ73" s="91">
        <f t="shared" si="353"/>
        <v>196.4366666666667</v>
      </c>
      <c r="BK73" s="155">
        <f t="shared" si="353"/>
        <v>196.4366666666667</v>
      </c>
      <c r="BL73" s="91">
        <f t="shared" si="353"/>
        <v>196.4366666666667</v>
      </c>
      <c r="BM73" s="91">
        <f t="shared" si="353"/>
        <v>196.4366666666667</v>
      </c>
      <c r="BN73" s="91">
        <f t="shared" si="353"/>
        <v>196.4366666666667</v>
      </c>
      <c r="BO73" s="91">
        <f t="shared" si="353"/>
        <v>196.4366666666667</v>
      </c>
      <c r="BP73" s="91">
        <f t="shared" si="353"/>
        <v>196.4366666666667</v>
      </c>
      <c r="BQ73" s="91">
        <f t="shared" si="353"/>
        <v>196.4366666666667</v>
      </c>
      <c r="BR73" s="91">
        <f t="shared" si="353"/>
        <v>196.4366666666667</v>
      </c>
      <c r="BS73" s="91">
        <f t="shared" si="353"/>
        <v>196.4366666666667</v>
      </c>
      <c r="BT73" s="91">
        <f t="shared" si="353"/>
        <v>196.4366666666667</v>
      </c>
      <c r="BU73" s="91">
        <f t="shared" si="353"/>
        <v>196.4366666666667</v>
      </c>
      <c r="BV73" s="91">
        <f t="shared" si="353"/>
        <v>196.4366666666667</v>
      </c>
      <c r="BW73" s="155">
        <f t="shared" si="353"/>
        <v>196.4366666666667</v>
      </c>
      <c r="BX73" s="91">
        <f t="shared" si="353"/>
        <v>196.4366666666667</v>
      </c>
      <c r="BY73" s="91">
        <f t="shared" si="353"/>
        <v>196.4366666666667</v>
      </c>
      <c r="BZ73" s="91">
        <f t="shared" si="353"/>
        <v>196.4366666666667</v>
      </c>
      <c r="CA73" s="91">
        <f t="shared" si="353"/>
        <v>196.4366666666667</v>
      </c>
      <c r="CB73" s="91">
        <f t="shared" si="353"/>
        <v>196.4366666666667</v>
      </c>
      <c r="CC73" s="91">
        <f t="shared" si="353"/>
        <v>196.4366666666667</v>
      </c>
      <c r="CD73" s="91">
        <f t="shared" si="353"/>
        <v>196.4366666666667</v>
      </c>
      <c r="CE73" s="91">
        <f t="shared" si="353"/>
        <v>196.4366666666667</v>
      </c>
      <c r="CF73" s="91">
        <f t="shared" si="353"/>
        <v>196.4366666666667</v>
      </c>
      <c r="CG73" s="91">
        <f t="shared" si="353"/>
        <v>196.4366666666667</v>
      </c>
      <c r="CH73" s="91">
        <f t="shared" si="353"/>
        <v>196.4366666666667</v>
      </c>
      <c r="CI73" s="155">
        <f t="shared" si="353"/>
        <v>196.4366666666667</v>
      </c>
      <c r="CJ73" s="91">
        <f t="shared" si="353"/>
        <v>196.4366666666667</v>
      </c>
      <c r="CK73" s="91">
        <f t="shared" si="353"/>
        <v>196.4366666666667</v>
      </c>
      <c r="CL73" s="91">
        <f t="shared" si="353"/>
        <v>196.4366666666667</v>
      </c>
      <c r="CM73" s="91">
        <f t="shared" si="353"/>
        <v>196.4366666666667</v>
      </c>
      <c r="CN73" s="91">
        <f t="shared" si="353"/>
        <v>196.4366666666667</v>
      </c>
      <c r="CO73" s="91">
        <f t="shared" si="353"/>
        <v>196.4366666666667</v>
      </c>
      <c r="CP73" s="91">
        <f t="shared" ref="CP73:DG73" si="354">+CO73</f>
        <v>196.4366666666667</v>
      </c>
      <c r="CQ73" s="91">
        <f t="shared" si="354"/>
        <v>196.4366666666667</v>
      </c>
      <c r="CR73" s="91">
        <f t="shared" si="354"/>
        <v>196.4366666666667</v>
      </c>
      <c r="CS73" s="91">
        <f t="shared" si="354"/>
        <v>196.4366666666667</v>
      </c>
      <c r="CT73" s="91">
        <f t="shared" si="354"/>
        <v>196.4366666666667</v>
      </c>
      <c r="CU73" s="155">
        <f t="shared" si="354"/>
        <v>196.4366666666667</v>
      </c>
      <c r="CV73" s="91">
        <f t="shared" si="352"/>
        <v>196.4366666666667</v>
      </c>
      <c r="CW73" s="91">
        <f t="shared" si="354"/>
        <v>196.4366666666667</v>
      </c>
      <c r="CX73" s="91">
        <f t="shared" si="354"/>
        <v>196.4366666666667</v>
      </c>
      <c r="CY73" s="91">
        <f t="shared" si="354"/>
        <v>196.4366666666667</v>
      </c>
      <c r="CZ73" s="91">
        <f t="shared" si="354"/>
        <v>196.4366666666667</v>
      </c>
      <c r="DA73" s="91">
        <f t="shared" si="354"/>
        <v>196.4366666666667</v>
      </c>
      <c r="DB73" s="91">
        <f t="shared" si="354"/>
        <v>196.4366666666667</v>
      </c>
      <c r="DC73" s="91">
        <f t="shared" si="354"/>
        <v>196.4366666666667</v>
      </c>
      <c r="DD73" s="91">
        <f t="shared" si="354"/>
        <v>196.4366666666667</v>
      </c>
      <c r="DE73" s="91">
        <f t="shared" si="354"/>
        <v>196.4366666666667</v>
      </c>
      <c r="DF73" s="91">
        <f t="shared" si="354"/>
        <v>196.4366666666667</v>
      </c>
      <c r="DG73" s="91">
        <f t="shared" si="354"/>
        <v>196.4366666666667</v>
      </c>
    </row>
    <row r="74" spans="1:111" s="15" customFormat="1" x14ac:dyDescent="0.25">
      <c r="A74"/>
      <c r="B74" s="1" t="s">
        <v>317</v>
      </c>
      <c r="C74" s="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>
        <v>1000</v>
      </c>
      <c r="Q74" s="91"/>
      <c r="R74" s="91"/>
      <c r="S74" s="91">
        <v>300</v>
      </c>
      <c r="T74" s="91"/>
      <c r="U74" s="91"/>
      <c r="V74" s="91">
        <v>193.69</v>
      </c>
      <c r="W74" s="91">
        <v>191</v>
      </c>
      <c r="X74" s="91">
        <v>370</v>
      </c>
      <c r="Y74" s="91"/>
      <c r="Z74" s="91"/>
      <c r="AA74" s="91"/>
      <c r="AB74" s="91">
        <v>100</v>
      </c>
      <c r="AC74" s="91">
        <v>444.2</v>
      </c>
      <c r="AD74" s="91"/>
      <c r="AE74" s="91">
        <v>2900</v>
      </c>
      <c r="AF74" s="91"/>
      <c r="AG74" s="91"/>
      <c r="AH74" s="91">
        <v>512</v>
      </c>
      <c r="AI74" s="91">
        <v>40</v>
      </c>
      <c r="AJ74" s="91"/>
      <c r="AK74" s="91">
        <v>226</v>
      </c>
      <c r="AL74" s="91"/>
      <c r="AM74" s="91">
        <v>46.6</v>
      </c>
      <c r="AN74" s="91">
        <v>409</v>
      </c>
      <c r="AO74" s="91">
        <v>180</v>
      </c>
      <c r="AP74" s="91">
        <v>455</v>
      </c>
      <c r="AQ74" s="91">
        <v>1295</v>
      </c>
      <c r="AR74" s="91">
        <v>1676.5</v>
      </c>
      <c r="AS74" s="155">
        <v>659</v>
      </c>
      <c r="AT74" s="743">
        <v>0</v>
      </c>
      <c r="AU74" s="91">
        <f t="shared" ref="AU74:CS74" si="355">+AI74</f>
        <v>40</v>
      </c>
      <c r="AV74" s="91">
        <f t="shared" si="355"/>
        <v>0</v>
      </c>
      <c r="AW74" s="91">
        <f t="shared" si="355"/>
        <v>226</v>
      </c>
      <c r="AX74" s="91">
        <f t="shared" si="355"/>
        <v>0</v>
      </c>
      <c r="AY74" s="155">
        <f t="shared" si="355"/>
        <v>46.6</v>
      </c>
      <c r="AZ74" s="91">
        <f t="shared" si="355"/>
        <v>409</v>
      </c>
      <c r="BA74" s="91">
        <f t="shared" si="355"/>
        <v>180</v>
      </c>
      <c r="BB74" s="91">
        <f t="shared" si="355"/>
        <v>455</v>
      </c>
      <c r="BC74" s="91">
        <f t="shared" si="355"/>
        <v>1295</v>
      </c>
      <c r="BD74" s="91">
        <f t="shared" si="355"/>
        <v>1676.5</v>
      </c>
      <c r="BE74" s="91">
        <f t="shared" si="355"/>
        <v>659</v>
      </c>
      <c r="BF74" s="91">
        <f t="shared" si="355"/>
        <v>0</v>
      </c>
      <c r="BG74" s="91">
        <f t="shared" si="355"/>
        <v>40</v>
      </c>
      <c r="BH74" s="91">
        <f t="shared" si="355"/>
        <v>0</v>
      </c>
      <c r="BI74" s="91">
        <f t="shared" si="355"/>
        <v>226</v>
      </c>
      <c r="BJ74" s="91">
        <f t="shared" si="355"/>
        <v>0</v>
      </c>
      <c r="BK74" s="155">
        <f t="shared" si="355"/>
        <v>46.6</v>
      </c>
      <c r="BL74" s="91">
        <f t="shared" si="355"/>
        <v>409</v>
      </c>
      <c r="BM74" s="91">
        <f t="shared" si="355"/>
        <v>180</v>
      </c>
      <c r="BN74" s="91">
        <f t="shared" si="355"/>
        <v>455</v>
      </c>
      <c r="BO74" s="91">
        <f t="shared" si="355"/>
        <v>1295</v>
      </c>
      <c r="BP74" s="91">
        <f t="shared" si="355"/>
        <v>1676.5</v>
      </c>
      <c r="BQ74" s="91">
        <f t="shared" si="355"/>
        <v>659</v>
      </c>
      <c r="BR74" s="91">
        <f t="shared" si="355"/>
        <v>0</v>
      </c>
      <c r="BS74" s="91">
        <f t="shared" si="355"/>
        <v>40</v>
      </c>
      <c r="BT74" s="91">
        <f t="shared" si="355"/>
        <v>0</v>
      </c>
      <c r="BU74" s="91">
        <f t="shared" si="355"/>
        <v>226</v>
      </c>
      <c r="BV74" s="91">
        <f t="shared" si="355"/>
        <v>0</v>
      </c>
      <c r="BW74" s="155">
        <f t="shared" si="355"/>
        <v>46.6</v>
      </c>
      <c r="BX74" s="91">
        <f t="shared" si="355"/>
        <v>409</v>
      </c>
      <c r="BY74" s="91">
        <f t="shared" si="355"/>
        <v>180</v>
      </c>
      <c r="BZ74" s="91">
        <f t="shared" si="355"/>
        <v>455</v>
      </c>
      <c r="CA74" s="91">
        <f t="shared" si="355"/>
        <v>1295</v>
      </c>
      <c r="CB74" s="91">
        <f t="shared" si="355"/>
        <v>1676.5</v>
      </c>
      <c r="CC74" s="91">
        <f t="shared" si="355"/>
        <v>659</v>
      </c>
      <c r="CD74" s="91">
        <f t="shared" si="355"/>
        <v>0</v>
      </c>
      <c r="CE74" s="91">
        <f t="shared" si="355"/>
        <v>40</v>
      </c>
      <c r="CF74" s="91">
        <f t="shared" si="355"/>
        <v>0</v>
      </c>
      <c r="CG74" s="91">
        <f t="shared" si="355"/>
        <v>226</v>
      </c>
      <c r="CH74" s="91">
        <f t="shared" si="355"/>
        <v>0</v>
      </c>
      <c r="CI74" s="155">
        <f t="shared" si="355"/>
        <v>46.6</v>
      </c>
      <c r="CJ74" s="91">
        <f t="shared" si="355"/>
        <v>409</v>
      </c>
      <c r="CK74" s="91">
        <f t="shared" si="355"/>
        <v>180</v>
      </c>
      <c r="CL74" s="91">
        <f t="shared" si="355"/>
        <v>455</v>
      </c>
      <c r="CM74" s="91">
        <f t="shared" si="355"/>
        <v>1295</v>
      </c>
      <c r="CN74" s="91">
        <f t="shared" si="355"/>
        <v>1676.5</v>
      </c>
      <c r="CO74" s="91">
        <f t="shared" si="355"/>
        <v>659</v>
      </c>
      <c r="CP74" s="91">
        <f t="shared" si="355"/>
        <v>0</v>
      </c>
      <c r="CQ74" s="91">
        <f t="shared" si="355"/>
        <v>40</v>
      </c>
      <c r="CR74" s="91">
        <f t="shared" si="355"/>
        <v>0</v>
      </c>
      <c r="CS74" s="91">
        <f t="shared" si="355"/>
        <v>226</v>
      </c>
      <c r="CT74" s="91">
        <f t="shared" ref="CT74:DG74" si="356">+CH74</f>
        <v>0</v>
      </c>
      <c r="CU74" s="155">
        <f t="shared" si="356"/>
        <v>46.6</v>
      </c>
      <c r="CV74" s="91">
        <f t="shared" si="356"/>
        <v>409</v>
      </c>
      <c r="CW74" s="91">
        <f t="shared" si="356"/>
        <v>180</v>
      </c>
      <c r="CX74" s="91">
        <f t="shared" si="356"/>
        <v>455</v>
      </c>
      <c r="CY74" s="91">
        <f t="shared" si="356"/>
        <v>1295</v>
      </c>
      <c r="CZ74" s="91">
        <f t="shared" si="356"/>
        <v>1676.5</v>
      </c>
      <c r="DA74" s="91">
        <f t="shared" si="356"/>
        <v>659</v>
      </c>
      <c r="DB74" s="91">
        <f t="shared" si="356"/>
        <v>0</v>
      </c>
      <c r="DC74" s="91">
        <f t="shared" si="356"/>
        <v>40</v>
      </c>
      <c r="DD74" s="91">
        <f t="shared" si="356"/>
        <v>0</v>
      </c>
      <c r="DE74" s="91">
        <f t="shared" si="356"/>
        <v>226</v>
      </c>
      <c r="DF74" s="91">
        <f t="shared" si="356"/>
        <v>0</v>
      </c>
      <c r="DG74" s="91">
        <f t="shared" si="356"/>
        <v>46.6</v>
      </c>
    </row>
    <row r="75" spans="1:111" s="15" customFormat="1" x14ac:dyDescent="0.25">
      <c r="A75"/>
      <c r="B75" s="1" t="s">
        <v>318</v>
      </c>
      <c r="C75" s="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>
        <v>47.66</v>
      </c>
      <c r="AB75" s="91">
        <v>16.89</v>
      </c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155"/>
      <c r="AT75" s="743">
        <f t="shared" ref="AT75" si="357">+AS75</f>
        <v>0</v>
      </c>
      <c r="AU75" s="91">
        <f t="shared" ref="AU75:CP75" si="358">++AT75</f>
        <v>0</v>
      </c>
      <c r="AV75" s="91">
        <f t="shared" si="358"/>
        <v>0</v>
      </c>
      <c r="AW75" s="91">
        <f t="shared" si="358"/>
        <v>0</v>
      </c>
      <c r="AX75" s="91">
        <f t="shared" si="358"/>
        <v>0</v>
      </c>
      <c r="AY75" s="155">
        <f t="shared" si="358"/>
        <v>0</v>
      </c>
      <c r="AZ75" s="91">
        <f t="shared" si="358"/>
        <v>0</v>
      </c>
      <c r="BA75" s="91">
        <f t="shared" si="358"/>
        <v>0</v>
      </c>
      <c r="BB75" s="91">
        <f t="shared" si="358"/>
        <v>0</v>
      </c>
      <c r="BC75" s="91">
        <f t="shared" si="358"/>
        <v>0</v>
      </c>
      <c r="BD75" s="91">
        <f t="shared" si="358"/>
        <v>0</v>
      </c>
      <c r="BE75" s="91">
        <f t="shared" si="358"/>
        <v>0</v>
      </c>
      <c r="BF75" s="91">
        <f t="shared" si="358"/>
        <v>0</v>
      </c>
      <c r="BG75" s="91">
        <f t="shared" si="358"/>
        <v>0</v>
      </c>
      <c r="BH75" s="91">
        <f t="shared" si="358"/>
        <v>0</v>
      </c>
      <c r="BI75" s="91">
        <f t="shared" si="358"/>
        <v>0</v>
      </c>
      <c r="BJ75" s="91">
        <f t="shared" si="358"/>
        <v>0</v>
      </c>
      <c r="BK75" s="155">
        <f t="shared" si="358"/>
        <v>0</v>
      </c>
      <c r="BL75" s="91">
        <f t="shared" si="358"/>
        <v>0</v>
      </c>
      <c r="BM75" s="91">
        <f t="shared" si="358"/>
        <v>0</v>
      </c>
      <c r="BN75" s="91">
        <f t="shared" si="358"/>
        <v>0</v>
      </c>
      <c r="BO75" s="91">
        <f t="shared" si="358"/>
        <v>0</v>
      </c>
      <c r="BP75" s="91">
        <f t="shared" si="358"/>
        <v>0</v>
      </c>
      <c r="BQ75" s="91">
        <f t="shared" si="358"/>
        <v>0</v>
      </c>
      <c r="BR75" s="91">
        <f t="shared" si="358"/>
        <v>0</v>
      </c>
      <c r="BS75" s="91">
        <f t="shared" si="358"/>
        <v>0</v>
      </c>
      <c r="BT75" s="91">
        <f t="shared" si="358"/>
        <v>0</v>
      </c>
      <c r="BU75" s="91">
        <f t="shared" si="358"/>
        <v>0</v>
      </c>
      <c r="BV75" s="91">
        <f t="shared" si="358"/>
        <v>0</v>
      </c>
      <c r="BW75" s="155">
        <f t="shared" si="358"/>
        <v>0</v>
      </c>
      <c r="BX75" s="91">
        <f t="shared" si="358"/>
        <v>0</v>
      </c>
      <c r="BY75" s="91">
        <f t="shared" si="358"/>
        <v>0</v>
      </c>
      <c r="BZ75" s="91">
        <f t="shared" si="358"/>
        <v>0</v>
      </c>
      <c r="CA75" s="91">
        <f t="shared" si="358"/>
        <v>0</v>
      </c>
      <c r="CB75" s="91">
        <f t="shared" si="358"/>
        <v>0</v>
      </c>
      <c r="CC75" s="91">
        <f t="shared" si="358"/>
        <v>0</v>
      </c>
      <c r="CD75" s="91">
        <f t="shared" si="358"/>
        <v>0</v>
      </c>
      <c r="CE75" s="91">
        <f t="shared" si="358"/>
        <v>0</v>
      </c>
      <c r="CF75" s="91">
        <f t="shared" si="358"/>
        <v>0</v>
      </c>
      <c r="CG75" s="91">
        <f t="shared" si="358"/>
        <v>0</v>
      </c>
      <c r="CH75" s="91">
        <f t="shared" si="358"/>
        <v>0</v>
      </c>
      <c r="CI75" s="155">
        <f t="shared" si="358"/>
        <v>0</v>
      </c>
      <c r="CJ75" s="91">
        <f t="shared" si="358"/>
        <v>0</v>
      </c>
      <c r="CK75" s="91">
        <f t="shared" si="358"/>
        <v>0</v>
      </c>
      <c r="CL75" s="91">
        <f t="shared" si="358"/>
        <v>0</v>
      </c>
      <c r="CM75" s="91">
        <f t="shared" si="358"/>
        <v>0</v>
      </c>
      <c r="CN75" s="91">
        <f t="shared" si="358"/>
        <v>0</v>
      </c>
      <c r="CO75" s="91">
        <f t="shared" si="358"/>
        <v>0</v>
      </c>
      <c r="CP75" s="91">
        <f t="shared" si="358"/>
        <v>0</v>
      </c>
      <c r="CQ75" s="91">
        <f t="shared" ref="CQ75:DG75" si="359">++CP75</f>
        <v>0</v>
      </c>
      <c r="CR75" s="91">
        <f t="shared" si="359"/>
        <v>0</v>
      </c>
      <c r="CS75" s="91">
        <f t="shared" si="359"/>
        <v>0</v>
      </c>
      <c r="CT75" s="91">
        <f t="shared" si="359"/>
        <v>0</v>
      </c>
      <c r="CU75" s="155">
        <f t="shared" si="359"/>
        <v>0</v>
      </c>
      <c r="CV75" s="91">
        <f t="shared" si="359"/>
        <v>0</v>
      </c>
      <c r="CW75" s="91">
        <f t="shared" si="359"/>
        <v>0</v>
      </c>
      <c r="CX75" s="91">
        <f t="shared" si="359"/>
        <v>0</v>
      </c>
      <c r="CY75" s="91">
        <f t="shared" si="359"/>
        <v>0</v>
      </c>
      <c r="CZ75" s="91">
        <f t="shared" si="359"/>
        <v>0</v>
      </c>
      <c r="DA75" s="91">
        <f t="shared" si="359"/>
        <v>0</v>
      </c>
      <c r="DB75" s="91">
        <f t="shared" si="359"/>
        <v>0</v>
      </c>
      <c r="DC75" s="91">
        <f t="shared" si="359"/>
        <v>0</v>
      </c>
      <c r="DD75" s="91">
        <f t="shared" si="359"/>
        <v>0</v>
      </c>
      <c r="DE75" s="91">
        <f t="shared" si="359"/>
        <v>0</v>
      </c>
      <c r="DF75" s="91">
        <f t="shared" si="359"/>
        <v>0</v>
      </c>
      <c r="DG75" s="91">
        <f t="shared" si="359"/>
        <v>0</v>
      </c>
    </row>
    <row r="76" spans="1:111" s="15" customFormat="1" x14ac:dyDescent="0.25">
      <c r="A76"/>
      <c r="B76" s="1" t="s">
        <v>319</v>
      </c>
      <c r="C76" s="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>
        <v>463</v>
      </c>
      <c r="AC76" s="91"/>
      <c r="AD76" s="91">
        <v>72</v>
      </c>
      <c r="AE76" s="91"/>
      <c r="AF76" s="91">
        <v>966.33</v>
      </c>
      <c r="AG76" s="91"/>
      <c r="AH76" s="91"/>
      <c r="AI76" s="91"/>
      <c r="AJ76" s="91"/>
      <c r="AK76" s="91"/>
      <c r="AL76" s="91">
        <v>85</v>
      </c>
      <c r="AM76" s="91">
        <v>0</v>
      </c>
      <c r="AN76" s="91">
        <v>0</v>
      </c>
      <c r="AO76" s="91">
        <v>0</v>
      </c>
      <c r="AP76" s="91">
        <v>0</v>
      </c>
      <c r="AQ76" s="91">
        <v>0</v>
      </c>
      <c r="AR76" s="91">
        <v>0</v>
      </c>
      <c r="AS76" s="155">
        <v>0</v>
      </c>
      <c r="AT76" s="743">
        <f t="shared" ref="AT76" si="360">+AS76</f>
        <v>0</v>
      </c>
      <c r="AU76" s="91">
        <f t="shared" ref="AU76:CP76" si="361">+AT76</f>
        <v>0</v>
      </c>
      <c r="AV76" s="91">
        <f t="shared" si="361"/>
        <v>0</v>
      </c>
      <c r="AW76" s="91">
        <f t="shared" si="361"/>
        <v>0</v>
      </c>
      <c r="AX76" s="91">
        <f t="shared" si="361"/>
        <v>0</v>
      </c>
      <c r="AY76" s="155">
        <f t="shared" si="361"/>
        <v>0</v>
      </c>
      <c r="AZ76" s="91">
        <f t="shared" si="361"/>
        <v>0</v>
      </c>
      <c r="BA76" s="91">
        <f t="shared" si="361"/>
        <v>0</v>
      </c>
      <c r="BB76" s="91">
        <f t="shared" si="361"/>
        <v>0</v>
      </c>
      <c r="BC76" s="91">
        <f t="shared" si="361"/>
        <v>0</v>
      </c>
      <c r="BD76" s="91">
        <f t="shared" si="361"/>
        <v>0</v>
      </c>
      <c r="BE76" s="91">
        <f t="shared" si="361"/>
        <v>0</v>
      </c>
      <c r="BF76" s="91">
        <f t="shared" si="361"/>
        <v>0</v>
      </c>
      <c r="BG76" s="91">
        <f t="shared" si="361"/>
        <v>0</v>
      </c>
      <c r="BH76" s="91">
        <f t="shared" si="361"/>
        <v>0</v>
      </c>
      <c r="BI76" s="91">
        <f t="shared" si="361"/>
        <v>0</v>
      </c>
      <c r="BJ76" s="91">
        <f t="shared" si="361"/>
        <v>0</v>
      </c>
      <c r="BK76" s="155">
        <f t="shared" si="361"/>
        <v>0</v>
      </c>
      <c r="BL76" s="91">
        <f t="shared" si="361"/>
        <v>0</v>
      </c>
      <c r="BM76" s="91">
        <f t="shared" si="361"/>
        <v>0</v>
      </c>
      <c r="BN76" s="91">
        <f t="shared" si="361"/>
        <v>0</v>
      </c>
      <c r="BO76" s="91">
        <f t="shared" si="361"/>
        <v>0</v>
      </c>
      <c r="BP76" s="91">
        <f t="shared" si="361"/>
        <v>0</v>
      </c>
      <c r="BQ76" s="91">
        <f t="shared" si="361"/>
        <v>0</v>
      </c>
      <c r="BR76" s="91">
        <f t="shared" si="361"/>
        <v>0</v>
      </c>
      <c r="BS76" s="91">
        <f t="shared" si="361"/>
        <v>0</v>
      </c>
      <c r="BT76" s="91">
        <f t="shared" si="361"/>
        <v>0</v>
      </c>
      <c r="BU76" s="91">
        <f t="shared" si="361"/>
        <v>0</v>
      </c>
      <c r="BV76" s="91">
        <f t="shared" si="361"/>
        <v>0</v>
      </c>
      <c r="BW76" s="155">
        <f t="shared" si="361"/>
        <v>0</v>
      </c>
      <c r="BX76" s="91">
        <f t="shared" si="361"/>
        <v>0</v>
      </c>
      <c r="BY76" s="91">
        <f t="shared" si="361"/>
        <v>0</v>
      </c>
      <c r="BZ76" s="91">
        <f t="shared" si="361"/>
        <v>0</v>
      </c>
      <c r="CA76" s="91">
        <f t="shared" si="361"/>
        <v>0</v>
      </c>
      <c r="CB76" s="91">
        <f t="shared" si="361"/>
        <v>0</v>
      </c>
      <c r="CC76" s="91">
        <f t="shared" si="361"/>
        <v>0</v>
      </c>
      <c r="CD76" s="91">
        <f t="shared" si="361"/>
        <v>0</v>
      </c>
      <c r="CE76" s="91">
        <f t="shared" si="361"/>
        <v>0</v>
      </c>
      <c r="CF76" s="91">
        <f t="shared" si="361"/>
        <v>0</v>
      </c>
      <c r="CG76" s="91">
        <f t="shared" si="361"/>
        <v>0</v>
      </c>
      <c r="CH76" s="91">
        <f t="shared" si="361"/>
        <v>0</v>
      </c>
      <c r="CI76" s="155">
        <f t="shared" si="361"/>
        <v>0</v>
      </c>
      <c r="CJ76" s="91">
        <f t="shared" si="361"/>
        <v>0</v>
      </c>
      <c r="CK76" s="91">
        <f t="shared" si="361"/>
        <v>0</v>
      </c>
      <c r="CL76" s="91">
        <f t="shared" si="361"/>
        <v>0</v>
      </c>
      <c r="CM76" s="91">
        <f t="shared" si="361"/>
        <v>0</v>
      </c>
      <c r="CN76" s="91">
        <f t="shared" si="361"/>
        <v>0</v>
      </c>
      <c r="CO76" s="91">
        <f t="shared" si="361"/>
        <v>0</v>
      </c>
      <c r="CP76" s="91">
        <f t="shared" si="361"/>
        <v>0</v>
      </c>
      <c r="CQ76" s="91">
        <f t="shared" ref="CQ76:DG76" si="362">+CP76</f>
        <v>0</v>
      </c>
      <c r="CR76" s="91">
        <f t="shared" si="362"/>
        <v>0</v>
      </c>
      <c r="CS76" s="91">
        <f t="shared" si="362"/>
        <v>0</v>
      </c>
      <c r="CT76" s="91">
        <f t="shared" si="362"/>
        <v>0</v>
      </c>
      <c r="CU76" s="155">
        <f t="shared" si="362"/>
        <v>0</v>
      </c>
      <c r="CV76" s="91">
        <f t="shared" si="362"/>
        <v>0</v>
      </c>
      <c r="CW76" s="91">
        <f t="shared" si="362"/>
        <v>0</v>
      </c>
      <c r="CX76" s="91">
        <f t="shared" si="362"/>
        <v>0</v>
      </c>
      <c r="CY76" s="91">
        <f t="shared" si="362"/>
        <v>0</v>
      </c>
      <c r="CZ76" s="91">
        <f t="shared" si="362"/>
        <v>0</v>
      </c>
      <c r="DA76" s="91">
        <f t="shared" si="362"/>
        <v>0</v>
      </c>
      <c r="DB76" s="91">
        <f t="shared" si="362"/>
        <v>0</v>
      </c>
      <c r="DC76" s="91">
        <f t="shared" si="362"/>
        <v>0</v>
      </c>
      <c r="DD76" s="91">
        <f t="shared" si="362"/>
        <v>0</v>
      </c>
      <c r="DE76" s="91">
        <f t="shared" si="362"/>
        <v>0</v>
      </c>
      <c r="DF76" s="91">
        <f t="shared" si="362"/>
        <v>0</v>
      </c>
      <c r="DG76" s="91">
        <f t="shared" si="362"/>
        <v>0</v>
      </c>
    </row>
    <row r="77" spans="1:111" s="15" customFormat="1" x14ac:dyDescent="0.25">
      <c r="A77"/>
      <c r="B77" s="1" t="s">
        <v>513</v>
      </c>
      <c r="C77" s="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>
        <v>1815</v>
      </c>
      <c r="AN77" s="91">
        <v>18851</v>
      </c>
      <c r="AO77" s="91">
        <v>0</v>
      </c>
      <c r="AP77" s="91">
        <v>0</v>
      </c>
      <c r="AQ77" s="91">
        <v>0</v>
      </c>
      <c r="AR77" s="91">
        <v>0</v>
      </c>
      <c r="AS77" s="155">
        <v>0</v>
      </c>
      <c r="AT77" s="743"/>
      <c r="AU77" s="91"/>
      <c r="AV77" s="91"/>
      <c r="AW77" s="91"/>
      <c r="AX77" s="91"/>
      <c r="AY77" s="155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155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1"/>
      <c r="BW77" s="155"/>
      <c r="BX77" s="91"/>
      <c r="BY77" s="91"/>
      <c r="BZ77" s="91"/>
      <c r="CA77" s="91"/>
      <c r="CB77" s="91"/>
      <c r="CC77" s="91"/>
      <c r="CD77" s="91"/>
      <c r="CE77" s="91"/>
      <c r="CF77" s="91"/>
      <c r="CG77" s="91"/>
      <c r="CH77" s="91"/>
      <c r="CI77" s="155"/>
      <c r="CJ77" s="91"/>
      <c r="CK77" s="91"/>
      <c r="CL77" s="91"/>
      <c r="CM77" s="91"/>
      <c r="CN77" s="91"/>
      <c r="CO77" s="91"/>
      <c r="CP77" s="91"/>
      <c r="CQ77" s="91"/>
      <c r="CR77" s="91"/>
      <c r="CS77" s="91"/>
      <c r="CT77" s="91"/>
      <c r="CU77" s="155"/>
      <c r="CV77" s="91"/>
      <c r="CW77" s="91"/>
      <c r="CX77" s="91"/>
      <c r="CY77" s="91"/>
      <c r="CZ77" s="91"/>
      <c r="DA77" s="91"/>
      <c r="DB77" s="91"/>
      <c r="DC77" s="91"/>
      <c r="DD77" s="91"/>
      <c r="DE77" s="91"/>
      <c r="DF77" s="91"/>
      <c r="DG77" s="91"/>
    </row>
    <row r="78" spans="1:111" x14ac:dyDescent="0.25">
      <c r="A78" s="3"/>
      <c r="B78" s="4" t="s">
        <v>252</v>
      </c>
      <c r="C78" s="4"/>
      <c r="D78" s="37"/>
      <c r="E78" s="37">
        <f t="shared" ref="E78:O78" si="363">+SUM(E57,E61,E68,E69:E76)</f>
        <v>12</v>
      </c>
      <c r="F78" s="37">
        <f t="shared" si="363"/>
        <v>11.83</v>
      </c>
      <c r="G78" s="37">
        <f t="shared" si="363"/>
        <v>12</v>
      </c>
      <c r="H78" s="37">
        <f t="shared" si="363"/>
        <v>132</v>
      </c>
      <c r="I78" s="37">
        <f t="shared" si="363"/>
        <v>817.36</v>
      </c>
      <c r="J78" s="37">
        <f t="shared" si="363"/>
        <v>12</v>
      </c>
      <c r="K78" s="37">
        <f t="shared" si="363"/>
        <v>213</v>
      </c>
      <c r="L78" s="37">
        <f t="shared" si="363"/>
        <v>1230.5</v>
      </c>
      <c r="M78" s="37">
        <f t="shared" si="363"/>
        <v>263.3</v>
      </c>
      <c r="N78" s="37">
        <f t="shared" si="363"/>
        <v>223</v>
      </c>
      <c r="O78" s="37">
        <f t="shared" si="363"/>
        <v>2910.3900000000003</v>
      </c>
      <c r="P78" s="37">
        <f>+SUM(P57,P61,P68,P69:P76)</f>
        <v>1659.16</v>
      </c>
      <c r="Q78" s="37">
        <f t="shared" ref="Q78:AA78" si="364">+SUM(Q57,Q61,Q68,Q69:Q76)</f>
        <v>467.18</v>
      </c>
      <c r="R78" s="37">
        <f t="shared" si="364"/>
        <v>1525.78</v>
      </c>
      <c r="S78" s="37">
        <f t="shared" si="364"/>
        <v>598.99</v>
      </c>
      <c r="T78" s="37">
        <f t="shared" si="364"/>
        <v>2060.8900000000003</v>
      </c>
      <c r="U78" s="37">
        <f t="shared" si="364"/>
        <v>452.88</v>
      </c>
      <c r="V78" s="37">
        <f t="shared" si="364"/>
        <v>1445.7200000000003</v>
      </c>
      <c r="W78" s="37">
        <f t="shared" si="364"/>
        <v>900.86</v>
      </c>
      <c r="X78" s="37">
        <f t="shared" si="364"/>
        <v>2090.58</v>
      </c>
      <c r="Y78" s="37">
        <f t="shared" si="364"/>
        <v>630.27</v>
      </c>
      <c r="Z78" s="37">
        <f t="shared" si="364"/>
        <v>2877.72</v>
      </c>
      <c r="AA78" s="37">
        <f t="shared" si="364"/>
        <v>2283.2299999999996</v>
      </c>
      <c r="AB78" s="37">
        <f t="shared" ref="AB78:AL78" si="365">+SUM(AB57,AB61,AB68,AB69:AB77)</f>
        <v>1735.88</v>
      </c>
      <c r="AC78" s="37">
        <f t="shared" si="365"/>
        <v>4033.27</v>
      </c>
      <c r="AD78" s="37">
        <f t="shared" si="365"/>
        <v>1614.19</v>
      </c>
      <c r="AE78" s="37">
        <f t="shared" si="365"/>
        <v>4507.3599999999997</v>
      </c>
      <c r="AF78" s="37">
        <f t="shared" si="365"/>
        <v>5191.57</v>
      </c>
      <c r="AG78" s="37">
        <f t="shared" si="365"/>
        <v>5215.9499999999989</v>
      </c>
      <c r="AH78" s="37">
        <f t="shared" si="365"/>
        <v>3100.88</v>
      </c>
      <c r="AI78" s="37">
        <f t="shared" si="365"/>
        <v>2842.8500000000004</v>
      </c>
      <c r="AJ78" s="37">
        <f t="shared" si="365"/>
        <v>2224.09</v>
      </c>
      <c r="AK78" s="37">
        <f t="shared" si="365"/>
        <v>2746.76</v>
      </c>
      <c r="AL78" s="37">
        <f t="shared" si="365"/>
        <v>2402.13</v>
      </c>
      <c r="AM78" s="37">
        <f>+SUM(AM57,AM61,AM68,AM69:AM77)</f>
        <v>5770.49</v>
      </c>
      <c r="AN78" s="37">
        <f t="shared" ref="AN78:BS78" si="366">+SUM(AN48,AN57,AN61,AN68,AN69:AN77)</f>
        <v>27735.14</v>
      </c>
      <c r="AO78" s="37">
        <f t="shared" si="366"/>
        <v>12436.900000000001</v>
      </c>
      <c r="AP78" s="37">
        <f t="shared" si="366"/>
        <v>9507.08</v>
      </c>
      <c r="AQ78" s="37">
        <f t="shared" ref="AQ78:AR78" si="367">+SUM(AQ48,AQ57,AQ61,AQ68,AQ69:AQ77)</f>
        <v>9482.0399999999991</v>
      </c>
      <c r="AR78" s="37">
        <f t="shared" si="367"/>
        <v>8503.0099999999984</v>
      </c>
      <c r="AS78" s="156">
        <f t="shared" ref="AS78" si="368">+SUM(AS48,AS57,AS61,AS68,AS69:AS77)</f>
        <v>7043.4499999999989</v>
      </c>
      <c r="AT78" s="37">
        <f t="shared" ref="AT78" si="369">+SUM(AT48,AT57,AT61,AT68,AT69:AT77)</f>
        <v>9428.9</v>
      </c>
      <c r="AU78" s="37">
        <f t="shared" si="366"/>
        <v>8368.9000000000015</v>
      </c>
      <c r="AV78" s="37">
        <f t="shared" si="366"/>
        <v>8078.9000000000005</v>
      </c>
      <c r="AW78" s="37">
        <f t="shared" si="366"/>
        <v>8304.9000000000015</v>
      </c>
      <c r="AX78" s="37">
        <f t="shared" si="366"/>
        <v>8827.69</v>
      </c>
      <c r="AY78" s="156">
        <f t="shared" si="366"/>
        <v>10050.5</v>
      </c>
      <c r="AZ78" s="37">
        <f t="shared" si="366"/>
        <v>20255.170833333337</v>
      </c>
      <c r="BA78" s="37">
        <f t="shared" si="366"/>
        <v>17001.170833333337</v>
      </c>
      <c r="BB78" s="37">
        <f t="shared" si="366"/>
        <v>18251.170833333337</v>
      </c>
      <c r="BC78" s="37">
        <f t="shared" si="366"/>
        <v>17441.170833333337</v>
      </c>
      <c r="BD78" s="37">
        <f t="shared" si="366"/>
        <v>19320.670833333337</v>
      </c>
      <c r="BE78" s="37">
        <f t="shared" si="366"/>
        <v>18236.000833333339</v>
      </c>
      <c r="BF78" s="37">
        <f t="shared" si="366"/>
        <v>17506.170833333337</v>
      </c>
      <c r="BG78" s="37">
        <f t="shared" si="366"/>
        <v>16436.170833333337</v>
      </c>
      <c r="BH78" s="37">
        <f t="shared" si="366"/>
        <v>16146.170833333335</v>
      </c>
      <c r="BI78" s="37">
        <f t="shared" si="366"/>
        <v>16372.170833333335</v>
      </c>
      <c r="BJ78" s="37">
        <f t="shared" si="366"/>
        <v>16894.960833333338</v>
      </c>
      <c r="BK78" s="156">
        <f t="shared" si="366"/>
        <v>18310.270833333336</v>
      </c>
      <c r="BL78" s="37">
        <f t="shared" si="366"/>
        <v>24367.791875000006</v>
      </c>
      <c r="BM78" s="37">
        <f t="shared" si="366"/>
        <v>20948.791875000006</v>
      </c>
      <c r="BN78" s="37">
        <f t="shared" si="366"/>
        <v>22308.791875000006</v>
      </c>
      <c r="BO78" s="37">
        <f t="shared" si="366"/>
        <v>21333.791875000006</v>
      </c>
      <c r="BP78" s="37">
        <f t="shared" si="366"/>
        <v>23213.291875000006</v>
      </c>
      <c r="BQ78" s="37">
        <f t="shared" si="366"/>
        <v>22128.621875000004</v>
      </c>
      <c r="BR78" s="37">
        <f t="shared" si="366"/>
        <v>21409.791875000006</v>
      </c>
      <c r="BS78" s="37">
        <f t="shared" si="366"/>
        <v>20328.791875000006</v>
      </c>
      <c r="BT78" s="37">
        <f t="shared" ref="BT78:CY78" si="370">+SUM(BT48,BT57,BT61,BT68,BT69:BT77)</f>
        <v>20038.791875000006</v>
      </c>
      <c r="BU78" s="37">
        <f t="shared" si="370"/>
        <v>20264.791875000006</v>
      </c>
      <c r="BV78" s="37">
        <f t="shared" si="370"/>
        <v>20787.581875000007</v>
      </c>
      <c r="BW78" s="156">
        <f t="shared" si="370"/>
        <v>22414.641875000005</v>
      </c>
      <c r="BX78" s="37">
        <f t="shared" si="370"/>
        <v>31391.795052083333</v>
      </c>
      <c r="BY78" s="37">
        <f t="shared" si="370"/>
        <v>27791.295052083333</v>
      </c>
      <c r="BZ78" s="37">
        <f t="shared" si="370"/>
        <v>29272.295052083333</v>
      </c>
      <c r="CA78" s="37">
        <f t="shared" si="370"/>
        <v>28115.795052083333</v>
      </c>
      <c r="CB78" s="37">
        <f t="shared" si="370"/>
        <v>29995.295052083333</v>
      </c>
      <c r="CC78" s="37">
        <f t="shared" si="370"/>
        <v>28910.625052083335</v>
      </c>
      <c r="CD78" s="37">
        <f t="shared" si="370"/>
        <v>28203.895052083331</v>
      </c>
      <c r="CE78" s="37">
        <f t="shared" si="370"/>
        <v>27110.795052083333</v>
      </c>
      <c r="CF78" s="37">
        <f t="shared" si="370"/>
        <v>26820.795052083333</v>
      </c>
      <c r="CG78" s="37">
        <f t="shared" si="370"/>
        <v>27046.795052083333</v>
      </c>
      <c r="CH78" s="37">
        <f t="shared" si="370"/>
        <v>27569.585052083334</v>
      </c>
      <c r="CI78" s="156">
        <f t="shared" si="370"/>
        <v>29429.570052083334</v>
      </c>
      <c r="CJ78" s="37">
        <f t="shared" si="370"/>
        <v>34738.549679687501</v>
      </c>
      <c r="CK78" s="37">
        <f t="shared" si="370"/>
        <v>30938.399679687504</v>
      </c>
      <c r="CL78" s="37">
        <f t="shared" si="370"/>
        <v>32552.499679687502</v>
      </c>
      <c r="CM78" s="37">
        <f t="shared" si="370"/>
        <v>31196.349679687501</v>
      </c>
      <c r="CN78" s="37">
        <f t="shared" si="370"/>
        <v>33075.849679687497</v>
      </c>
      <c r="CO78" s="37">
        <f t="shared" si="370"/>
        <v>31991.179679687502</v>
      </c>
      <c r="CP78" s="37">
        <f t="shared" si="370"/>
        <v>31297.759679687504</v>
      </c>
      <c r="CQ78" s="37">
        <f t="shared" si="370"/>
        <v>30191.349679687501</v>
      </c>
      <c r="CR78" s="37">
        <f t="shared" si="370"/>
        <v>29901.349679687501</v>
      </c>
      <c r="CS78" s="37">
        <f t="shared" si="370"/>
        <v>30127.349679687501</v>
      </c>
      <c r="CT78" s="37">
        <f t="shared" si="370"/>
        <v>30650.139679687501</v>
      </c>
      <c r="CU78" s="156">
        <f t="shared" si="370"/>
        <v>32766.342179687501</v>
      </c>
      <c r="CV78" s="37">
        <f t="shared" si="370"/>
        <v>39556.082309505211</v>
      </c>
      <c r="CW78" s="37">
        <f t="shared" si="370"/>
        <v>35536.317309505212</v>
      </c>
      <c r="CX78" s="37">
        <f t="shared" si="370"/>
        <v>37296.827309505214</v>
      </c>
      <c r="CY78" s="37">
        <f t="shared" si="370"/>
        <v>35721.062309505207</v>
      </c>
      <c r="CZ78" s="37">
        <f t="shared" ref="CZ78:DG78" si="371">+SUM(CZ48,CZ57,CZ61,CZ68,CZ69:CZ77)</f>
        <v>37600.562309505207</v>
      </c>
      <c r="DA78" s="37">
        <f t="shared" si="371"/>
        <v>36515.892309505209</v>
      </c>
      <c r="DB78" s="37">
        <f t="shared" si="371"/>
        <v>35837.113309505206</v>
      </c>
      <c r="DC78" s="37">
        <f t="shared" si="371"/>
        <v>34716.062309505207</v>
      </c>
      <c r="DD78" s="37">
        <f t="shared" si="371"/>
        <v>34426.062309505207</v>
      </c>
      <c r="DE78" s="37">
        <f t="shared" si="371"/>
        <v>34652.062309505207</v>
      </c>
      <c r="DF78" s="37">
        <f t="shared" si="371"/>
        <v>35174.852309505208</v>
      </c>
      <c r="DG78" s="37">
        <f t="shared" si="371"/>
        <v>37572.894059505212</v>
      </c>
    </row>
    <row r="79" spans="1:111" x14ac:dyDescent="0.25">
      <c r="B79" s="1" t="s">
        <v>6</v>
      </c>
      <c r="C79" s="1"/>
      <c r="D79" s="37"/>
      <c r="E79" s="37">
        <f t="shared" ref="E79:AJ79" si="372">E78+E42</f>
        <v>12</v>
      </c>
      <c r="F79" s="37">
        <f t="shared" si="372"/>
        <v>11.83</v>
      </c>
      <c r="G79" s="37">
        <f t="shared" si="372"/>
        <v>12</v>
      </c>
      <c r="H79" s="37">
        <f t="shared" si="372"/>
        <v>132</v>
      </c>
      <c r="I79" s="37">
        <f t="shared" si="372"/>
        <v>817.36</v>
      </c>
      <c r="J79" s="37">
        <f t="shared" si="372"/>
        <v>12</v>
      </c>
      <c r="K79" s="37">
        <f t="shared" si="372"/>
        <v>213</v>
      </c>
      <c r="L79" s="37">
        <f t="shared" si="372"/>
        <v>1880.5</v>
      </c>
      <c r="M79" s="37">
        <f t="shared" si="372"/>
        <v>263.3</v>
      </c>
      <c r="N79" s="37">
        <f t="shared" si="372"/>
        <v>223</v>
      </c>
      <c r="O79" s="37">
        <f t="shared" si="372"/>
        <v>2910.3900000000003</v>
      </c>
      <c r="P79" s="37">
        <f t="shared" si="372"/>
        <v>1759.16</v>
      </c>
      <c r="Q79" s="37">
        <f t="shared" si="372"/>
        <v>467.18</v>
      </c>
      <c r="R79" s="37">
        <f t="shared" si="372"/>
        <v>1525.78</v>
      </c>
      <c r="S79" s="37">
        <f t="shared" si="372"/>
        <v>598.99</v>
      </c>
      <c r="T79" s="37">
        <f t="shared" si="372"/>
        <v>2060.8900000000003</v>
      </c>
      <c r="U79" s="37">
        <f t="shared" si="372"/>
        <v>452.88</v>
      </c>
      <c r="V79" s="37">
        <f t="shared" si="372"/>
        <v>1445.7200000000003</v>
      </c>
      <c r="W79" s="37">
        <f t="shared" si="372"/>
        <v>1487.22</v>
      </c>
      <c r="X79" s="37">
        <f t="shared" si="372"/>
        <v>2209.94</v>
      </c>
      <c r="Y79" s="37">
        <f t="shared" si="372"/>
        <v>630.27</v>
      </c>
      <c r="Z79" s="37">
        <f t="shared" si="372"/>
        <v>2877.72</v>
      </c>
      <c r="AA79" s="37">
        <f t="shared" si="372"/>
        <v>2283.2299999999996</v>
      </c>
      <c r="AB79" s="37">
        <f t="shared" si="372"/>
        <v>1735.88</v>
      </c>
      <c r="AC79" s="37">
        <f t="shared" si="372"/>
        <v>6522.54</v>
      </c>
      <c r="AD79" s="37">
        <f t="shared" si="372"/>
        <v>1614.19</v>
      </c>
      <c r="AE79" s="37">
        <f t="shared" si="372"/>
        <v>4507.3599999999997</v>
      </c>
      <c r="AF79" s="37">
        <f t="shared" si="372"/>
        <v>5299.95</v>
      </c>
      <c r="AG79" s="37">
        <f t="shared" si="372"/>
        <v>5815.9499999999989</v>
      </c>
      <c r="AH79" s="37">
        <f t="shared" si="372"/>
        <v>3100.88</v>
      </c>
      <c r="AI79" s="37">
        <f t="shared" si="372"/>
        <v>4741.8500000000004</v>
      </c>
      <c r="AJ79" s="37">
        <f t="shared" si="372"/>
        <v>2259.09</v>
      </c>
      <c r="AK79" s="37">
        <f t="shared" ref="AK79:BP79" si="373">AK78+AK42</f>
        <v>3947.42</v>
      </c>
      <c r="AL79" s="37">
        <f t="shared" si="373"/>
        <v>2414.5300000000002</v>
      </c>
      <c r="AM79" s="37">
        <f t="shared" si="373"/>
        <v>5770.49</v>
      </c>
      <c r="AN79" s="37">
        <f t="shared" si="373"/>
        <v>27735.14</v>
      </c>
      <c r="AO79" s="37">
        <f t="shared" si="373"/>
        <v>12936.900000000001</v>
      </c>
      <c r="AP79" s="37">
        <f>AP78+AP42</f>
        <v>9667.4699999999993</v>
      </c>
      <c r="AQ79" s="37">
        <f>AQ78+AQ42</f>
        <v>9482.0399999999991</v>
      </c>
      <c r="AR79" s="37">
        <f>AR78+AR42</f>
        <v>8503.0099999999984</v>
      </c>
      <c r="AS79" s="156">
        <f>AS78+AS42</f>
        <v>7043.4499999999989</v>
      </c>
      <c r="AT79" s="37">
        <f t="shared" ref="AT79" si="374">AT78+AT42</f>
        <v>10028.9</v>
      </c>
      <c r="AU79" s="37">
        <f t="shared" si="373"/>
        <v>8968.9000000000015</v>
      </c>
      <c r="AV79" s="37">
        <f t="shared" si="373"/>
        <v>8678.9000000000015</v>
      </c>
      <c r="AW79" s="37">
        <f t="shared" si="373"/>
        <v>8904.9000000000015</v>
      </c>
      <c r="AX79" s="37">
        <f t="shared" si="373"/>
        <v>9427.69</v>
      </c>
      <c r="AY79" s="156">
        <f t="shared" si="373"/>
        <v>10650.5</v>
      </c>
      <c r="AZ79" s="37">
        <f t="shared" si="373"/>
        <v>20960.170833333337</v>
      </c>
      <c r="BA79" s="37">
        <f t="shared" si="373"/>
        <v>17706.170833333337</v>
      </c>
      <c r="BB79" s="37">
        <f t="shared" si="373"/>
        <v>18956.170833333337</v>
      </c>
      <c r="BC79" s="37">
        <f t="shared" si="373"/>
        <v>18146.170833333337</v>
      </c>
      <c r="BD79" s="37">
        <f t="shared" si="373"/>
        <v>20025.670833333337</v>
      </c>
      <c r="BE79" s="37">
        <f t="shared" si="373"/>
        <v>18941.000833333339</v>
      </c>
      <c r="BF79" s="37">
        <f t="shared" si="373"/>
        <v>18211.170833333337</v>
      </c>
      <c r="BG79" s="37">
        <f t="shared" si="373"/>
        <v>17141.170833333337</v>
      </c>
      <c r="BH79" s="37">
        <f t="shared" si="373"/>
        <v>16851.170833333337</v>
      </c>
      <c r="BI79" s="37">
        <f t="shared" si="373"/>
        <v>17077.170833333337</v>
      </c>
      <c r="BJ79" s="37">
        <f t="shared" si="373"/>
        <v>17599.960833333338</v>
      </c>
      <c r="BK79" s="156">
        <f t="shared" si="373"/>
        <v>19015.270833333336</v>
      </c>
      <c r="BL79" s="37">
        <f t="shared" si="373"/>
        <v>25277.841875000006</v>
      </c>
      <c r="BM79" s="37">
        <f t="shared" si="373"/>
        <v>21858.841875000006</v>
      </c>
      <c r="BN79" s="37">
        <f t="shared" si="373"/>
        <v>23218.841875000006</v>
      </c>
      <c r="BO79" s="37">
        <f t="shared" si="373"/>
        <v>22243.841875000006</v>
      </c>
      <c r="BP79" s="37">
        <f t="shared" si="373"/>
        <v>24123.341875000006</v>
      </c>
      <c r="BQ79" s="37">
        <f t="shared" ref="BQ79:CV79" si="375">BQ78+BQ42</f>
        <v>23038.671875000004</v>
      </c>
      <c r="BR79" s="37">
        <f t="shared" si="375"/>
        <v>22319.841875000006</v>
      </c>
      <c r="BS79" s="37">
        <f t="shared" si="375"/>
        <v>21238.841875000006</v>
      </c>
      <c r="BT79" s="37">
        <f t="shared" si="375"/>
        <v>20948.841875000006</v>
      </c>
      <c r="BU79" s="37">
        <f t="shared" si="375"/>
        <v>21174.841875000006</v>
      </c>
      <c r="BV79" s="37">
        <f t="shared" si="375"/>
        <v>21697.631875000006</v>
      </c>
      <c r="BW79" s="156">
        <f t="shared" si="375"/>
        <v>23324.691875000004</v>
      </c>
      <c r="BX79" s="37">
        <f t="shared" si="375"/>
        <v>32706.945552083333</v>
      </c>
      <c r="BY79" s="37">
        <f t="shared" si="375"/>
        <v>29106.445552083333</v>
      </c>
      <c r="BZ79" s="37">
        <f t="shared" si="375"/>
        <v>30587.445552083333</v>
      </c>
      <c r="CA79" s="37">
        <f t="shared" si="375"/>
        <v>29430.945552083333</v>
      </c>
      <c r="CB79" s="37">
        <f t="shared" si="375"/>
        <v>31310.445552083333</v>
      </c>
      <c r="CC79" s="37">
        <f t="shared" si="375"/>
        <v>30225.775552083334</v>
      </c>
      <c r="CD79" s="37">
        <f t="shared" si="375"/>
        <v>29519.045552083331</v>
      </c>
      <c r="CE79" s="37">
        <f t="shared" si="375"/>
        <v>28425.945552083333</v>
      </c>
      <c r="CF79" s="37">
        <f t="shared" si="375"/>
        <v>28135.945552083333</v>
      </c>
      <c r="CG79" s="37">
        <f t="shared" si="375"/>
        <v>28361.945552083333</v>
      </c>
      <c r="CH79" s="37">
        <f t="shared" si="375"/>
        <v>28884.735552083333</v>
      </c>
      <c r="CI79" s="156">
        <f t="shared" si="375"/>
        <v>30744.720552083334</v>
      </c>
      <c r="CJ79" s="37">
        <f t="shared" si="375"/>
        <v>36858.851684687499</v>
      </c>
      <c r="CK79" s="37">
        <f t="shared" si="375"/>
        <v>33058.701684687505</v>
      </c>
      <c r="CL79" s="37">
        <f t="shared" si="375"/>
        <v>34672.801684687503</v>
      </c>
      <c r="CM79" s="37">
        <f t="shared" si="375"/>
        <v>33316.651684687502</v>
      </c>
      <c r="CN79" s="37">
        <f t="shared" si="375"/>
        <v>35196.151684687495</v>
      </c>
      <c r="CO79" s="37">
        <f t="shared" si="375"/>
        <v>34111.481684687504</v>
      </c>
      <c r="CP79" s="37">
        <f t="shared" si="375"/>
        <v>33418.061684687505</v>
      </c>
      <c r="CQ79" s="37">
        <f t="shared" si="375"/>
        <v>32311.651684687502</v>
      </c>
      <c r="CR79" s="37">
        <f t="shared" si="375"/>
        <v>32021.651684687502</v>
      </c>
      <c r="CS79" s="37">
        <f t="shared" si="375"/>
        <v>32247.651684687502</v>
      </c>
      <c r="CT79" s="37">
        <f t="shared" si="375"/>
        <v>32770.441684687503</v>
      </c>
      <c r="CU79" s="156">
        <f t="shared" si="375"/>
        <v>34886.644184687502</v>
      </c>
      <c r="CV79" s="37">
        <f t="shared" si="375"/>
        <v>43281.58733455521</v>
      </c>
      <c r="CW79" s="37">
        <f t="shared" ref="CW79:DG79" si="376">CW78+CW42</f>
        <v>39261.822334555211</v>
      </c>
      <c r="CX79" s="37">
        <f t="shared" si="376"/>
        <v>41022.332334555213</v>
      </c>
      <c r="CY79" s="37">
        <f t="shared" si="376"/>
        <v>39446.567334555206</v>
      </c>
      <c r="CZ79" s="37">
        <f t="shared" si="376"/>
        <v>41326.067334555206</v>
      </c>
      <c r="DA79" s="37">
        <f t="shared" si="376"/>
        <v>40241.397334555208</v>
      </c>
      <c r="DB79" s="37">
        <f t="shared" si="376"/>
        <v>39562.618334555205</v>
      </c>
      <c r="DC79" s="37">
        <f t="shared" si="376"/>
        <v>38441.567334555206</v>
      </c>
      <c r="DD79" s="37">
        <f t="shared" si="376"/>
        <v>38151.567334555206</v>
      </c>
      <c r="DE79" s="37">
        <f t="shared" si="376"/>
        <v>38377.567334555206</v>
      </c>
      <c r="DF79" s="37">
        <f t="shared" si="376"/>
        <v>38900.357334555207</v>
      </c>
      <c r="DG79" s="37">
        <f t="shared" si="376"/>
        <v>41298.399084555211</v>
      </c>
    </row>
    <row r="80" spans="1:111" hidden="1" x14ac:dyDescent="0.25">
      <c r="B80" s="1" t="s">
        <v>184</v>
      </c>
      <c r="C80" s="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155"/>
      <c r="AT80" s="91"/>
      <c r="AU80" s="91"/>
      <c r="AV80" s="91"/>
      <c r="AW80" s="91"/>
      <c r="AX80" s="91"/>
      <c r="AY80" s="155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155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91"/>
      <c r="BW80" s="155"/>
      <c r="BX80" s="91"/>
      <c r="BY80" s="91"/>
      <c r="BZ80" s="91"/>
      <c r="CA80" s="91"/>
      <c r="CB80" s="91"/>
      <c r="CC80" s="91"/>
      <c r="CD80" s="91"/>
      <c r="CE80" s="91"/>
      <c r="CF80" s="91"/>
      <c r="CG80" s="91"/>
      <c r="CH80" s="91"/>
      <c r="CI80" s="155"/>
      <c r="CJ80" s="91"/>
      <c r="CK80" s="91"/>
      <c r="CL80" s="91"/>
      <c r="CM80" s="91"/>
      <c r="CN80" s="91"/>
      <c r="CO80" s="91"/>
      <c r="CP80" s="91"/>
      <c r="CQ80" s="91"/>
      <c r="CR80" s="91"/>
      <c r="CS80" s="91"/>
      <c r="CT80" s="91"/>
      <c r="CU80" s="155"/>
      <c r="CV80" s="91"/>
      <c r="CW80" s="91"/>
      <c r="CX80" s="91"/>
      <c r="CY80" s="91"/>
      <c r="CZ80" s="91"/>
      <c r="DA80" s="91"/>
      <c r="DB80" s="91"/>
      <c r="DC80" s="91"/>
      <c r="DD80" s="91"/>
      <c r="DE80" s="91"/>
      <c r="DF80" s="91"/>
      <c r="DG80" s="91"/>
    </row>
    <row r="81" spans="1:111" hidden="1" x14ac:dyDescent="0.25">
      <c r="A81" s="5"/>
      <c r="B81" s="6" t="s">
        <v>6</v>
      </c>
      <c r="C81" s="6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156"/>
      <c r="AT81" s="37"/>
      <c r="AU81" s="37"/>
      <c r="AV81" s="37"/>
      <c r="AW81" s="37"/>
      <c r="AX81" s="37"/>
      <c r="AY81" s="156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156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156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156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156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</row>
    <row r="82" spans="1:111" x14ac:dyDescent="0.25">
      <c r="A82" s="3"/>
      <c r="B82" s="4" t="s">
        <v>7</v>
      </c>
      <c r="C82" s="4"/>
      <c r="D82" s="37"/>
      <c r="E82" s="37">
        <f t="shared" ref="E82:AJ82" si="377">+E34-E79</f>
        <v>-12</v>
      </c>
      <c r="F82" s="37">
        <f t="shared" si="377"/>
        <v>-11.83</v>
      </c>
      <c r="G82" s="37">
        <f t="shared" si="377"/>
        <v>-12</v>
      </c>
      <c r="H82" s="37">
        <f t="shared" si="377"/>
        <v>-132</v>
      </c>
      <c r="I82" s="37">
        <f t="shared" si="377"/>
        <v>-817.36</v>
      </c>
      <c r="J82" s="37">
        <f t="shared" si="377"/>
        <v>-12</v>
      </c>
      <c r="K82" s="37">
        <f t="shared" si="377"/>
        <v>-213</v>
      </c>
      <c r="L82" s="37">
        <f t="shared" si="377"/>
        <v>-1880.5</v>
      </c>
      <c r="M82" s="37">
        <f t="shared" si="377"/>
        <v>-263.3</v>
      </c>
      <c r="N82" s="37">
        <f t="shared" si="377"/>
        <v>-223</v>
      </c>
      <c r="O82" s="37">
        <f t="shared" si="377"/>
        <v>-2910.3900000000003</v>
      </c>
      <c r="P82" s="37">
        <f t="shared" si="377"/>
        <v>-1759.16</v>
      </c>
      <c r="Q82" s="37">
        <f t="shared" si="377"/>
        <v>-467.18</v>
      </c>
      <c r="R82" s="37">
        <f t="shared" si="377"/>
        <v>-1525.78</v>
      </c>
      <c r="S82" s="37">
        <f t="shared" si="377"/>
        <v>-598.99</v>
      </c>
      <c r="T82" s="37">
        <f t="shared" si="377"/>
        <v>-2060.8900000000003</v>
      </c>
      <c r="U82" s="37">
        <f t="shared" si="377"/>
        <v>-3850.88</v>
      </c>
      <c r="V82" s="37">
        <f t="shared" si="377"/>
        <v>-1931.7200000000003</v>
      </c>
      <c r="W82" s="37">
        <f t="shared" si="377"/>
        <v>-21628.43</v>
      </c>
      <c r="X82" s="37">
        <f t="shared" si="377"/>
        <v>-4028.06</v>
      </c>
      <c r="Y82" s="37">
        <f t="shared" si="377"/>
        <v>67120.009999999995</v>
      </c>
      <c r="Z82" s="37">
        <f t="shared" si="377"/>
        <v>40446.00999999998</v>
      </c>
      <c r="AA82" s="37">
        <f t="shared" si="377"/>
        <v>11123.430000000004</v>
      </c>
      <c r="AB82" s="37">
        <f t="shared" si="377"/>
        <v>-67320.260000000009</v>
      </c>
      <c r="AC82" s="37">
        <f t="shared" si="377"/>
        <v>92246.720000000001</v>
      </c>
      <c r="AD82" s="37">
        <f t="shared" si="377"/>
        <v>5735.720000000003</v>
      </c>
      <c r="AE82" s="37">
        <f t="shared" si="377"/>
        <v>-28857.11</v>
      </c>
      <c r="AF82" s="37">
        <f t="shared" si="377"/>
        <v>53032.210000000006</v>
      </c>
      <c r="AG82" s="37">
        <f t="shared" si="377"/>
        <v>-30499.549999999996</v>
      </c>
      <c r="AH82" s="37">
        <f t="shared" si="377"/>
        <v>-5299.88</v>
      </c>
      <c r="AI82" s="37">
        <f t="shared" si="377"/>
        <v>1880.1499999999996</v>
      </c>
      <c r="AJ82" s="37">
        <f t="shared" si="377"/>
        <v>10565.740000000002</v>
      </c>
      <c r="AK82" s="37">
        <f t="shared" ref="AK82:BP82" si="378">+AK34-AK79</f>
        <v>1556.6999999999989</v>
      </c>
      <c r="AL82" s="37">
        <f t="shared" si="378"/>
        <v>-2582.5399999999986</v>
      </c>
      <c r="AM82" s="37">
        <f t="shared" si="378"/>
        <v>-267.96000000000095</v>
      </c>
      <c r="AN82" s="37">
        <f t="shared" si="378"/>
        <v>27294.760000000009</v>
      </c>
      <c r="AO82" s="37">
        <f t="shared" si="378"/>
        <v>-11660.45</v>
      </c>
      <c r="AP82" s="37">
        <f t="shared" ref="AP82:AQ82" si="379">+AP34-AP79</f>
        <v>-9667.4699999999993</v>
      </c>
      <c r="AQ82" s="37">
        <f t="shared" si="379"/>
        <v>-7904.5399999999991</v>
      </c>
      <c r="AR82" s="37">
        <f t="shared" ref="AR82:AS82" si="380">+AR34-AR79</f>
        <v>-6085.0099999999984</v>
      </c>
      <c r="AS82" s="156">
        <f t="shared" si="380"/>
        <v>18466.170000000006</v>
      </c>
      <c r="AT82" s="37">
        <f t="shared" ref="AT82" si="381">+AT34-AT79</f>
        <v>-9071.9</v>
      </c>
      <c r="AU82" s="37">
        <f t="shared" si="378"/>
        <v>-6611.9000000000015</v>
      </c>
      <c r="AV82" s="37">
        <f t="shared" si="378"/>
        <v>-8921.9000000000015</v>
      </c>
      <c r="AW82" s="37">
        <f t="shared" si="378"/>
        <v>-7947.9000000000015</v>
      </c>
      <c r="AX82" s="37">
        <f t="shared" si="378"/>
        <v>117929.31</v>
      </c>
      <c r="AY82" s="156">
        <f t="shared" si="378"/>
        <v>-15413.729877767026</v>
      </c>
      <c r="AZ82" s="37">
        <f t="shared" si="378"/>
        <v>-18636.678108375942</v>
      </c>
      <c r="BA82" s="37">
        <f t="shared" si="378"/>
        <v>-37329.254769878353</v>
      </c>
      <c r="BB82" s="37">
        <f t="shared" si="378"/>
        <v>227995.25343230358</v>
      </c>
      <c r="BC82" s="37">
        <f t="shared" si="378"/>
        <v>187910.16177938829</v>
      </c>
      <c r="BD82" s="37">
        <f t="shared" si="378"/>
        <v>-21571.44026851267</v>
      </c>
      <c r="BE82" s="37">
        <f t="shared" si="378"/>
        <v>-151784.58533997537</v>
      </c>
      <c r="BF82" s="37">
        <f t="shared" si="378"/>
        <v>86004.428345352339</v>
      </c>
      <c r="BG82" s="37">
        <f t="shared" si="378"/>
        <v>-25846.650878021625</v>
      </c>
      <c r="BH82" s="37">
        <f t="shared" si="378"/>
        <v>29931.672466286545</v>
      </c>
      <c r="BI82" s="37">
        <f t="shared" si="378"/>
        <v>-45508.715114133105</v>
      </c>
      <c r="BJ82" s="37">
        <f t="shared" si="378"/>
        <v>206960.03916666665</v>
      </c>
      <c r="BK82" s="156">
        <f t="shared" si="378"/>
        <v>-24978.198028135965</v>
      </c>
      <c r="BL82" s="37">
        <f t="shared" si="378"/>
        <v>-19410.55012004829</v>
      </c>
      <c r="BM82" s="37">
        <f t="shared" si="378"/>
        <v>-38624.337003084358</v>
      </c>
      <c r="BN82" s="37">
        <f t="shared" si="378"/>
        <v>404640.10562605516</v>
      </c>
      <c r="BO82" s="37">
        <f t="shared" si="378"/>
        <v>397854.00175275118</v>
      </c>
      <c r="BP82" s="37">
        <f t="shared" si="378"/>
        <v>89598.786098463403</v>
      </c>
      <c r="BQ82" s="37">
        <f t="shared" ref="BQ82:CV82" si="382">+BQ34-BQ79</f>
        <v>-172280.73431586099</v>
      </c>
      <c r="BR82" s="37">
        <f t="shared" si="382"/>
        <v>207903.17052751043</v>
      </c>
      <c r="BS82" s="37">
        <f t="shared" si="382"/>
        <v>-28339.719258980062</v>
      </c>
      <c r="BT82" s="37">
        <f t="shared" si="382"/>
        <v>143623.71386456917</v>
      </c>
      <c r="BU82" s="37">
        <f t="shared" si="382"/>
        <v>-51285.258726573076</v>
      </c>
      <c r="BV82" s="37">
        <f t="shared" si="382"/>
        <v>286902.36812499998</v>
      </c>
      <c r="BW82" s="156">
        <f t="shared" si="382"/>
        <v>-28600.990716097134</v>
      </c>
      <c r="BX82" s="37">
        <f t="shared" si="382"/>
        <v>-25627.405009638718</v>
      </c>
      <c r="BY82" s="37">
        <f t="shared" si="382"/>
        <v>-47617.45466959184</v>
      </c>
      <c r="BZ82" s="37">
        <f t="shared" si="382"/>
        <v>556988.40599324473</v>
      </c>
      <c r="CA82" s="37">
        <f t="shared" si="382"/>
        <v>573751.28684445482</v>
      </c>
      <c r="CB82" s="37">
        <f t="shared" si="382"/>
        <v>172429.05418218355</v>
      </c>
      <c r="CC82" s="37">
        <f t="shared" si="382"/>
        <v>-201383.435410718</v>
      </c>
      <c r="CD82" s="37">
        <f t="shared" si="382"/>
        <v>307483.23338020802</v>
      </c>
      <c r="CE82" s="37">
        <f t="shared" si="382"/>
        <v>-35851.069610178107</v>
      </c>
      <c r="CF82" s="37">
        <f t="shared" si="382"/>
        <v>233243.7507374225</v>
      </c>
      <c r="CG82" s="37">
        <f t="shared" si="382"/>
        <v>-62550.953117123034</v>
      </c>
      <c r="CH82" s="37">
        <f t="shared" si="382"/>
        <v>327435.26444791665</v>
      </c>
      <c r="CI82" s="156">
        <f t="shared" si="382"/>
        <v>-37257.088356510569</v>
      </c>
      <c r="CJ82" s="37">
        <f t="shared" si="382"/>
        <v>-28653.263324755666</v>
      </c>
      <c r="CK82" s="37">
        <f t="shared" si="382"/>
        <v>-56887.635983159533</v>
      </c>
      <c r="CL82" s="37">
        <f t="shared" si="382"/>
        <v>642297.47714033152</v>
      </c>
      <c r="CM82" s="37">
        <f t="shared" si="382"/>
        <v>650861.48049566709</v>
      </c>
      <c r="CN82" s="37">
        <f t="shared" si="382"/>
        <v>179898.61721902559</v>
      </c>
      <c r="CO82" s="37">
        <f t="shared" si="382"/>
        <v>-244813.21689531475</v>
      </c>
      <c r="CP82" s="37">
        <f t="shared" si="382"/>
        <v>347550.89700120955</v>
      </c>
      <c r="CQ82" s="37">
        <f t="shared" si="382"/>
        <v>-39776.419756188756</v>
      </c>
      <c r="CR82" s="37">
        <f t="shared" si="382"/>
        <v>255134.89759470432</v>
      </c>
      <c r="CS82" s="37">
        <f t="shared" si="382"/>
        <v>-73514.122533967136</v>
      </c>
      <c r="CT82" s="37">
        <f t="shared" si="382"/>
        <v>438989.55831531249</v>
      </c>
      <c r="CU82" s="156">
        <f t="shared" si="382"/>
        <v>-42967.103940221554</v>
      </c>
      <c r="CV82" s="37">
        <f t="shared" si="382"/>
        <v>-34014.601884640419</v>
      </c>
      <c r="CW82" s="37">
        <f t="shared" ref="CW82:DG82" si="383">+CW34-CW79</f>
        <v>-71087.990207645242</v>
      </c>
      <c r="CX82" s="37">
        <f t="shared" si="383"/>
        <v>855100.51619671856</v>
      </c>
      <c r="CY82" s="37">
        <f t="shared" si="383"/>
        <v>877286.09789088799</v>
      </c>
      <c r="CZ82" s="37">
        <f t="shared" si="383"/>
        <v>263002.39379508613</v>
      </c>
      <c r="DA82" s="37">
        <f t="shared" si="383"/>
        <v>-303708.56634783931</v>
      </c>
      <c r="DB82" s="37">
        <f t="shared" si="383"/>
        <v>472828.5800228162</v>
      </c>
      <c r="DC82" s="37">
        <f t="shared" si="383"/>
        <v>-50492.527423931781</v>
      </c>
      <c r="DD82" s="37">
        <f t="shared" si="383"/>
        <v>358174.11926468456</v>
      </c>
      <c r="DE82" s="37">
        <f t="shared" si="383"/>
        <v>-91280.655896154742</v>
      </c>
      <c r="DF82" s="37">
        <f t="shared" si="383"/>
        <v>475579.64266544482</v>
      </c>
      <c r="DG82" s="37">
        <f t="shared" si="383"/>
        <v>-51066.950791196068</v>
      </c>
    </row>
    <row r="83" spans="1:111" s="3" customFormat="1" ht="15.75" thickBot="1" x14ac:dyDescent="0.3">
      <c r="A83" s="116"/>
      <c r="B83" s="116" t="s">
        <v>437</v>
      </c>
      <c r="C83" s="117"/>
      <c r="D83" s="118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403">
        <f t="shared" ref="P83:AU83" si="384">+P35-P79</f>
        <v>-1759.16</v>
      </c>
      <c r="Q83" s="403">
        <f t="shared" si="384"/>
        <v>-467.18</v>
      </c>
      <c r="R83" s="403">
        <f t="shared" si="384"/>
        <v>-1525.78</v>
      </c>
      <c r="S83" s="403">
        <f t="shared" si="384"/>
        <v>-598.99</v>
      </c>
      <c r="T83" s="403">
        <f t="shared" si="384"/>
        <v>-2060.8900000000003</v>
      </c>
      <c r="U83" s="403">
        <f t="shared" si="384"/>
        <v>-3850.88</v>
      </c>
      <c r="V83" s="403">
        <f t="shared" si="384"/>
        <v>-1931.7200000000003</v>
      </c>
      <c r="W83" s="403">
        <f t="shared" si="384"/>
        <v>6092.9661538461523</v>
      </c>
      <c r="X83" s="403">
        <f t="shared" si="384"/>
        <v>-1930.229230769231</v>
      </c>
      <c r="Y83" s="403">
        <f t="shared" si="384"/>
        <v>12023.533076923068</v>
      </c>
      <c r="Z83" s="403">
        <f t="shared" si="384"/>
        <v>23154.471538461512</v>
      </c>
      <c r="AA83" s="403">
        <f t="shared" si="384"/>
        <v>53692.216923077023</v>
      </c>
      <c r="AB83" s="403">
        <f t="shared" si="384"/>
        <v>19924.140821314319</v>
      </c>
      <c r="AC83" s="403">
        <f t="shared" si="384"/>
        <v>-1987.7999553117143</v>
      </c>
      <c r="AD83" s="403">
        <f t="shared" si="384"/>
        <v>33112.876700380119</v>
      </c>
      <c r="AE83" s="403">
        <f t="shared" si="384"/>
        <v>25755.854280799766</v>
      </c>
      <c r="AF83" s="403">
        <f t="shared" si="384"/>
        <v>-21967.79</v>
      </c>
      <c r="AG83" s="403">
        <f t="shared" si="384"/>
        <v>-30499.549999999996</v>
      </c>
      <c r="AH83" s="403">
        <f t="shared" si="384"/>
        <v>-5299.88</v>
      </c>
      <c r="AI83" s="403">
        <f t="shared" si="384"/>
        <v>1880.1499999999996</v>
      </c>
      <c r="AJ83" s="403">
        <f t="shared" si="384"/>
        <v>10565.740000000002</v>
      </c>
      <c r="AK83" s="403">
        <f t="shared" si="384"/>
        <v>1556.6999999999989</v>
      </c>
      <c r="AL83" s="403">
        <f t="shared" si="384"/>
        <v>-2582.5399999999986</v>
      </c>
      <c r="AM83" s="403">
        <f t="shared" si="384"/>
        <v>-3801.9600000000009</v>
      </c>
      <c r="AN83" s="403">
        <f t="shared" si="384"/>
        <v>8443.7600000000093</v>
      </c>
      <c r="AO83" s="403">
        <f t="shared" si="384"/>
        <v>-11660.45</v>
      </c>
      <c r="AP83" s="403">
        <f t="shared" ref="AP83:AQ83" si="385">+AP35-AP79</f>
        <v>-9667.4699999999993</v>
      </c>
      <c r="AQ83" s="403">
        <f t="shared" si="385"/>
        <v>-7904.5399999999991</v>
      </c>
      <c r="AR83" s="403">
        <f t="shared" ref="AR83:AS83" si="386">+AR35-AR79</f>
        <v>-6085.0099999999984</v>
      </c>
      <c r="AS83" s="404">
        <f t="shared" si="386"/>
        <v>18466.170000000006</v>
      </c>
      <c r="AT83" s="403">
        <f t="shared" ref="AT83" si="387">+AT35-AT79</f>
        <v>-9071.9</v>
      </c>
      <c r="AU83" s="403">
        <f t="shared" si="384"/>
        <v>-8011.9000000000015</v>
      </c>
      <c r="AV83" s="403">
        <f t="shared" ref="AV83:CA83" si="388">+AV35-AV79</f>
        <v>-7721.9000000000015</v>
      </c>
      <c r="AW83" s="403">
        <f t="shared" si="388"/>
        <v>-7947.9000000000015</v>
      </c>
      <c r="AX83" s="403">
        <f t="shared" si="388"/>
        <v>-8470.69</v>
      </c>
      <c r="AY83" s="404">
        <f t="shared" si="388"/>
        <v>-6680.013414821984</v>
      </c>
      <c r="AZ83" s="403">
        <f t="shared" si="388"/>
        <v>-17559.165983304931</v>
      </c>
      <c r="BA83" s="403">
        <f t="shared" si="388"/>
        <v>3125.8851243633399</v>
      </c>
      <c r="BB83" s="403">
        <f t="shared" si="388"/>
        <v>-14373.78701042461</v>
      </c>
      <c r="BC83" s="403">
        <f t="shared" si="388"/>
        <v>57766.27409151895</v>
      </c>
      <c r="BD83" s="403">
        <f t="shared" si="388"/>
        <v>113754.84212345289</v>
      </c>
      <c r="BE83" s="403">
        <f t="shared" si="388"/>
        <v>72171.388837761348</v>
      </c>
      <c r="BF83" s="403">
        <f t="shared" si="388"/>
        <v>43911.763047542874</v>
      </c>
      <c r="BG83" s="403">
        <f t="shared" si="388"/>
        <v>-1004.184136874479</v>
      </c>
      <c r="BH83" s="403">
        <f t="shared" si="388"/>
        <v>80360.266966920084</v>
      </c>
      <c r="BI83" s="403">
        <f t="shared" si="388"/>
        <v>8477.1920205331771</v>
      </c>
      <c r="BJ83" s="403">
        <f t="shared" si="388"/>
        <v>-13639.960833333338</v>
      </c>
      <c r="BK83" s="404">
        <f t="shared" si="388"/>
        <v>-7220.2057118704906</v>
      </c>
      <c r="BL83" s="403">
        <f t="shared" si="388"/>
        <v>-17557.229264926151</v>
      </c>
      <c r="BM83" s="403">
        <f t="shared" si="388"/>
        <v>31182.503615011352</v>
      </c>
      <c r="BN83" s="403">
        <f t="shared" si="388"/>
        <v>-12426.643935437311</v>
      </c>
      <c r="BO83" s="403">
        <f t="shared" si="388"/>
        <v>174006.51492961586</v>
      </c>
      <c r="BP83" s="403">
        <f t="shared" si="388"/>
        <v>322583.99181264412</v>
      </c>
      <c r="BQ83" s="403">
        <f t="shared" si="388"/>
        <v>212731.54126984617</v>
      </c>
      <c r="BR83" s="403">
        <f t="shared" si="388"/>
        <v>135503.78621527817</v>
      </c>
      <c r="BS83" s="403">
        <f t="shared" si="388"/>
        <v>17021.323535793032</v>
      </c>
      <c r="BT83" s="403">
        <f t="shared" si="388"/>
        <v>228104.89640565883</v>
      </c>
      <c r="BU83" s="403">
        <f t="shared" si="388"/>
        <v>41570.501545052924</v>
      </c>
      <c r="BV83" s="403">
        <f t="shared" si="388"/>
        <v>-15097.631875000006</v>
      </c>
      <c r="BW83" s="404">
        <f t="shared" si="388"/>
        <v>-4821.4198635468347</v>
      </c>
      <c r="BX83" s="403">
        <f t="shared" si="388"/>
        <v>-23084.476394471134</v>
      </c>
      <c r="BY83" s="403">
        <f t="shared" si="388"/>
        <v>49368.675480818565</v>
      </c>
      <c r="BZ83" s="403">
        <f t="shared" si="388"/>
        <v>-16298.529451593862</v>
      </c>
      <c r="CA83" s="403">
        <f t="shared" si="388"/>
        <v>266611.71190108312</v>
      </c>
      <c r="CB83" s="403">
        <f t="shared" ref="CB83:DG83" si="389">+CB35-CB79</f>
        <v>493311.08062722231</v>
      </c>
      <c r="CC83" s="403">
        <f t="shared" si="389"/>
        <v>325856.66364874068</v>
      </c>
      <c r="CD83" s="403">
        <f t="shared" si="389"/>
        <v>208144.54327737776</v>
      </c>
      <c r="CE83" s="403">
        <f t="shared" si="389"/>
        <v>27593.151898929147</v>
      </c>
      <c r="CF83" s="403">
        <f t="shared" si="389"/>
        <v>348127.23375891766</v>
      </c>
      <c r="CG83" s="403">
        <f t="shared" si="389"/>
        <v>64855.78772068939</v>
      </c>
      <c r="CH83" s="403">
        <f t="shared" si="389"/>
        <v>-20964.735552083333</v>
      </c>
      <c r="CI83" s="404">
        <f t="shared" si="389"/>
        <v>-9565.3795773000566</v>
      </c>
      <c r="CJ83" s="403">
        <f t="shared" si="389"/>
        <v>-25722.430344562519</v>
      </c>
      <c r="CK83" s="403">
        <f t="shared" si="389"/>
        <v>54774.344529177877</v>
      </c>
      <c r="CL83" s="403">
        <f t="shared" si="389"/>
        <v>-18338.312863889107</v>
      </c>
      <c r="CM83" s="403">
        <f t="shared" si="389"/>
        <v>296870.10598466243</v>
      </c>
      <c r="CN83" s="403">
        <f t="shared" si="389"/>
        <v>549610.10532517196</v>
      </c>
      <c r="CO83" s="403">
        <f t="shared" si="389"/>
        <v>362955.0328681292</v>
      </c>
      <c r="CP83" s="403">
        <f t="shared" si="389"/>
        <v>233058.84739116789</v>
      </c>
      <c r="CQ83" s="403">
        <f t="shared" si="389"/>
        <v>31827.089779731468</v>
      </c>
      <c r="CR83" s="403">
        <f t="shared" si="389"/>
        <v>388844.67463642755</v>
      </c>
      <c r="CS83" s="403">
        <f t="shared" si="389"/>
        <v>73327.544872325147</v>
      </c>
      <c r="CT83" s="403">
        <f t="shared" si="389"/>
        <v>-22210.441684687503</v>
      </c>
      <c r="CU83" s="404">
        <f t="shared" si="389"/>
        <v>-6245.7246736194065</v>
      </c>
      <c r="CV83" s="403">
        <f t="shared" si="389"/>
        <v>-30135.558234384785</v>
      </c>
      <c r="CW83" s="403">
        <f t="shared" si="389"/>
        <v>78470.513411624866</v>
      </c>
      <c r="CX83" s="403">
        <f t="shared" si="389"/>
        <v>-20788.029397102851</v>
      </c>
      <c r="CY83" s="403">
        <f t="shared" si="389"/>
        <v>408768.10221455834</v>
      </c>
      <c r="CZ83" s="403">
        <f t="shared" si="389"/>
        <v>754097.01040616224</v>
      </c>
      <c r="DA83" s="403">
        <f t="shared" si="389"/>
        <v>499172.94069201284</v>
      </c>
      <c r="DB83" s="403">
        <f t="shared" si="389"/>
        <v>321294.98495070217</v>
      </c>
      <c r="DC83" s="403">
        <f t="shared" si="389"/>
        <v>46500.352844197943</v>
      </c>
      <c r="DD83" s="403">
        <f t="shared" si="389"/>
        <v>533237.05946696538</v>
      </c>
      <c r="DE83" s="403">
        <f t="shared" si="389"/>
        <v>103068.60978864384</v>
      </c>
      <c r="DF83" s="403">
        <f t="shared" si="389"/>
        <v>-27020.357334555207</v>
      </c>
      <c r="DG83" s="405">
        <f t="shared" si="389"/>
        <v>-10734.782256451508</v>
      </c>
    </row>
    <row r="84" spans="1:111" s="3" customFormat="1" ht="15.75" thickBot="1" x14ac:dyDescent="0.3">
      <c r="A84" s="116"/>
      <c r="B84" s="116"/>
      <c r="C84" s="117" t="s">
        <v>210</v>
      </c>
      <c r="D84" s="118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406" t="e">
        <f t="shared" ref="P84:AU84" si="390">+P83/SUM(P11:P12)</f>
        <v>#DIV/0!</v>
      </c>
      <c r="Q84" s="119" t="e">
        <f t="shared" si="390"/>
        <v>#DIV/0!</v>
      </c>
      <c r="R84" s="119" t="e">
        <f t="shared" si="390"/>
        <v>#DIV/0!</v>
      </c>
      <c r="S84" s="119" t="e">
        <f t="shared" si="390"/>
        <v>#DIV/0!</v>
      </c>
      <c r="T84" s="119" t="e">
        <f t="shared" si="390"/>
        <v>#DIV/0!</v>
      </c>
      <c r="U84" s="119" t="e">
        <f t="shared" si="390"/>
        <v>#DIV/0!</v>
      </c>
      <c r="V84" s="119" t="e">
        <f t="shared" si="390"/>
        <v>#DIV/0!</v>
      </c>
      <c r="W84" s="119">
        <f t="shared" si="390"/>
        <v>0.21979290364857021</v>
      </c>
      <c r="X84" s="119">
        <f t="shared" si="390"/>
        <v>-0.92010721697871078</v>
      </c>
      <c r="Y84" s="119">
        <f t="shared" si="390"/>
        <v>0.12669216786796753</v>
      </c>
      <c r="Z84" s="119">
        <f t="shared" si="390"/>
        <v>0.13603596042861454</v>
      </c>
      <c r="AA84" s="119">
        <f t="shared" si="390"/>
        <v>0.3462477393965262</v>
      </c>
      <c r="AB84" s="119">
        <f t="shared" si="390"/>
        <v>0.22837157036726113</v>
      </c>
      <c r="AC84" s="119">
        <f t="shared" si="390"/>
        <v>-0.10882823503397485</v>
      </c>
      <c r="AD84" s="119">
        <f t="shared" si="390"/>
        <v>0.23672826558312601</v>
      </c>
      <c r="AE84" s="119">
        <f t="shared" si="390"/>
        <v>0.47160696402364538</v>
      </c>
      <c r="AF84" s="119">
        <f t="shared" si="390"/>
        <v>-2.9450124140002041</v>
      </c>
      <c r="AG84" s="497">
        <f t="shared" si="390"/>
        <v>-2.7907909858866242</v>
      </c>
      <c r="AH84" s="497">
        <f t="shared" si="390"/>
        <v>-7.5712571428571431</v>
      </c>
      <c r="AI84" s="497">
        <f t="shared" si="390"/>
        <v>4.0964551059982125E-2</v>
      </c>
      <c r="AJ84" s="497">
        <f t="shared" si="390"/>
        <v>0.21558203071599238</v>
      </c>
      <c r="AK84" s="497">
        <f t="shared" si="390"/>
        <v>6.2888076433635601E-2</v>
      </c>
      <c r="AL84" s="497">
        <f t="shared" si="390"/>
        <v>-0.11171126901603463</v>
      </c>
      <c r="AM84" s="497">
        <f t="shared" si="390"/>
        <v>-4.908712733995841E-2</v>
      </c>
      <c r="AN84" s="497">
        <f t="shared" si="390"/>
        <v>0.11900759167114873</v>
      </c>
      <c r="AO84" s="497">
        <f t="shared" si="390"/>
        <v>-0.56952865751743931</v>
      </c>
      <c r="AP84" s="497" t="e">
        <f t="shared" si="390"/>
        <v>#DIV/0!</v>
      </c>
      <c r="AQ84" s="497">
        <f t="shared" ref="AQ84:AR84" si="391">+AQ83/SUM(AQ11:AQ12)</f>
        <v>-0.67206903881307645</v>
      </c>
      <c r="AR84" s="497">
        <f t="shared" si="391"/>
        <v>-1.483967808803804</v>
      </c>
      <c r="AS84" s="757">
        <f t="shared" ref="AS84" si="392">+AS83/SUM(AS11:AS12)</f>
        <v>0.20517966666666673</v>
      </c>
      <c r="AT84" s="119">
        <f t="shared" ref="AT84" si="393">+AT83/SUM(AT11:AT12)</f>
        <v>-1.3745303030303029</v>
      </c>
      <c r="AU84" s="119">
        <f t="shared" si="390"/>
        <v>-1.2139242424242427</v>
      </c>
      <c r="AV84" s="119">
        <f t="shared" ref="AV84:CA84" si="394">+AV83/SUM(AV11:AV12)</f>
        <v>-1.1699848484848487</v>
      </c>
      <c r="AW84" s="119">
        <f t="shared" si="394"/>
        <v>-1.2042272727272729</v>
      </c>
      <c r="AX84" s="119">
        <f t="shared" si="394"/>
        <v>-1.2834378787878788</v>
      </c>
      <c r="AY84" s="158">
        <f t="shared" si="394"/>
        <v>-0.47262964644403727</v>
      </c>
      <c r="AZ84" s="119">
        <f t="shared" si="394"/>
        <v>-0.84105643805225216</v>
      </c>
      <c r="BA84" s="119">
        <f t="shared" si="394"/>
        <v>4.8497065237812026E-2</v>
      </c>
      <c r="BB84" s="119">
        <f t="shared" si="394"/>
        <v>-0.60315603221434577</v>
      </c>
      <c r="BC84" s="119">
        <f t="shared" si="394"/>
        <v>0.28575081619262327</v>
      </c>
      <c r="BD84" s="119">
        <f t="shared" si="394"/>
        <v>0.32798795217858639</v>
      </c>
      <c r="BE84" s="119">
        <f t="shared" si="394"/>
        <v>0.30051881526106911</v>
      </c>
      <c r="BF84" s="119">
        <f t="shared" si="394"/>
        <v>0.25558724325512167</v>
      </c>
      <c r="BG84" s="119">
        <f t="shared" si="394"/>
        <v>-1.7666090063392162E-2</v>
      </c>
      <c r="BH84" s="119">
        <f t="shared" si="394"/>
        <v>0.30963935639363205</v>
      </c>
      <c r="BI84" s="119">
        <f t="shared" si="394"/>
        <v>0.10545619652374866</v>
      </c>
      <c r="BJ84" s="119">
        <f t="shared" si="394"/>
        <v>-0.51666518308080822</v>
      </c>
      <c r="BK84" s="158">
        <f t="shared" si="394"/>
        <v>-0.18344954320463641</v>
      </c>
      <c r="BL84" s="119">
        <f t="shared" si="394"/>
        <v>-0.50374623806746643</v>
      </c>
      <c r="BM84" s="119">
        <f t="shared" si="394"/>
        <v>0.28397596579126605</v>
      </c>
      <c r="BN84" s="119">
        <f t="shared" si="394"/>
        <v>-0.31118538558670222</v>
      </c>
      <c r="BO84" s="119">
        <f t="shared" si="394"/>
        <v>0.50196236379465231</v>
      </c>
      <c r="BP84" s="119">
        <f t="shared" si="394"/>
        <v>0.54171621514217272</v>
      </c>
      <c r="BQ84" s="119">
        <f t="shared" si="394"/>
        <v>0.51632330849228192</v>
      </c>
      <c r="BR84" s="119">
        <f t="shared" si="394"/>
        <v>0.47864179272829832</v>
      </c>
      <c r="BS84" s="119">
        <f t="shared" si="394"/>
        <v>0.19940388470553336</v>
      </c>
      <c r="BT84" s="119">
        <f t="shared" si="394"/>
        <v>0.52561010841538436</v>
      </c>
      <c r="BU84" s="119">
        <f t="shared" si="394"/>
        <v>0.33030273271031946</v>
      </c>
      <c r="BV84" s="119">
        <f t="shared" si="394"/>
        <v>-0.4575039962121214</v>
      </c>
      <c r="BW84" s="158">
        <f t="shared" si="394"/>
        <v>-9.4948023045466304E-2</v>
      </c>
      <c r="BX84" s="119">
        <f t="shared" si="394"/>
        <v>-0.54776630749299282</v>
      </c>
      <c r="BY84" s="119">
        <f t="shared" si="394"/>
        <v>0.34050619483120825</v>
      </c>
      <c r="BZ84" s="119">
        <f t="shared" si="394"/>
        <v>-0.33185730923567436</v>
      </c>
      <c r="CA84" s="119">
        <f t="shared" si="394"/>
        <v>0.56730672985700337</v>
      </c>
      <c r="CB84" s="119">
        <f t="shared" ref="CB84:DG84" si="395">+CB83/SUM(CB11:CB12)</f>
        <v>0.60798867185732286</v>
      </c>
      <c r="CC84" s="119">
        <f t="shared" si="395"/>
        <v>0.58226110708718204</v>
      </c>
      <c r="CD84" s="119">
        <f t="shared" si="395"/>
        <v>0.54379723837107929</v>
      </c>
      <c r="CE84" s="119">
        <f t="shared" si="395"/>
        <v>0.24759607564465982</v>
      </c>
      <c r="CF84" s="119">
        <f t="shared" si="395"/>
        <v>0.59026277232356783</v>
      </c>
      <c r="CG84" s="119">
        <f t="shared" si="395"/>
        <v>0.38834233513767979</v>
      </c>
      <c r="CH84" s="119">
        <f t="shared" si="395"/>
        <v>-0.52941251394149835</v>
      </c>
      <c r="CI84" s="158">
        <f t="shared" si="395"/>
        <v>-0.15917969003752677</v>
      </c>
      <c r="CJ84" s="119">
        <f t="shared" si="395"/>
        <v>-0.52354964864797615</v>
      </c>
      <c r="CK84" s="119">
        <f t="shared" si="395"/>
        <v>0.32669508234245931</v>
      </c>
      <c r="CL84" s="119">
        <f t="shared" si="395"/>
        <v>-0.32080059997755761</v>
      </c>
      <c r="CM84" s="119">
        <f t="shared" si="395"/>
        <v>0.54752007258631796</v>
      </c>
      <c r="CN84" s="119">
        <f t="shared" si="395"/>
        <v>0.58737133433892885</v>
      </c>
      <c r="CO84" s="119">
        <f t="shared" si="395"/>
        <v>0.56222565623561427</v>
      </c>
      <c r="CP84" s="119">
        <f t="shared" si="395"/>
        <v>0.51986329305211498</v>
      </c>
      <c r="CQ84" s="119">
        <f t="shared" si="395"/>
        <v>0.23470697689649944</v>
      </c>
      <c r="CR84" s="119">
        <f t="shared" si="395"/>
        <v>0.56607823564696313</v>
      </c>
      <c r="CS84" s="119">
        <f t="shared" si="395"/>
        <v>0.36729579463537387</v>
      </c>
      <c r="CT84" s="119">
        <f t="shared" si="395"/>
        <v>-0.42065230463423303</v>
      </c>
      <c r="CU84" s="158">
        <f t="shared" si="395"/>
        <v>-7.8148359436902182E-2</v>
      </c>
      <c r="CV84" s="119">
        <f t="shared" si="395"/>
        <v>-0.53168783898930283</v>
      </c>
      <c r="CW84" s="119">
        <f t="shared" si="395"/>
        <v>0.36744270109478427</v>
      </c>
      <c r="CX84" s="119">
        <f t="shared" si="395"/>
        <v>-0.30883346052309801</v>
      </c>
      <c r="CY84" s="119">
        <f t="shared" si="395"/>
        <v>0.57631252410574774</v>
      </c>
      <c r="CZ84" s="119">
        <f t="shared" si="395"/>
        <v>0.61303984280795221</v>
      </c>
      <c r="DA84" s="119">
        <f t="shared" si="395"/>
        <v>0.58998209574210769</v>
      </c>
      <c r="DB84" s="119">
        <f t="shared" si="395"/>
        <v>0.55123263621696261</v>
      </c>
      <c r="DC84" s="119">
        <f t="shared" si="395"/>
        <v>0.2751616090004439</v>
      </c>
      <c r="DD84" s="119">
        <f t="shared" si="395"/>
        <v>0.59336714090706644</v>
      </c>
      <c r="DE84" s="119">
        <f t="shared" si="395"/>
        <v>0.40618288888635939</v>
      </c>
      <c r="DF84" s="119">
        <f t="shared" si="395"/>
        <v>-0.45488817061540754</v>
      </c>
      <c r="DG84" s="120">
        <f t="shared" si="395"/>
        <v>-0.12070752837042963</v>
      </c>
    </row>
    <row r="85" spans="1:111" s="3" customFormat="1" ht="15.75" thickBot="1" x14ac:dyDescent="0.3">
      <c r="A85" s="116"/>
      <c r="B85" s="116"/>
      <c r="C85" s="117" t="s">
        <v>447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403"/>
      <c r="Q85" s="403"/>
      <c r="R85" s="403"/>
      <c r="S85" s="403"/>
      <c r="T85" s="403"/>
      <c r="U85" s="403"/>
      <c r="V85" s="403"/>
      <c r="W85" s="403"/>
      <c r="X85" s="403"/>
      <c r="Y85" s="403"/>
      <c r="Z85" s="403"/>
      <c r="AA85" s="403"/>
      <c r="AB85" s="454">
        <f t="shared" ref="AB85:BG85" si="396">-AB79-AB27</f>
        <v>-67320.260000000009</v>
      </c>
      <c r="AC85" s="454">
        <f t="shared" si="396"/>
        <v>-20253.280000000002</v>
      </c>
      <c r="AD85" s="454">
        <f t="shared" si="396"/>
        <v>-106764.28</v>
      </c>
      <c r="AE85" s="454">
        <f t="shared" si="396"/>
        <v>-28857.11</v>
      </c>
      <c r="AF85" s="454">
        <f t="shared" si="396"/>
        <v>-29427.11</v>
      </c>
      <c r="AG85" s="454">
        <f t="shared" si="396"/>
        <v>-41428.189999999995</v>
      </c>
      <c r="AH85" s="454">
        <f t="shared" si="396"/>
        <v>-5999.88</v>
      </c>
      <c r="AI85" s="454">
        <f t="shared" si="396"/>
        <v>-44016.85</v>
      </c>
      <c r="AJ85" s="454">
        <f t="shared" si="396"/>
        <v>-38444.559999999998</v>
      </c>
      <c r="AK85" s="454">
        <f t="shared" si="396"/>
        <v>-23196.800000000003</v>
      </c>
      <c r="AL85" s="454">
        <f t="shared" si="396"/>
        <v>-25700.53</v>
      </c>
      <c r="AM85" s="454">
        <f t="shared" si="396"/>
        <v>-81255.260000000009</v>
      </c>
      <c r="AN85" s="454">
        <f t="shared" si="396"/>
        <v>-62507.679999999993</v>
      </c>
      <c r="AO85" s="454">
        <f t="shared" si="396"/>
        <v>-32134.31</v>
      </c>
      <c r="AP85" s="454">
        <f t="shared" ref="AP85:AQ85" si="397">-AP79-AP27</f>
        <v>-9667.4699999999993</v>
      </c>
      <c r="AQ85" s="454">
        <f t="shared" si="397"/>
        <v>-19666.04</v>
      </c>
      <c r="AR85" s="454">
        <f t="shared" ref="AR85:AS85" si="398">-AR79-AR27</f>
        <v>-10185.509999999998</v>
      </c>
      <c r="AS85" s="455">
        <f t="shared" si="398"/>
        <v>-71533.83</v>
      </c>
      <c r="AT85" s="454">
        <f t="shared" ref="AT85" si="399">-AT79-AT27</f>
        <v>-15671.9</v>
      </c>
      <c r="AU85" s="454">
        <f t="shared" si="396"/>
        <v>-14611.900000000001</v>
      </c>
      <c r="AV85" s="454">
        <f t="shared" si="396"/>
        <v>-14321.900000000001</v>
      </c>
      <c r="AW85" s="454">
        <f t="shared" si="396"/>
        <v>-14547.900000000001</v>
      </c>
      <c r="AX85" s="454">
        <f t="shared" si="396"/>
        <v>-15070.69</v>
      </c>
      <c r="AY85" s="455">
        <f t="shared" si="396"/>
        <v>-20813.729877767026</v>
      </c>
      <c r="AZ85" s="454">
        <f t="shared" si="396"/>
        <v>-38436.678108375942</v>
      </c>
      <c r="BA85" s="454">
        <f t="shared" si="396"/>
        <v>-61329.254769878353</v>
      </c>
      <c r="BB85" s="454">
        <f t="shared" si="396"/>
        <v>-38204.746567696428</v>
      </c>
      <c r="BC85" s="454">
        <f t="shared" si="396"/>
        <v>-144389.83822061171</v>
      </c>
      <c r="BD85" s="454">
        <f t="shared" si="396"/>
        <v>-233071.44026851267</v>
      </c>
      <c r="BE85" s="454">
        <f t="shared" si="396"/>
        <v>-167984.58533997537</v>
      </c>
      <c r="BF85" s="454">
        <f t="shared" si="396"/>
        <v>-127895.57165464766</v>
      </c>
      <c r="BG85" s="454">
        <f t="shared" si="396"/>
        <v>-57846.650878021625</v>
      </c>
      <c r="BH85" s="454">
        <f t="shared" ref="BH85:CM85" si="400">-BH79-BH27</f>
        <v>-179168.32753371345</v>
      </c>
      <c r="BI85" s="454">
        <f t="shared" si="400"/>
        <v>-71908.715114133112</v>
      </c>
      <c r="BJ85" s="454">
        <f t="shared" si="400"/>
        <v>-40039.960833333338</v>
      </c>
      <c r="BK85" s="455">
        <f t="shared" si="400"/>
        <v>-46578.198028135965</v>
      </c>
      <c r="BL85" s="454">
        <f t="shared" si="400"/>
        <v>-52410.55012004829</v>
      </c>
      <c r="BM85" s="454">
        <f t="shared" si="400"/>
        <v>-78624.337003084365</v>
      </c>
      <c r="BN85" s="454">
        <f t="shared" si="400"/>
        <v>-52359.894373944844</v>
      </c>
      <c r="BO85" s="454">
        <f t="shared" si="400"/>
        <v>-172645.99824724885</v>
      </c>
      <c r="BP85" s="454">
        <f t="shared" si="400"/>
        <v>-272901.2139015366</v>
      </c>
      <c r="BQ85" s="454">
        <f t="shared" si="400"/>
        <v>-199280.73431586099</v>
      </c>
      <c r="BR85" s="454">
        <f t="shared" si="400"/>
        <v>-147596.82947248957</v>
      </c>
      <c r="BS85" s="454">
        <f t="shared" si="400"/>
        <v>-68339.719258980069</v>
      </c>
      <c r="BT85" s="454">
        <f t="shared" si="400"/>
        <v>-205876.28613543083</v>
      </c>
      <c r="BU85" s="454">
        <f t="shared" si="400"/>
        <v>-84285.258726573084</v>
      </c>
      <c r="BV85" s="454">
        <f t="shared" si="400"/>
        <v>-48097.631875000006</v>
      </c>
      <c r="BW85" s="455">
        <f t="shared" si="400"/>
        <v>-55600.990716097134</v>
      </c>
      <c r="BX85" s="454">
        <f t="shared" si="400"/>
        <v>-65227.405009638722</v>
      </c>
      <c r="BY85" s="454">
        <f t="shared" si="400"/>
        <v>-95617.45466959184</v>
      </c>
      <c r="BZ85" s="454">
        <f t="shared" si="400"/>
        <v>-65411.594006755346</v>
      </c>
      <c r="CA85" s="454">
        <f t="shared" si="400"/>
        <v>-203348.71315554524</v>
      </c>
      <c r="CB85" s="454">
        <f t="shared" si="400"/>
        <v>-318070.94581781642</v>
      </c>
      <c r="CC85" s="454">
        <f t="shared" si="400"/>
        <v>-233783.435410718</v>
      </c>
      <c r="CD85" s="454">
        <f t="shared" si="400"/>
        <v>-174616.76661979195</v>
      </c>
      <c r="CE85" s="454">
        <f t="shared" si="400"/>
        <v>-83851.069610178107</v>
      </c>
      <c r="CF85" s="454">
        <f t="shared" si="400"/>
        <v>-241656.2492625775</v>
      </c>
      <c r="CG85" s="454">
        <f t="shared" si="400"/>
        <v>-102150.95311712303</v>
      </c>
      <c r="CH85" s="454">
        <f t="shared" si="400"/>
        <v>-60564.735552083337</v>
      </c>
      <c r="CI85" s="455">
        <f t="shared" si="400"/>
        <v>-69657.088356510576</v>
      </c>
      <c r="CJ85" s="454">
        <f t="shared" si="400"/>
        <v>-74853.263324755666</v>
      </c>
      <c r="CK85" s="454">
        <f t="shared" si="400"/>
        <v>-112887.63598315953</v>
      </c>
      <c r="CL85" s="454">
        <f t="shared" si="400"/>
        <v>-75502.522859668446</v>
      </c>
      <c r="CM85" s="454">
        <f t="shared" si="400"/>
        <v>-245338.51950433291</v>
      </c>
      <c r="CN85" s="454">
        <f t="shared" ref="CN85:DG85" si="401">-CN79-CN27</f>
        <v>-386101.38278097438</v>
      </c>
      <c r="CO85" s="454">
        <f t="shared" si="401"/>
        <v>-282613.21689531475</v>
      </c>
      <c r="CP85" s="454">
        <f t="shared" si="401"/>
        <v>-215249.10299879042</v>
      </c>
      <c r="CQ85" s="454">
        <f t="shared" si="401"/>
        <v>-103776.41975618876</v>
      </c>
      <c r="CR85" s="454">
        <f t="shared" si="401"/>
        <v>-298065.10240529571</v>
      </c>
      <c r="CS85" s="454">
        <f t="shared" si="401"/>
        <v>-126314.12253396714</v>
      </c>
      <c r="CT85" s="454">
        <f t="shared" si="401"/>
        <v>-75010.44168468751</v>
      </c>
      <c r="CU85" s="455">
        <f t="shared" si="401"/>
        <v>-86167.103940221554</v>
      </c>
      <c r="CV85" s="454">
        <f t="shared" si="401"/>
        <v>-86814.601884640419</v>
      </c>
      <c r="CW85" s="454">
        <f t="shared" si="401"/>
        <v>-135087.99020764523</v>
      </c>
      <c r="CX85" s="454">
        <f t="shared" si="401"/>
        <v>-88099.483803281386</v>
      </c>
      <c r="CY85" s="454">
        <f t="shared" si="401"/>
        <v>-300513.90210911195</v>
      </c>
      <c r="CZ85" s="454">
        <f t="shared" si="401"/>
        <v>-475997.60620491387</v>
      </c>
      <c r="DA85" s="454">
        <f t="shared" si="401"/>
        <v>-346908.56634783931</v>
      </c>
      <c r="DB85" s="454">
        <f t="shared" si="401"/>
        <v>-261571.41997718386</v>
      </c>
      <c r="DC85" s="454">
        <f t="shared" si="401"/>
        <v>-122492.52742393178</v>
      </c>
      <c r="DD85" s="454">
        <f t="shared" si="401"/>
        <v>-365425.88073531544</v>
      </c>
      <c r="DE85" s="454">
        <f t="shared" si="401"/>
        <v>-150680.65589615476</v>
      </c>
      <c r="DF85" s="454">
        <f t="shared" si="401"/>
        <v>-86420.357334555214</v>
      </c>
      <c r="DG85" s="456">
        <f t="shared" si="401"/>
        <v>-99666.950791196068</v>
      </c>
    </row>
    <row r="86" spans="1:111" x14ac:dyDescent="0.25">
      <c r="B86" s="1" t="s">
        <v>8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S86" s="154"/>
      <c r="AY86" s="154"/>
      <c r="BK86" s="154"/>
      <c r="BW86" s="154"/>
      <c r="CI86" s="154"/>
      <c r="CU86" s="154"/>
    </row>
    <row r="87" spans="1:111" x14ac:dyDescent="0.25">
      <c r="B87" s="1" t="s">
        <v>9</v>
      </c>
      <c r="C87" s="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>
        <v>0</v>
      </c>
      <c r="Q87" s="91">
        <v>0</v>
      </c>
      <c r="R87" s="91">
        <v>0</v>
      </c>
      <c r="S87" s="91"/>
      <c r="T87" s="91"/>
      <c r="U87" s="91"/>
      <c r="V87" s="91"/>
      <c r="W87" s="91"/>
      <c r="X87" s="91">
        <v>0</v>
      </c>
      <c r="Y87" s="91">
        <v>0</v>
      </c>
      <c r="Z87" s="91">
        <v>0</v>
      </c>
      <c r="AA87" s="91">
        <v>0</v>
      </c>
      <c r="AB87" s="253">
        <v>0</v>
      </c>
      <c r="AC87" s="253">
        <v>0</v>
      </c>
      <c r="AD87" s="253">
        <v>0</v>
      </c>
      <c r="AE87" s="253">
        <v>0</v>
      </c>
      <c r="AF87" s="253">
        <v>0</v>
      </c>
      <c r="AG87" s="253">
        <v>0</v>
      </c>
      <c r="AH87" s="253">
        <v>300</v>
      </c>
      <c r="AI87" s="253"/>
      <c r="AJ87" s="253">
        <v>300</v>
      </c>
      <c r="AK87" s="253">
        <v>0</v>
      </c>
      <c r="AL87" s="253">
        <v>0</v>
      </c>
      <c r="AM87" s="253">
        <v>0</v>
      </c>
      <c r="AN87" s="253">
        <v>0</v>
      </c>
      <c r="AO87" s="253">
        <v>0.19</v>
      </c>
      <c r="AP87" s="253">
        <v>0</v>
      </c>
      <c r="AQ87" s="253">
        <v>0</v>
      </c>
      <c r="AR87" s="253">
        <v>0</v>
      </c>
      <c r="AS87" s="758">
        <v>0</v>
      </c>
      <c r="AT87" s="743">
        <v>0</v>
      </c>
      <c r="AU87" s="91">
        <f t="shared" ref="AU87:CA87" si="402">AT87</f>
        <v>0</v>
      </c>
      <c r="AV87" s="91">
        <f t="shared" si="402"/>
        <v>0</v>
      </c>
      <c r="AW87" s="91">
        <f t="shared" si="402"/>
        <v>0</v>
      </c>
      <c r="AX87" s="91">
        <f t="shared" si="402"/>
        <v>0</v>
      </c>
      <c r="AY87" s="155">
        <f t="shared" si="402"/>
        <v>0</v>
      </c>
      <c r="AZ87" s="91">
        <f t="shared" si="402"/>
        <v>0</v>
      </c>
      <c r="BA87" s="91">
        <f t="shared" si="402"/>
        <v>0</v>
      </c>
      <c r="BB87" s="91">
        <f t="shared" si="402"/>
        <v>0</v>
      </c>
      <c r="BC87" s="91">
        <f t="shared" si="402"/>
        <v>0</v>
      </c>
      <c r="BD87" s="91">
        <f t="shared" si="402"/>
        <v>0</v>
      </c>
      <c r="BE87" s="91">
        <f t="shared" si="402"/>
        <v>0</v>
      </c>
      <c r="BF87" s="91">
        <f t="shared" si="402"/>
        <v>0</v>
      </c>
      <c r="BG87" s="91">
        <f t="shared" si="402"/>
        <v>0</v>
      </c>
      <c r="BH87" s="91">
        <f t="shared" si="402"/>
        <v>0</v>
      </c>
      <c r="BI87" s="91">
        <f t="shared" si="402"/>
        <v>0</v>
      </c>
      <c r="BJ87" s="91">
        <f t="shared" si="402"/>
        <v>0</v>
      </c>
      <c r="BK87" s="155">
        <f t="shared" si="402"/>
        <v>0</v>
      </c>
      <c r="BL87" s="91">
        <f t="shared" si="402"/>
        <v>0</v>
      </c>
      <c r="BM87" s="91">
        <f t="shared" si="402"/>
        <v>0</v>
      </c>
      <c r="BN87" s="91">
        <f t="shared" si="402"/>
        <v>0</v>
      </c>
      <c r="BO87" s="91">
        <f t="shared" si="402"/>
        <v>0</v>
      </c>
      <c r="BP87" s="91">
        <f t="shared" si="402"/>
        <v>0</v>
      </c>
      <c r="BQ87" s="91">
        <f t="shared" si="402"/>
        <v>0</v>
      </c>
      <c r="BR87" s="91">
        <f t="shared" si="402"/>
        <v>0</v>
      </c>
      <c r="BS87" s="91">
        <f t="shared" si="402"/>
        <v>0</v>
      </c>
      <c r="BT87" s="91">
        <f t="shared" si="402"/>
        <v>0</v>
      </c>
      <c r="BU87" s="91">
        <f t="shared" si="402"/>
        <v>0</v>
      </c>
      <c r="BV87" s="91">
        <f t="shared" si="402"/>
        <v>0</v>
      </c>
      <c r="BW87" s="155">
        <f t="shared" si="402"/>
        <v>0</v>
      </c>
      <c r="BX87" s="91">
        <f t="shared" si="402"/>
        <v>0</v>
      </c>
      <c r="BY87" s="91">
        <f t="shared" si="402"/>
        <v>0</v>
      </c>
      <c r="BZ87" s="91">
        <f t="shared" si="402"/>
        <v>0</v>
      </c>
      <c r="CA87" s="91">
        <f t="shared" si="402"/>
        <v>0</v>
      </c>
      <c r="CB87" s="91">
        <f t="shared" ref="CB87:DG87" si="403">CA87</f>
        <v>0</v>
      </c>
      <c r="CC87" s="91">
        <f t="shared" si="403"/>
        <v>0</v>
      </c>
      <c r="CD87" s="91">
        <f t="shared" si="403"/>
        <v>0</v>
      </c>
      <c r="CE87" s="91">
        <f t="shared" si="403"/>
        <v>0</v>
      </c>
      <c r="CF87" s="91">
        <f t="shared" si="403"/>
        <v>0</v>
      </c>
      <c r="CG87" s="91">
        <f t="shared" si="403"/>
        <v>0</v>
      </c>
      <c r="CH87" s="91">
        <f t="shared" si="403"/>
        <v>0</v>
      </c>
      <c r="CI87" s="155">
        <f t="shared" si="403"/>
        <v>0</v>
      </c>
      <c r="CJ87" s="91">
        <f t="shared" si="403"/>
        <v>0</v>
      </c>
      <c r="CK87" s="91">
        <f t="shared" si="403"/>
        <v>0</v>
      </c>
      <c r="CL87" s="91">
        <f t="shared" si="403"/>
        <v>0</v>
      </c>
      <c r="CM87" s="91">
        <f t="shared" si="403"/>
        <v>0</v>
      </c>
      <c r="CN87" s="91">
        <f t="shared" si="403"/>
        <v>0</v>
      </c>
      <c r="CO87" s="91">
        <f t="shared" si="403"/>
        <v>0</v>
      </c>
      <c r="CP87" s="91">
        <f t="shared" si="403"/>
        <v>0</v>
      </c>
      <c r="CQ87" s="91">
        <f t="shared" si="403"/>
        <v>0</v>
      </c>
      <c r="CR87" s="91">
        <f t="shared" si="403"/>
        <v>0</v>
      </c>
      <c r="CS87" s="91">
        <f t="shared" si="403"/>
        <v>0</v>
      </c>
      <c r="CT87" s="91">
        <f t="shared" si="403"/>
        <v>0</v>
      </c>
      <c r="CU87" s="155">
        <f t="shared" si="403"/>
        <v>0</v>
      </c>
      <c r="CV87" s="91">
        <f t="shared" si="403"/>
        <v>0</v>
      </c>
      <c r="CW87" s="91">
        <f t="shared" si="403"/>
        <v>0</v>
      </c>
      <c r="CX87" s="91">
        <f t="shared" si="403"/>
        <v>0</v>
      </c>
      <c r="CY87" s="91">
        <f t="shared" si="403"/>
        <v>0</v>
      </c>
      <c r="CZ87" s="91">
        <f t="shared" si="403"/>
        <v>0</v>
      </c>
      <c r="DA87" s="91">
        <f t="shared" si="403"/>
        <v>0</v>
      </c>
      <c r="DB87" s="91">
        <f t="shared" si="403"/>
        <v>0</v>
      </c>
      <c r="DC87" s="91">
        <f t="shared" si="403"/>
        <v>0</v>
      </c>
      <c r="DD87" s="91">
        <f t="shared" si="403"/>
        <v>0</v>
      </c>
      <c r="DE87" s="91">
        <f t="shared" si="403"/>
        <v>0</v>
      </c>
      <c r="DF87" s="91">
        <f t="shared" si="403"/>
        <v>0</v>
      </c>
      <c r="DG87" s="91">
        <f t="shared" si="403"/>
        <v>0</v>
      </c>
    </row>
    <row r="88" spans="1:111" x14ac:dyDescent="0.25">
      <c r="A88" s="5"/>
      <c r="B88" s="6" t="s">
        <v>10</v>
      </c>
      <c r="C88" s="6"/>
      <c r="D88" s="37"/>
      <c r="E88" s="37"/>
      <c r="F88" s="37"/>
      <c r="G88" s="37"/>
      <c r="H88" s="37"/>
      <c r="I88" s="37"/>
      <c r="J88" s="37"/>
      <c r="K88" s="37"/>
      <c r="L88" s="37"/>
      <c r="M88" s="36"/>
      <c r="N88" s="36"/>
      <c r="O88" s="36"/>
      <c r="P88" s="36">
        <f t="shared" ref="P88:W88" si="404">P87</f>
        <v>0</v>
      </c>
      <c r="Q88" s="36">
        <f t="shared" si="404"/>
        <v>0</v>
      </c>
      <c r="R88" s="36">
        <f t="shared" si="404"/>
        <v>0</v>
      </c>
      <c r="S88" s="36">
        <f t="shared" si="404"/>
        <v>0</v>
      </c>
      <c r="T88" s="36">
        <f t="shared" si="404"/>
        <v>0</v>
      </c>
      <c r="U88" s="36">
        <f t="shared" si="404"/>
        <v>0</v>
      </c>
      <c r="V88" s="36">
        <f t="shared" si="404"/>
        <v>0</v>
      </c>
      <c r="W88" s="36">
        <f t="shared" si="404"/>
        <v>0</v>
      </c>
      <c r="X88" s="36">
        <f t="shared" ref="X88:Y88" si="405">X87</f>
        <v>0</v>
      </c>
      <c r="Y88" s="36">
        <f t="shared" si="405"/>
        <v>0</v>
      </c>
      <c r="Z88" s="36">
        <f t="shared" ref="Z88" si="406">Z87</f>
        <v>0</v>
      </c>
      <c r="AA88" s="36">
        <f t="shared" ref="AA88:AB88" si="407">AA87</f>
        <v>0</v>
      </c>
      <c r="AB88" s="36">
        <f t="shared" si="407"/>
        <v>0</v>
      </c>
      <c r="AC88" s="36">
        <f t="shared" ref="AC88" si="408">AC87</f>
        <v>0</v>
      </c>
      <c r="AD88" s="36">
        <f t="shared" ref="AD88:AE88" si="409">AD87</f>
        <v>0</v>
      </c>
      <c r="AE88" s="36">
        <f t="shared" si="409"/>
        <v>0</v>
      </c>
      <c r="AF88" s="36">
        <f t="shared" ref="AF88:AG88" si="410">AF87</f>
        <v>0</v>
      </c>
      <c r="AG88" s="36">
        <f t="shared" si="410"/>
        <v>0</v>
      </c>
      <c r="AH88" s="36">
        <f t="shared" ref="AH88:AI88" si="411">AH87</f>
        <v>300</v>
      </c>
      <c r="AI88" s="36">
        <f t="shared" si="411"/>
        <v>0</v>
      </c>
      <c r="AJ88" s="36">
        <f t="shared" ref="AJ88:AK88" si="412">AJ87</f>
        <v>300</v>
      </c>
      <c r="AK88" s="36">
        <f t="shared" si="412"/>
        <v>0</v>
      </c>
      <c r="AL88" s="36">
        <f t="shared" ref="AL88:AM88" si="413">AL87</f>
        <v>0</v>
      </c>
      <c r="AM88" s="36">
        <f t="shared" si="413"/>
        <v>0</v>
      </c>
      <c r="AN88" s="36">
        <f t="shared" ref="AN88" si="414">AN87</f>
        <v>0</v>
      </c>
      <c r="AO88" s="36">
        <f t="shared" ref="AO88:AP88" si="415">AO87</f>
        <v>0.19</v>
      </c>
      <c r="AP88" s="36">
        <f t="shared" si="415"/>
        <v>0</v>
      </c>
      <c r="AQ88" s="36">
        <f t="shared" ref="AQ88:AR88" si="416">AQ87</f>
        <v>0</v>
      </c>
      <c r="AR88" s="36">
        <f t="shared" si="416"/>
        <v>0</v>
      </c>
      <c r="AS88" s="159">
        <f t="shared" ref="AS88" si="417">AS87</f>
        <v>0</v>
      </c>
      <c r="AT88" s="36">
        <f t="shared" ref="AT88" si="418">AT87</f>
        <v>0</v>
      </c>
      <c r="AU88" s="36">
        <f t="shared" ref="AU88:BZ88" si="419">AU87</f>
        <v>0</v>
      </c>
      <c r="AV88" s="36">
        <f t="shared" si="419"/>
        <v>0</v>
      </c>
      <c r="AW88" s="36">
        <f t="shared" si="419"/>
        <v>0</v>
      </c>
      <c r="AX88" s="36">
        <f t="shared" si="419"/>
        <v>0</v>
      </c>
      <c r="AY88" s="159">
        <f t="shared" si="419"/>
        <v>0</v>
      </c>
      <c r="AZ88" s="36">
        <f t="shared" si="419"/>
        <v>0</v>
      </c>
      <c r="BA88" s="36">
        <f t="shared" si="419"/>
        <v>0</v>
      </c>
      <c r="BB88" s="36">
        <f t="shared" si="419"/>
        <v>0</v>
      </c>
      <c r="BC88" s="36">
        <f t="shared" si="419"/>
        <v>0</v>
      </c>
      <c r="BD88" s="36">
        <f t="shared" si="419"/>
        <v>0</v>
      </c>
      <c r="BE88" s="36">
        <f t="shared" si="419"/>
        <v>0</v>
      </c>
      <c r="BF88" s="36">
        <f t="shared" si="419"/>
        <v>0</v>
      </c>
      <c r="BG88" s="36">
        <f t="shared" si="419"/>
        <v>0</v>
      </c>
      <c r="BH88" s="36">
        <f t="shared" si="419"/>
        <v>0</v>
      </c>
      <c r="BI88" s="36">
        <f t="shared" si="419"/>
        <v>0</v>
      </c>
      <c r="BJ88" s="36">
        <f t="shared" si="419"/>
        <v>0</v>
      </c>
      <c r="BK88" s="159">
        <f t="shared" si="419"/>
        <v>0</v>
      </c>
      <c r="BL88" s="36">
        <f t="shared" si="419"/>
        <v>0</v>
      </c>
      <c r="BM88" s="36">
        <f t="shared" si="419"/>
        <v>0</v>
      </c>
      <c r="BN88" s="36">
        <f t="shared" si="419"/>
        <v>0</v>
      </c>
      <c r="BO88" s="36">
        <f t="shared" si="419"/>
        <v>0</v>
      </c>
      <c r="BP88" s="36">
        <f t="shared" si="419"/>
        <v>0</v>
      </c>
      <c r="BQ88" s="36">
        <f t="shared" si="419"/>
        <v>0</v>
      </c>
      <c r="BR88" s="36">
        <f t="shared" si="419"/>
        <v>0</v>
      </c>
      <c r="BS88" s="36">
        <f t="shared" si="419"/>
        <v>0</v>
      </c>
      <c r="BT88" s="36">
        <f t="shared" si="419"/>
        <v>0</v>
      </c>
      <c r="BU88" s="36">
        <f t="shared" si="419"/>
        <v>0</v>
      </c>
      <c r="BV88" s="36">
        <f t="shared" si="419"/>
        <v>0</v>
      </c>
      <c r="BW88" s="159">
        <f t="shared" si="419"/>
        <v>0</v>
      </c>
      <c r="BX88" s="36">
        <f t="shared" si="419"/>
        <v>0</v>
      </c>
      <c r="BY88" s="36">
        <f t="shared" si="419"/>
        <v>0</v>
      </c>
      <c r="BZ88" s="36">
        <f t="shared" si="419"/>
        <v>0</v>
      </c>
      <c r="CA88" s="36">
        <f t="shared" ref="CA88:DG88" si="420">CA87</f>
        <v>0</v>
      </c>
      <c r="CB88" s="36">
        <f t="shared" si="420"/>
        <v>0</v>
      </c>
      <c r="CC88" s="36">
        <f t="shared" si="420"/>
        <v>0</v>
      </c>
      <c r="CD88" s="36">
        <f t="shared" si="420"/>
        <v>0</v>
      </c>
      <c r="CE88" s="36">
        <f t="shared" si="420"/>
        <v>0</v>
      </c>
      <c r="CF88" s="36">
        <f t="shared" si="420"/>
        <v>0</v>
      </c>
      <c r="CG88" s="36">
        <f t="shared" si="420"/>
        <v>0</v>
      </c>
      <c r="CH88" s="36">
        <f t="shared" si="420"/>
        <v>0</v>
      </c>
      <c r="CI88" s="159">
        <f t="shared" si="420"/>
        <v>0</v>
      </c>
      <c r="CJ88" s="36">
        <f t="shared" si="420"/>
        <v>0</v>
      </c>
      <c r="CK88" s="36">
        <f t="shared" si="420"/>
        <v>0</v>
      </c>
      <c r="CL88" s="36">
        <f t="shared" si="420"/>
        <v>0</v>
      </c>
      <c r="CM88" s="36">
        <f t="shared" si="420"/>
        <v>0</v>
      </c>
      <c r="CN88" s="36">
        <f t="shared" si="420"/>
        <v>0</v>
      </c>
      <c r="CO88" s="36">
        <f t="shared" si="420"/>
        <v>0</v>
      </c>
      <c r="CP88" s="36">
        <f t="shared" si="420"/>
        <v>0</v>
      </c>
      <c r="CQ88" s="36">
        <f t="shared" si="420"/>
        <v>0</v>
      </c>
      <c r="CR88" s="36">
        <f t="shared" si="420"/>
        <v>0</v>
      </c>
      <c r="CS88" s="36">
        <f t="shared" si="420"/>
        <v>0</v>
      </c>
      <c r="CT88" s="36">
        <f t="shared" si="420"/>
        <v>0</v>
      </c>
      <c r="CU88" s="159">
        <f t="shared" si="420"/>
        <v>0</v>
      </c>
      <c r="CV88" s="36">
        <f t="shared" si="420"/>
        <v>0</v>
      </c>
      <c r="CW88" s="36">
        <f t="shared" si="420"/>
        <v>0</v>
      </c>
      <c r="CX88" s="36">
        <f t="shared" si="420"/>
        <v>0</v>
      </c>
      <c r="CY88" s="36">
        <f t="shared" si="420"/>
        <v>0</v>
      </c>
      <c r="CZ88" s="36">
        <f t="shared" si="420"/>
        <v>0</v>
      </c>
      <c r="DA88" s="36">
        <f t="shared" si="420"/>
        <v>0</v>
      </c>
      <c r="DB88" s="36">
        <f t="shared" si="420"/>
        <v>0</v>
      </c>
      <c r="DC88" s="36">
        <f t="shared" si="420"/>
        <v>0</v>
      </c>
      <c r="DD88" s="36">
        <f t="shared" si="420"/>
        <v>0</v>
      </c>
      <c r="DE88" s="36">
        <f t="shared" si="420"/>
        <v>0</v>
      </c>
      <c r="DF88" s="36">
        <f t="shared" si="420"/>
        <v>0</v>
      </c>
      <c r="DG88" s="36">
        <f t="shared" si="420"/>
        <v>0</v>
      </c>
    </row>
    <row r="89" spans="1:111" x14ac:dyDescent="0.25">
      <c r="A89" s="3"/>
      <c r="B89" s="4" t="s">
        <v>253</v>
      </c>
      <c r="C89" s="4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>
        <v>29.19</v>
      </c>
      <c r="V89" s="37">
        <v>99.23</v>
      </c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156"/>
      <c r="AT89" s="37"/>
      <c r="AU89" s="37"/>
      <c r="AV89" s="37"/>
      <c r="AW89" s="37"/>
      <c r="AX89" s="37"/>
      <c r="AY89" s="156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156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156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156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156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</row>
    <row r="90" spans="1:111" x14ac:dyDescent="0.25">
      <c r="A90" t="s">
        <v>253</v>
      </c>
      <c r="B90" s="1" t="s">
        <v>320</v>
      </c>
      <c r="C90" s="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X90" s="39"/>
      <c r="Y90" s="39"/>
      <c r="Z90" s="39">
        <v>549</v>
      </c>
      <c r="AA90" s="39">
        <v>-549</v>
      </c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157"/>
      <c r="AT90" s="743">
        <v>0</v>
      </c>
      <c r="AU90" s="91">
        <f t="shared" ref="AU90" si="421">AT90</f>
        <v>0</v>
      </c>
      <c r="AV90" s="91">
        <f t="shared" ref="AV90" si="422">AU90</f>
        <v>0</v>
      </c>
      <c r="AW90" s="91">
        <f t="shared" ref="AW90" si="423">AV90</f>
        <v>0</v>
      </c>
      <c r="AX90" s="91">
        <f t="shared" ref="AX90" si="424">AW90</f>
        <v>0</v>
      </c>
      <c r="AY90" s="155">
        <f t="shared" ref="AY90" si="425">AX90</f>
        <v>0</v>
      </c>
      <c r="AZ90" s="91">
        <f t="shared" ref="AZ90" si="426">AY90</f>
        <v>0</v>
      </c>
      <c r="BA90" s="91">
        <f t="shared" ref="BA90" si="427">AZ90</f>
        <v>0</v>
      </c>
      <c r="BB90" s="91">
        <f t="shared" ref="BB90" si="428">BA90</f>
        <v>0</v>
      </c>
      <c r="BC90" s="91">
        <f t="shared" ref="BC90" si="429">BB90</f>
        <v>0</v>
      </c>
      <c r="BD90" s="91">
        <f t="shared" ref="BD90" si="430">BC90</f>
        <v>0</v>
      </c>
      <c r="BE90" s="91">
        <f t="shared" ref="BE90" si="431">BD90</f>
        <v>0</v>
      </c>
      <c r="BF90" s="91">
        <f t="shared" ref="BF90" si="432">BE90</f>
        <v>0</v>
      </c>
      <c r="BG90" s="91">
        <f t="shared" ref="BG90" si="433">BF90</f>
        <v>0</v>
      </c>
      <c r="BH90" s="91">
        <f t="shared" ref="BH90" si="434">BG90</f>
        <v>0</v>
      </c>
      <c r="BI90" s="91">
        <f t="shared" ref="BI90" si="435">BH90</f>
        <v>0</v>
      </c>
      <c r="BJ90" s="91">
        <f t="shared" ref="BJ90" si="436">BI90</f>
        <v>0</v>
      </c>
      <c r="BK90" s="155">
        <f t="shared" ref="BK90" si="437">BJ90</f>
        <v>0</v>
      </c>
      <c r="BL90" s="91">
        <f t="shared" ref="BL90" si="438">BK90</f>
        <v>0</v>
      </c>
      <c r="BM90" s="91">
        <f t="shared" ref="BM90" si="439">BL90</f>
        <v>0</v>
      </c>
      <c r="BN90" s="91">
        <f t="shared" ref="BN90" si="440">BM90</f>
        <v>0</v>
      </c>
      <c r="BO90" s="91">
        <f t="shared" ref="BO90" si="441">BN90</f>
        <v>0</v>
      </c>
      <c r="BP90" s="91">
        <f t="shared" ref="BP90" si="442">BO90</f>
        <v>0</v>
      </c>
      <c r="BQ90" s="91">
        <f t="shared" ref="BQ90" si="443">BP90</f>
        <v>0</v>
      </c>
      <c r="BR90" s="91">
        <f t="shared" ref="BR90" si="444">BQ90</f>
        <v>0</v>
      </c>
      <c r="BS90" s="91">
        <f t="shared" ref="BS90" si="445">BR90</f>
        <v>0</v>
      </c>
      <c r="BT90" s="91">
        <f t="shared" ref="BT90" si="446">BS90</f>
        <v>0</v>
      </c>
      <c r="BU90" s="91">
        <f t="shared" ref="BU90" si="447">BT90</f>
        <v>0</v>
      </c>
      <c r="BV90" s="91">
        <f t="shared" ref="BV90" si="448">BU90</f>
        <v>0</v>
      </c>
      <c r="BW90" s="155">
        <f t="shared" ref="BW90" si="449">BV90</f>
        <v>0</v>
      </c>
      <c r="BX90" s="91">
        <f t="shared" ref="BX90" si="450">BW90</f>
        <v>0</v>
      </c>
      <c r="BY90" s="91">
        <f t="shared" ref="BY90" si="451">BX90</f>
        <v>0</v>
      </c>
      <c r="BZ90" s="91">
        <f t="shared" ref="BZ90" si="452">BY90</f>
        <v>0</v>
      </c>
      <c r="CA90" s="91">
        <f t="shared" ref="CA90" si="453">BZ90</f>
        <v>0</v>
      </c>
      <c r="CB90" s="91">
        <f t="shared" ref="CB90" si="454">CA90</f>
        <v>0</v>
      </c>
      <c r="CC90" s="91">
        <f t="shared" ref="CC90" si="455">CB90</f>
        <v>0</v>
      </c>
      <c r="CD90" s="91">
        <f t="shared" ref="CD90" si="456">CC90</f>
        <v>0</v>
      </c>
      <c r="CE90" s="91">
        <f t="shared" ref="CE90" si="457">CD90</f>
        <v>0</v>
      </c>
      <c r="CF90" s="91">
        <f t="shared" ref="CF90" si="458">CE90</f>
        <v>0</v>
      </c>
      <c r="CG90" s="91">
        <f t="shared" ref="CG90" si="459">CF90</f>
        <v>0</v>
      </c>
      <c r="CH90" s="91">
        <f t="shared" ref="CH90" si="460">CG90</f>
        <v>0</v>
      </c>
      <c r="CI90" s="155">
        <f t="shared" ref="CI90" si="461">CH90</f>
        <v>0</v>
      </c>
      <c r="CJ90" s="91">
        <f t="shared" ref="CJ90" si="462">CI90</f>
        <v>0</v>
      </c>
      <c r="CK90" s="91">
        <f t="shared" ref="CK90" si="463">CJ90</f>
        <v>0</v>
      </c>
      <c r="CL90" s="91">
        <f t="shared" ref="CL90" si="464">CK90</f>
        <v>0</v>
      </c>
      <c r="CM90" s="91">
        <f t="shared" ref="CM90" si="465">CL90</f>
        <v>0</v>
      </c>
      <c r="CN90" s="91">
        <f t="shared" ref="CN90" si="466">CM90</f>
        <v>0</v>
      </c>
      <c r="CO90" s="91">
        <f t="shared" ref="CO90" si="467">CN90</f>
        <v>0</v>
      </c>
      <c r="CP90" s="91">
        <f t="shared" ref="CP90" si="468">CO90</f>
        <v>0</v>
      </c>
      <c r="CQ90" s="91">
        <f t="shared" ref="CQ90" si="469">CP90</f>
        <v>0</v>
      </c>
      <c r="CR90" s="91">
        <f t="shared" ref="CR90" si="470">CQ90</f>
        <v>0</v>
      </c>
      <c r="CS90" s="91">
        <f t="shared" ref="CS90" si="471">CR90</f>
        <v>0</v>
      </c>
      <c r="CT90" s="91">
        <f t="shared" ref="CT90" si="472">CS90</f>
        <v>0</v>
      </c>
      <c r="CU90" s="155">
        <f t="shared" ref="CU90" si="473">CT90</f>
        <v>0</v>
      </c>
      <c r="CV90" s="91">
        <f t="shared" ref="CV90" si="474">CU90</f>
        <v>0</v>
      </c>
      <c r="CW90" s="91">
        <f t="shared" ref="CW90" si="475">CV90</f>
        <v>0</v>
      </c>
      <c r="CX90" s="91">
        <f t="shared" ref="CX90" si="476">CW90</f>
        <v>0</v>
      </c>
      <c r="CY90" s="91">
        <f t="shared" ref="CY90" si="477">CX90</f>
        <v>0</v>
      </c>
      <c r="CZ90" s="91">
        <f t="shared" ref="CZ90" si="478">CY90</f>
        <v>0</v>
      </c>
      <c r="DA90" s="91">
        <f t="shared" ref="DA90" si="479">CZ90</f>
        <v>0</v>
      </c>
      <c r="DB90" s="91">
        <f t="shared" ref="DB90" si="480">DA90</f>
        <v>0</v>
      </c>
      <c r="DC90" s="91">
        <f t="shared" ref="DC90" si="481">DB90</f>
        <v>0</v>
      </c>
      <c r="DD90" s="91">
        <f t="shared" ref="DD90" si="482">DC90</f>
        <v>0</v>
      </c>
      <c r="DE90" s="91">
        <f t="shared" ref="DE90" si="483">DD90</f>
        <v>0</v>
      </c>
      <c r="DF90" s="91">
        <f t="shared" ref="DF90" si="484">DE90</f>
        <v>0</v>
      </c>
      <c r="DG90" s="91">
        <f t="shared" ref="DG90" si="485">DF90</f>
        <v>0</v>
      </c>
    </row>
    <row r="91" spans="1:111" x14ac:dyDescent="0.25">
      <c r="A91" s="248"/>
      <c r="B91" s="249" t="s">
        <v>11</v>
      </c>
      <c r="C91" s="249"/>
      <c r="D91" s="39"/>
      <c r="E91" s="39">
        <f t="shared" ref="E91" si="486">E88-E90</f>
        <v>0</v>
      </c>
      <c r="F91" s="39">
        <f t="shared" ref="F91" si="487">F88-F90</f>
        <v>0</v>
      </c>
      <c r="G91" s="39">
        <f t="shared" ref="G91" si="488">G88-G90</f>
        <v>0</v>
      </c>
      <c r="H91" s="39">
        <f t="shared" ref="H91" si="489">H88-H90</f>
        <v>0</v>
      </c>
      <c r="I91" s="39">
        <f t="shared" ref="I91" si="490">I88-I90</f>
        <v>0</v>
      </c>
      <c r="J91" s="39">
        <f t="shared" ref="J91" si="491">J88-J90</f>
        <v>0</v>
      </c>
      <c r="K91" s="39">
        <f t="shared" ref="K91" si="492">K88-K90</f>
        <v>0</v>
      </c>
      <c r="L91" s="39">
        <f t="shared" ref="L91" si="493">L88-L90</f>
        <v>0</v>
      </c>
      <c r="M91" s="38">
        <f t="shared" ref="M91" si="494">M88-M90</f>
        <v>0</v>
      </c>
      <c r="N91" s="38">
        <f t="shared" ref="N91" si="495">N88-N90</f>
        <v>0</v>
      </c>
      <c r="O91" s="38">
        <f t="shared" ref="O91" si="496">O88-O90</f>
        <v>0</v>
      </c>
      <c r="P91" s="38">
        <f t="shared" ref="P91:S91" si="497">P88-P90</f>
        <v>0</v>
      </c>
      <c r="Q91" s="38">
        <f t="shared" si="497"/>
        <v>0</v>
      </c>
      <c r="R91" s="38">
        <f t="shared" si="497"/>
        <v>0</v>
      </c>
      <c r="S91" s="38">
        <f t="shared" si="497"/>
        <v>0</v>
      </c>
      <c r="T91" s="38">
        <f>T88-SUM(T89:T90)</f>
        <v>0</v>
      </c>
      <c r="U91" s="38">
        <f>U88-SUM(U89:U90)</f>
        <v>-29.19</v>
      </c>
      <c r="V91" s="38">
        <f t="shared" ref="V91:CG91" si="498">V88-SUM(V89:V90)</f>
        <v>-99.23</v>
      </c>
      <c r="W91" s="38">
        <f t="shared" si="498"/>
        <v>0</v>
      </c>
      <c r="X91" s="38">
        <f t="shared" si="498"/>
        <v>0</v>
      </c>
      <c r="Y91" s="38">
        <f t="shared" si="498"/>
        <v>0</v>
      </c>
      <c r="Z91" s="38">
        <f t="shared" si="498"/>
        <v>-549</v>
      </c>
      <c r="AA91" s="38">
        <f t="shared" si="498"/>
        <v>549</v>
      </c>
      <c r="AB91" s="38">
        <f t="shared" si="498"/>
        <v>0</v>
      </c>
      <c r="AC91" s="38">
        <f t="shared" si="498"/>
        <v>0</v>
      </c>
      <c r="AD91" s="38">
        <f t="shared" si="498"/>
        <v>0</v>
      </c>
      <c r="AE91" s="38">
        <f t="shared" si="498"/>
        <v>0</v>
      </c>
      <c r="AF91" s="38">
        <f t="shared" ref="AF91:AG91" si="499">AF88-SUM(AF89:AF90)</f>
        <v>0</v>
      </c>
      <c r="AG91" s="38">
        <f t="shared" si="499"/>
        <v>0</v>
      </c>
      <c r="AH91" s="38">
        <f t="shared" ref="AH91:AI91" si="500">AH88-SUM(AH89:AH90)</f>
        <v>300</v>
      </c>
      <c r="AI91" s="38">
        <f t="shared" si="500"/>
        <v>0</v>
      </c>
      <c r="AJ91" s="38">
        <f t="shared" ref="AJ91:AK91" si="501">AJ88-SUM(AJ89:AJ90)</f>
        <v>300</v>
      </c>
      <c r="AK91" s="38">
        <f t="shared" si="501"/>
        <v>0</v>
      </c>
      <c r="AL91" s="38">
        <f t="shared" ref="AL91:AM91" si="502">AL88-SUM(AL89:AL90)</f>
        <v>0</v>
      </c>
      <c r="AM91" s="38">
        <f t="shared" si="502"/>
        <v>0</v>
      </c>
      <c r="AN91" s="38">
        <f t="shared" ref="AN91" si="503">AN88-SUM(AN89:AN90)</f>
        <v>0</v>
      </c>
      <c r="AO91" s="38">
        <f t="shared" ref="AO91:AP91" si="504">AO88-SUM(AO89:AO90)</f>
        <v>0.19</v>
      </c>
      <c r="AP91" s="38">
        <f t="shared" si="504"/>
        <v>0</v>
      </c>
      <c r="AQ91" s="38">
        <f t="shared" ref="AQ91:AR91" si="505">AQ88-SUM(AQ89:AQ90)</f>
        <v>0</v>
      </c>
      <c r="AR91" s="38">
        <f t="shared" si="505"/>
        <v>0</v>
      </c>
      <c r="AS91" s="250">
        <f t="shared" ref="AS91" si="506">AS88-SUM(AS89:AS90)</f>
        <v>0</v>
      </c>
      <c r="AT91" s="38">
        <f t="shared" ref="AT91" si="507">AT88-SUM(AT89:AT90)</f>
        <v>0</v>
      </c>
      <c r="AU91" s="38">
        <f t="shared" si="498"/>
        <v>0</v>
      </c>
      <c r="AV91" s="38">
        <f t="shared" si="498"/>
        <v>0</v>
      </c>
      <c r="AW91" s="38">
        <f t="shared" si="498"/>
        <v>0</v>
      </c>
      <c r="AX91" s="38">
        <f t="shared" si="498"/>
        <v>0</v>
      </c>
      <c r="AY91" s="250">
        <f t="shared" si="498"/>
        <v>0</v>
      </c>
      <c r="AZ91" s="38">
        <f t="shared" si="498"/>
        <v>0</v>
      </c>
      <c r="BA91" s="38">
        <f t="shared" si="498"/>
        <v>0</v>
      </c>
      <c r="BB91" s="38">
        <f t="shared" si="498"/>
        <v>0</v>
      </c>
      <c r="BC91" s="38">
        <f t="shared" si="498"/>
        <v>0</v>
      </c>
      <c r="BD91" s="38">
        <f t="shared" si="498"/>
        <v>0</v>
      </c>
      <c r="BE91" s="38">
        <f t="shared" si="498"/>
        <v>0</v>
      </c>
      <c r="BF91" s="38">
        <f t="shared" si="498"/>
        <v>0</v>
      </c>
      <c r="BG91" s="38">
        <f t="shared" si="498"/>
        <v>0</v>
      </c>
      <c r="BH91" s="38">
        <f t="shared" si="498"/>
        <v>0</v>
      </c>
      <c r="BI91" s="38">
        <f t="shared" si="498"/>
        <v>0</v>
      </c>
      <c r="BJ91" s="38">
        <f t="shared" si="498"/>
        <v>0</v>
      </c>
      <c r="BK91" s="250">
        <f t="shared" si="498"/>
        <v>0</v>
      </c>
      <c r="BL91" s="38">
        <f t="shared" si="498"/>
        <v>0</v>
      </c>
      <c r="BM91" s="38">
        <f t="shared" si="498"/>
        <v>0</v>
      </c>
      <c r="BN91" s="38">
        <f t="shared" si="498"/>
        <v>0</v>
      </c>
      <c r="BO91" s="38">
        <f t="shared" si="498"/>
        <v>0</v>
      </c>
      <c r="BP91" s="38">
        <f t="shared" si="498"/>
        <v>0</v>
      </c>
      <c r="BQ91" s="38">
        <f t="shared" si="498"/>
        <v>0</v>
      </c>
      <c r="BR91" s="38">
        <f t="shared" si="498"/>
        <v>0</v>
      </c>
      <c r="BS91" s="38">
        <f t="shared" si="498"/>
        <v>0</v>
      </c>
      <c r="BT91" s="38">
        <f t="shared" si="498"/>
        <v>0</v>
      </c>
      <c r="BU91" s="38">
        <f t="shared" si="498"/>
        <v>0</v>
      </c>
      <c r="BV91" s="38">
        <f t="shared" si="498"/>
        <v>0</v>
      </c>
      <c r="BW91" s="250">
        <f t="shared" si="498"/>
        <v>0</v>
      </c>
      <c r="BX91" s="38">
        <f t="shared" si="498"/>
        <v>0</v>
      </c>
      <c r="BY91" s="38">
        <f t="shared" si="498"/>
        <v>0</v>
      </c>
      <c r="BZ91" s="38">
        <f t="shared" si="498"/>
        <v>0</v>
      </c>
      <c r="CA91" s="38">
        <f t="shared" si="498"/>
        <v>0</v>
      </c>
      <c r="CB91" s="38">
        <f t="shared" si="498"/>
        <v>0</v>
      </c>
      <c r="CC91" s="38">
        <f t="shared" si="498"/>
        <v>0</v>
      </c>
      <c r="CD91" s="38">
        <f t="shared" si="498"/>
        <v>0</v>
      </c>
      <c r="CE91" s="38">
        <f t="shared" si="498"/>
        <v>0</v>
      </c>
      <c r="CF91" s="38">
        <f t="shared" si="498"/>
        <v>0</v>
      </c>
      <c r="CG91" s="38">
        <f t="shared" si="498"/>
        <v>0</v>
      </c>
      <c r="CH91" s="38">
        <f t="shared" ref="CH91:DG91" si="508">CH88-SUM(CH89:CH90)</f>
        <v>0</v>
      </c>
      <c r="CI91" s="250">
        <f t="shared" si="508"/>
        <v>0</v>
      </c>
      <c r="CJ91" s="38">
        <f t="shared" si="508"/>
        <v>0</v>
      </c>
      <c r="CK91" s="38">
        <f t="shared" si="508"/>
        <v>0</v>
      </c>
      <c r="CL91" s="38">
        <f t="shared" si="508"/>
        <v>0</v>
      </c>
      <c r="CM91" s="38">
        <f t="shared" si="508"/>
        <v>0</v>
      </c>
      <c r="CN91" s="38">
        <f t="shared" si="508"/>
        <v>0</v>
      </c>
      <c r="CO91" s="38">
        <f t="shared" si="508"/>
        <v>0</v>
      </c>
      <c r="CP91" s="38">
        <f t="shared" si="508"/>
        <v>0</v>
      </c>
      <c r="CQ91" s="38">
        <f t="shared" si="508"/>
        <v>0</v>
      </c>
      <c r="CR91" s="38">
        <f t="shared" si="508"/>
        <v>0</v>
      </c>
      <c r="CS91" s="38">
        <f t="shared" si="508"/>
        <v>0</v>
      </c>
      <c r="CT91" s="38">
        <f t="shared" si="508"/>
        <v>0</v>
      </c>
      <c r="CU91" s="250">
        <f t="shared" si="508"/>
        <v>0</v>
      </c>
      <c r="CV91" s="38">
        <f t="shared" si="508"/>
        <v>0</v>
      </c>
      <c r="CW91" s="38">
        <f t="shared" si="508"/>
        <v>0</v>
      </c>
      <c r="CX91" s="38">
        <f t="shared" si="508"/>
        <v>0</v>
      </c>
      <c r="CY91" s="38">
        <f t="shared" si="508"/>
        <v>0</v>
      </c>
      <c r="CZ91" s="38">
        <f t="shared" si="508"/>
        <v>0</v>
      </c>
      <c r="DA91" s="38">
        <f t="shared" si="508"/>
        <v>0</v>
      </c>
      <c r="DB91" s="38">
        <f t="shared" si="508"/>
        <v>0</v>
      </c>
      <c r="DC91" s="38">
        <f t="shared" si="508"/>
        <v>0</v>
      </c>
      <c r="DD91" s="38">
        <f t="shared" si="508"/>
        <v>0</v>
      </c>
      <c r="DE91" s="38">
        <f t="shared" si="508"/>
        <v>0</v>
      </c>
      <c r="DF91" s="38">
        <f t="shared" si="508"/>
        <v>0</v>
      </c>
      <c r="DG91" s="38">
        <f t="shared" si="508"/>
        <v>0</v>
      </c>
    </row>
    <row r="92" spans="1:111" s="3" customFormat="1" x14ac:dyDescent="0.25">
      <c r="B92" s="4" t="s">
        <v>12</v>
      </c>
      <c r="C92" s="4"/>
      <c r="D92" s="37"/>
      <c r="E92" s="37">
        <f t="shared" ref="E92:AE92" si="509">E82+E91</f>
        <v>-12</v>
      </c>
      <c r="F92" s="37">
        <f t="shared" si="509"/>
        <v>-11.83</v>
      </c>
      <c r="G92" s="37">
        <f t="shared" si="509"/>
        <v>-12</v>
      </c>
      <c r="H92" s="37">
        <f t="shared" si="509"/>
        <v>-132</v>
      </c>
      <c r="I92" s="37">
        <f t="shared" si="509"/>
        <v>-817.36</v>
      </c>
      <c r="J92" s="37">
        <f t="shared" si="509"/>
        <v>-12</v>
      </c>
      <c r="K92" s="37">
        <f t="shared" si="509"/>
        <v>-213</v>
      </c>
      <c r="L92" s="37">
        <f t="shared" si="509"/>
        <v>-1880.5</v>
      </c>
      <c r="M92" s="37">
        <f t="shared" si="509"/>
        <v>-263.3</v>
      </c>
      <c r="N92" s="37">
        <f t="shared" si="509"/>
        <v>-223</v>
      </c>
      <c r="O92" s="37">
        <f t="shared" si="509"/>
        <v>-2910.3900000000003</v>
      </c>
      <c r="P92" s="37">
        <f t="shared" si="509"/>
        <v>-1759.16</v>
      </c>
      <c r="Q92" s="37">
        <f t="shared" si="509"/>
        <v>-467.18</v>
      </c>
      <c r="R92" s="37">
        <f t="shared" si="509"/>
        <v>-1525.78</v>
      </c>
      <c r="S92" s="37">
        <f t="shared" si="509"/>
        <v>-598.99</v>
      </c>
      <c r="T92" s="37">
        <f t="shared" si="509"/>
        <v>-2060.8900000000003</v>
      </c>
      <c r="U92" s="37">
        <f t="shared" si="509"/>
        <v>-3880.07</v>
      </c>
      <c r="V92" s="37">
        <f t="shared" si="509"/>
        <v>-2030.9500000000003</v>
      </c>
      <c r="W92" s="37">
        <f t="shared" si="509"/>
        <v>-21628.43</v>
      </c>
      <c r="X92" s="37">
        <f t="shared" si="509"/>
        <v>-4028.06</v>
      </c>
      <c r="Y92" s="37">
        <f t="shared" si="509"/>
        <v>67120.009999999995</v>
      </c>
      <c r="Z92" s="37">
        <f t="shared" si="509"/>
        <v>39897.00999999998</v>
      </c>
      <c r="AA92" s="37">
        <f t="shared" si="509"/>
        <v>11672.430000000004</v>
      </c>
      <c r="AB92" s="37">
        <f t="shared" si="509"/>
        <v>-67320.260000000009</v>
      </c>
      <c r="AC92" s="37">
        <f t="shared" si="509"/>
        <v>92246.720000000001</v>
      </c>
      <c r="AD92" s="37">
        <f t="shared" si="509"/>
        <v>5735.720000000003</v>
      </c>
      <c r="AE92" s="37">
        <f t="shared" si="509"/>
        <v>-28857.11</v>
      </c>
      <c r="AF92" s="37">
        <f t="shared" ref="AF92:AG92" si="510">AF82+AF91</f>
        <v>53032.210000000006</v>
      </c>
      <c r="AG92" s="37">
        <f t="shared" si="510"/>
        <v>-30499.549999999996</v>
      </c>
      <c r="AH92" s="37">
        <f t="shared" ref="AH92:AI92" si="511">AH82+AH91</f>
        <v>-4999.88</v>
      </c>
      <c r="AI92" s="37">
        <f t="shared" si="511"/>
        <v>1880.1499999999996</v>
      </c>
      <c r="AJ92" s="37">
        <f t="shared" ref="AJ92:AK92" si="512">AJ82+AJ91</f>
        <v>10865.740000000002</v>
      </c>
      <c r="AK92" s="37">
        <f t="shared" si="512"/>
        <v>1556.6999999999989</v>
      </c>
      <c r="AL92" s="37">
        <f t="shared" ref="AL92:AM92" si="513">AL82+AL91</f>
        <v>-2582.5399999999986</v>
      </c>
      <c r="AM92" s="37">
        <f t="shared" si="513"/>
        <v>-267.96000000000095</v>
      </c>
      <c r="AN92" s="37">
        <f t="shared" ref="AN92" si="514">AN82+AN91</f>
        <v>27294.760000000009</v>
      </c>
      <c r="AO92" s="37">
        <f t="shared" ref="AO92:AP92" si="515">AO82+AO91</f>
        <v>-11660.26</v>
      </c>
      <c r="AP92" s="37">
        <f t="shared" si="515"/>
        <v>-9667.4699999999993</v>
      </c>
      <c r="AQ92" s="37">
        <f t="shared" ref="AQ92:AR92" si="516">AQ82+AQ91</f>
        <v>-7904.5399999999991</v>
      </c>
      <c r="AR92" s="37">
        <f t="shared" si="516"/>
        <v>-6085.0099999999984</v>
      </c>
      <c r="AS92" s="156">
        <f t="shared" ref="AS92" si="517">AS82+AS91</f>
        <v>18466.170000000006</v>
      </c>
      <c r="AT92" s="37">
        <f t="shared" ref="AT92" si="518">AT82+AT91</f>
        <v>-9071.9</v>
      </c>
      <c r="AU92" s="37">
        <f t="shared" ref="AU92:BP92" si="519">AU82+AU91</f>
        <v>-6611.9000000000015</v>
      </c>
      <c r="AV92" s="37">
        <f t="shared" si="519"/>
        <v>-8921.9000000000015</v>
      </c>
      <c r="AW92" s="37">
        <f t="shared" si="519"/>
        <v>-7947.9000000000015</v>
      </c>
      <c r="AX92" s="37">
        <f t="shared" si="519"/>
        <v>117929.31</v>
      </c>
      <c r="AY92" s="156">
        <f t="shared" si="519"/>
        <v>-15413.729877767026</v>
      </c>
      <c r="AZ92" s="37">
        <f t="shared" si="519"/>
        <v>-18636.678108375942</v>
      </c>
      <c r="BA92" s="37">
        <f t="shared" si="519"/>
        <v>-37329.254769878353</v>
      </c>
      <c r="BB92" s="37">
        <f t="shared" si="519"/>
        <v>227995.25343230358</v>
      </c>
      <c r="BC92" s="37">
        <f t="shared" si="519"/>
        <v>187910.16177938829</v>
      </c>
      <c r="BD92" s="37">
        <f t="shared" si="519"/>
        <v>-21571.44026851267</v>
      </c>
      <c r="BE92" s="37">
        <f t="shared" si="519"/>
        <v>-151784.58533997537</v>
      </c>
      <c r="BF92" s="37">
        <f t="shared" si="519"/>
        <v>86004.428345352339</v>
      </c>
      <c r="BG92" s="37">
        <f t="shared" si="519"/>
        <v>-25846.650878021625</v>
      </c>
      <c r="BH92" s="37">
        <f t="shared" si="519"/>
        <v>29931.672466286545</v>
      </c>
      <c r="BI92" s="37">
        <f t="shared" si="519"/>
        <v>-45508.715114133105</v>
      </c>
      <c r="BJ92" s="37">
        <f t="shared" si="519"/>
        <v>206960.03916666665</v>
      </c>
      <c r="BK92" s="156">
        <f t="shared" si="519"/>
        <v>-24978.198028135965</v>
      </c>
      <c r="BL92" s="37">
        <f t="shared" si="519"/>
        <v>-19410.55012004829</v>
      </c>
      <c r="BM92" s="37">
        <f t="shared" si="519"/>
        <v>-38624.337003084358</v>
      </c>
      <c r="BN92" s="37">
        <f t="shared" si="519"/>
        <v>404640.10562605516</v>
      </c>
      <c r="BO92" s="37">
        <f t="shared" si="519"/>
        <v>397854.00175275118</v>
      </c>
      <c r="BP92" s="37">
        <f t="shared" si="519"/>
        <v>89598.786098463403</v>
      </c>
      <c r="BQ92" s="37">
        <f t="shared" ref="BQ92:CV92" si="520">BQ82+BQ91</f>
        <v>-172280.73431586099</v>
      </c>
      <c r="BR92" s="37">
        <f t="shared" si="520"/>
        <v>207903.17052751043</v>
      </c>
      <c r="BS92" s="37">
        <f t="shared" si="520"/>
        <v>-28339.719258980062</v>
      </c>
      <c r="BT92" s="37">
        <f t="shared" si="520"/>
        <v>143623.71386456917</v>
      </c>
      <c r="BU92" s="37">
        <f t="shared" si="520"/>
        <v>-51285.258726573076</v>
      </c>
      <c r="BV92" s="37">
        <f t="shared" si="520"/>
        <v>286902.36812499998</v>
      </c>
      <c r="BW92" s="156">
        <f t="shared" si="520"/>
        <v>-28600.990716097134</v>
      </c>
      <c r="BX92" s="37">
        <f t="shared" si="520"/>
        <v>-25627.405009638718</v>
      </c>
      <c r="BY92" s="37">
        <f t="shared" si="520"/>
        <v>-47617.45466959184</v>
      </c>
      <c r="BZ92" s="37">
        <f t="shared" si="520"/>
        <v>556988.40599324473</v>
      </c>
      <c r="CA92" s="37">
        <f t="shared" si="520"/>
        <v>573751.28684445482</v>
      </c>
      <c r="CB92" s="37">
        <f t="shared" si="520"/>
        <v>172429.05418218355</v>
      </c>
      <c r="CC92" s="37">
        <f t="shared" si="520"/>
        <v>-201383.435410718</v>
      </c>
      <c r="CD92" s="37">
        <f t="shared" si="520"/>
        <v>307483.23338020802</v>
      </c>
      <c r="CE92" s="37">
        <f t="shared" si="520"/>
        <v>-35851.069610178107</v>
      </c>
      <c r="CF92" s="37">
        <f t="shared" si="520"/>
        <v>233243.7507374225</v>
      </c>
      <c r="CG92" s="37">
        <f t="shared" si="520"/>
        <v>-62550.953117123034</v>
      </c>
      <c r="CH92" s="37">
        <f t="shared" si="520"/>
        <v>327435.26444791665</v>
      </c>
      <c r="CI92" s="156">
        <f t="shared" si="520"/>
        <v>-37257.088356510569</v>
      </c>
      <c r="CJ92" s="37">
        <f t="shared" si="520"/>
        <v>-28653.263324755666</v>
      </c>
      <c r="CK92" s="37">
        <f t="shared" si="520"/>
        <v>-56887.635983159533</v>
      </c>
      <c r="CL92" s="37">
        <f t="shared" si="520"/>
        <v>642297.47714033152</v>
      </c>
      <c r="CM92" s="37">
        <f t="shared" si="520"/>
        <v>650861.48049566709</v>
      </c>
      <c r="CN92" s="37">
        <f t="shared" si="520"/>
        <v>179898.61721902559</v>
      </c>
      <c r="CO92" s="37">
        <f t="shared" si="520"/>
        <v>-244813.21689531475</v>
      </c>
      <c r="CP92" s="37">
        <f t="shared" si="520"/>
        <v>347550.89700120955</v>
      </c>
      <c r="CQ92" s="37">
        <f t="shared" si="520"/>
        <v>-39776.419756188756</v>
      </c>
      <c r="CR92" s="37">
        <f t="shared" si="520"/>
        <v>255134.89759470432</v>
      </c>
      <c r="CS92" s="37">
        <f t="shared" si="520"/>
        <v>-73514.122533967136</v>
      </c>
      <c r="CT92" s="37">
        <f t="shared" si="520"/>
        <v>438989.55831531249</v>
      </c>
      <c r="CU92" s="156">
        <f t="shared" si="520"/>
        <v>-42967.103940221554</v>
      </c>
      <c r="CV92" s="37">
        <f t="shared" si="520"/>
        <v>-34014.601884640419</v>
      </c>
      <c r="CW92" s="37">
        <f t="shared" ref="CW92:DG92" si="521">CW82+CW91</f>
        <v>-71087.990207645242</v>
      </c>
      <c r="CX92" s="37">
        <f t="shared" si="521"/>
        <v>855100.51619671856</v>
      </c>
      <c r="CY92" s="37">
        <f t="shared" si="521"/>
        <v>877286.09789088799</v>
      </c>
      <c r="CZ92" s="37">
        <f t="shared" si="521"/>
        <v>263002.39379508613</v>
      </c>
      <c r="DA92" s="37">
        <f t="shared" si="521"/>
        <v>-303708.56634783931</v>
      </c>
      <c r="DB92" s="37">
        <f t="shared" si="521"/>
        <v>472828.5800228162</v>
      </c>
      <c r="DC92" s="37">
        <f t="shared" si="521"/>
        <v>-50492.527423931781</v>
      </c>
      <c r="DD92" s="37">
        <f t="shared" si="521"/>
        <v>358174.11926468456</v>
      </c>
      <c r="DE92" s="37">
        <f t="shared" si="521"/>
        <v>-91280.655896154742</v>
      </c>
      <c r="DF92" s="37">
        <f t="shared" si="521"/>
        <v>475579.64266544482</v>
      </c>
      <c r="DG92" s="37">
        <f t="shared" si="521"/>
        <v>-51066.950791196068</v>
      </c>
    </row>
    <row r="93" spans="1:111" s="256" customFormat="1" x14ac:dyDescent="0.25">
      <c r="B93" s="257" t="s">
        <v>285</v>
      </c>
      <c r="C93" s="257"/>
      <c r="D93" s="258"/>
      <c r="E93" s="258">
        <f>+E83+E91</f>
        <v>0</v>
      </c>
      <c r="F93" s="258">
        <f t="shared" ref="F93:BQ93" si="522">+F83+F91</f>
        <v>0</v>
      </c>
      <c r="G93" s="258">
        <f t="shared" si="522"/>
        <v>0</v>
      </c>
      <c r="H93" s="258">
        <f t="shared" si="522"/>
        <v>0</v>
      </c>
      <c r="I93" s="258">
        <f t="shared" si="522"/>
        <v>0</v>
      </c>
      <c r="J93" s="258">
        <f t="shared" si="522"/>
        <v>0</v>
      </c>
      <c r="K93" s="258">
        <f t="shared" si="522"/>
        <v>0</v>
      </c>
      <c r="L93" s="258">
        <f t="shared" si="522"/>
        <v>0</v>
      </c>
      <c r="M93" s="258">
        <f t="shared" si="522"/>
        <v>0</v>
      </c>
      <c r="N93" s="258">
        <f t="shared" si="522"/>
        <v>0</v>
      </c>
      <c r="O93" s="258">
        <f t="shared" si="522"/>
        <v>0</v>
      </c>
      <c r="P93" s="258">
        <f t="shared" si="522"/>
        <v>-1759.16</v>
      </c>
      <c r="Q93" s="258">
        <f t="shared" si="522"/>
        <v>-467.18</v>
      </c>
      <c r="R93" s="258">
        <f t="shared" si="522"/>
        <v>-1525.78</v>
      </c>
      <c r="S93" s="258">
        <f t="shared" si="522"/>
        <v>-598.99</v>
      </c>
      <c r="T93" s="258">
        <f t="shared" si="522"/>
        <v>-2060.8900000000003</v>
      </c>
      <c r="U93" s="258">
        <f t="shared" si="522"/>
        <v>-3880.07</v>
      </c>
      <c r="V93" s="258">
        <f t="shared" si="522"/>
        <v>-2030.9500000000003</v>
      </c>
      <c r="W93" s="258">
        <f t="shared" si="522"/>
        <v>6092.9661538461523</v>
      </c>
      <c r="X93" s="258">
        <f t="shared" si="522"/>
        <v>-1930.229230769231</v>
      </c>
      <c r="Y93" s="258">
        <f t="shared" si="522"/>
        <v>12023.533076923068</v>
      </c>
      <c r="Z93" s="258">
        <f t="shared" si="522"/>
        <v>22605.471538461512</v>
      </c>
      <c r="AA93" s="258">
        <f t="shared" si="522"/>
        <v>54241.216923077023</v>
      </c>
      <c r="AB93" s="258">
        <f t="shared" si="522"/>
        <v>19924.140821314319</v>
      </c>
      <c r="AC93" s="258">
        <f t="shared" si="522"/>
        <v>-1987.7999553117143</v>
      </c>
      <c r="AD93" s="258">
        <f t="shared" si="522"/>
        <v>33112.876700380119</v>
      </c>
      <c r="AE93" s="258">
        <f t="shared" si="522"/>
        <v>25755.854280799766</v>
      </c>
      <c r="AF93" s="258">
        <f t="shared" ref="AF93:AG93" si="523">+AF83+AF91</f>
        <v>-21967.79</v>
      </c>
      <c r="AG93" s="258">
        <f t="shared" si="523"/>
        <v>-30499.549999999996</v>
      </c>
      <c r="AH93" s="258">
        <f t="shared" ref="AH93:AI93" si="524">+AH83+AH91</f>
        <v>-4999.88</v>
      </c>
      <c r="AI93" s="258">
        <f t="shared" si="524"/>
        <v>1880.1499999999996</v>
      </c>
      <c r="AJ93" s="258">
        <f t="shared" ref="AJ93:AK93" si="525">+AJ83+AJ91</f>
        <v>10865.740000000002</v>
      </c>
      <c r="AK93" s="258">
        <f t="shared" si="525"/>
        <v>1556.6999999999989</v>
      </c>
      <c r="AL93" s="258">
        <f t="shared" ref="AL93:AM93" si="526">+AL83+AL91</f>
        <v>-2582.5399999999986</v>
      </c>
      <c r="AM93" s="258">
        <f t="shared" si="526"/>
        <v>-3801.9600000000009</v>
      </c>
      <c r="AN93" s="258">
        <f t="shared" ref="AN93" si="527">+AN83+AN91</f>
        <v>8443.7600000000093</v>
      </c>
      <c r="AO93" s="258">
        <f t="shared" ref="AO93:AP93" si="528">+AO83+AO91</f>
        <v>-11660.26</v>
      </c>
      <c r="AP93" s="258">
        <f t="shared" si="528"/>
        <v>-9667.4699999999993</v>
      </c>
      <c r="AQ93" s="258">
        <f t="shared" ref="AQ93:AR93" si="529">+AQ83+AQ91</f>
        <v>-7904.5399999999991</v>
      </c>
      <c r="AR93" s="258">
        <f t="shared" si="529"/>
        <v>-6085.0099999999984</v>
      </c>
      <c r="AS93" s="259">
        <f t="shared" ref="AS93" si="530">+AS83+AS91</f>
        <v>18466.170000000006</v>
      </c>
      <c r="AT93" s="258">
        <f t="shared" ref="AT93" si="531">+AT83+AT91</f>
        <v>-9071.9</v>
      </c>
      <c r="AU93" s="258">
        <f t="shared" si="522"/>
        <v>-8011.9000000000015</v>
      </c>
      <c r="AV93" s="258">
        <f t="shared" si="522"/>
        <v>-7721.9000000000015</v>
      </c>
      <c r="AW93" s="258">
        <f t="shared" si="522"/>
        <v>-7947.9000000000015</v>
      </c>
      <c r="AX93" s="258">
        <f t="shared" si="522"/>
        <v>-8470.69</v>
      </c>
      <c r="AY93" s="259">
        <f t="shared" si="522"/>
        <v>-6680.013414821984</v>
      </c>
      <c r="AZ93" s="258">
        <f t="shared" si="522"/>
        <v>-17559.165983304931</v>
      </c>
      <c r="BA93" s="258">
        <f t="shared" si="522"/>
        <v>3125.8851243633399</v>
      </c>
      <c r="BB93" s="258">
        <f t="shared" si="522"/>
        <v>-14373.78701042461</v>
      </c>
      <c r="BC93" s="258">
        <f t="shared" si="522"/>
        <v>57766.27409151895</v>
      </c>
      <c r="BD93" s="258">
        <f t="shared" si="522"/>
        <v>113754.84212345289</v>
      </c>
      <c r="BE93" s="258">
        <f t="shared" si="522"/>
        <v>72171.388837761348</v>
      </c>
      <c r="BF93" s="258">
        <f t="shared" si="522"/>
        <v>43911.763047542874</v>
      </c>
      <c r="BG93" s="258">
        <f t="shared" si="522"/>
        <v>-1004.184136874479</v>
      </c>
      <c r="BH93" s="258">
        <f t="shared" si="522"/>
        <v>80360.266966920084</v>
      </c>
      <c r="BI93" s="258">
        <f t="shared" si="522"/>
        <v>8477.1920205331771</v>
      </c>
      <c r="BJ93" s="258">
        <f t="shared" si="522"/>
        <v>-13639.960833333338</v>
      </c>
      <c r="BK93" s="259">
        <f t="shared" si="522"/>
        <v>-7220.2057118704906</v>
      </c>
      <c r="BL93" s="258">
        <f t="shared" si="522"/>
        <v>-17557.229264926151</v>
      </c>
      <c r="BM93" s="258">
        <f t="shared" si="522"/>
        <v>31182.503615011352</v>
      </c>
      <c r="BN93" s="258">
        <f t="shared" si="522"/>
        <v>-12426.643935437311</v>
      </c>
      <c r="BO93" s="258">
        <f t="shared" si="522"/>
        <v>174006.51492961586</v>
      </c>
      <c r="BP93" s="258">
        <f t="shared" si="522"/>
        <v>322583.99181264412</v>
      </c>
      <c r="BQ93" s="258">
        <f t="shared" si="522"/>
        <v>212731.54126984617</v>
      </c>
      <c r="BR93" s="258">
        <f t="shared" ref="BR93:DG93" si="532">+BR83+BR91</f>
        <v>135503.78621527817</v>
      </c>
      <c r="BS93" s="258">
        <f t="shared" si="532"/>
        <v>17021.323535793032</v>
      </c>
      <c r="BT93" s="258">
        <f t="shared" si="532"/>
        <v>228104.89640565883</v>
      </c>
      <c r="BU93" s="258">
        <f t="shared" si="532"/>
        <v>41570.501545052924</v>
      </c>
      <c r="BV93" s="258">
        <f t="shared" si="532"/>
        <v>-15097.631875000006</v>
      </c>
      <c r="BW93" s="259">
        <f t="shared" si="532"/>
        <v>-4821.4198635468347</v>
      </c>
      <c r="BX93" s="258">
        <f t="shared" si="532"/>
        <v>-23084.476394471134</v>
      </c>
      <c r="BY93" s="258">
        <f t="shared" si="532"/>
        <v>49368.675480818565</v>
      </c>
      <c r="BZ93" s="258">
        <f t="shared" si="532"/>
        <v>-16298.529451593862</v>
      </c>
      <c r="CA93" s="258">
        <f t="shared" si="532"/>
        <v>266611.71190108312</v>
      </c>
      <c r="CB93" s="258">
        <f t="shared" si="532"/>
        <v>493311.08062722231</v>
      </c>
      <c r="CC93" s="258">
        <f t="shared" si="532"/>
        <v>325856.66364874068</v>
      </c>
      <c r="CD93" s="258">
        <f t="shared" si="532"/>
        <v>208144.54327737776</v>
      </c>
      <c r="CE93" s="258">
        <f t="shared" si="532"/>
        <v>27593.151898929147</v>
      </c>
      <c r="CF93" s="258">
        <f t="shared" si="532"/>
        <v>348127.23375891766</v>
      </c>
      <c r="CG93" s="258">
        <f t="shared" si="532"/>
        <v>64855.78772068939</v>
      </c>
      <c r="CH93" s="258">
        <f t="shared" si="532"/>
        <v>-20964.735552083333</v>
      </c>
      <c r="CI93" s="259">
        <f t="shared" si="532"/>
        <v>-9565.3795773000566</v>
      </c>
      <c r="CJ93" s="258">
        <f t="shared" si="532"/>
        <v>-25722.430344562519</v>
      </c>
      <c r="CK93" s="258">
        <f t="shared" si="532"/>
        <v>54774.344529177877</v>
      </c>
      <c r="CL93" s="258">
        <f t="shared" si="532"/>
        <v>-18338.312863889107</v>
      </c>
      <c r="CM93" s="258">
        <f t="shared" si="532"/>
        <v>296870.10598466243</v>
      </c>
      <c r="CN93" s="258">
        <f t="shared" si="532"/>
        <v>549610.10532517196</v>
      </c>
      <c r="CO93" s="258">
        <f t="shared" si="532"/>
        <v>362955.0328681292</v>
      </c>
      <c r="CP93" s="258">
        <f t="shared" si="532"/>
        <v>233058.84739116789</v>
      </c>
      <c r="CQ93" s="258">
        <f t="shared" si="532"/>
        <v>31827.089779731468</v>
      </c>
      <c r="CR93" s="258">
        <f t="shared" si="532"/>
        <v>388844.67463642755</v>
      </c>
      <c r="CS93" s="258">
        <f t="shared" si="532"/>
        <v>73327.544872325147</v>
      </c>
      <c r="CT93" s="258">
        <f t="shared" si="532"/>
        <v>-22210.441684687503</v>
      </c>
      <c r="CU93" s="259">
        <f t="shared" si="532"/>
        <v>-6245.7246736194065</v>
      </c>
      <c r="CV93" s="258">
        <f t="shared" si="532"/>
        <v>-30135.558234384785</v>
      </c>
      <c r="CW93" s="258">
        <f t="shared" si="532"/>
        <v>78470.513411624866</v>
      </c>
      <c r="CX93" s="258">
        <f t="shared" si="532"/>
        <v>-20788.029397102851</v>
      </c>
      <c r="CY93" s="258">
        <f t="shared" si="532"/>
        <v>408768.10221455834</v>
      </c>
      <c r="CZ93" s="258">
        <f t="shared" si="532"/>
        <v>754097.01040616224</v>
      </c>
      <c r="DA93" s="258">
        <f t="shared" si="532"/>
        <v>499172.94069201284</v>
      </c>
      <c r="DB93" s="258">
        <f t="shared" si="532"/>
        <v>321294.98495070217</v>
      </c>
      <c r="DC93" s="258">
        <f t="shared" si="532"/>
        <v>46500.352844197943</v>
      </c>
      <c r="DD93" s="258">
        <f t="shared" si="532"/>
        <v>533237.05946696538</v>
      </c>
      <c r="DE93" s="258">
        <f t="shared" si="532"/>
        <v>103068.60978864384</v>
      </c>
      <c r="DF93" s="258">
        <f t="shared" si="532"/>
        <v>-27020.357334555207</v>
      </c>
      <c r="DG93" s="258">
        <f t="shared" si="532"/>
        <v>-10734.782256451508</v>
      </c>
    </row>
    <row r="94" spans="1:111" x14ac:dyDescent="0.25">
      <c r="B94" s="1"/>
      <c r="C94" s="1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157"/>
      <c r="AT94" s="39"/>
      <c r="AU94" s="39"/>
      <c r="AV94" s="39"/>
      <c r="AW94" s="39"/>
      <c r="AX94" s="39"/>
      <c r="AY94" s="157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157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157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157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157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</row>
    <row r="95" spans="1:111" x14ac:dyDescent="0.25">
      <c r="A95" s="15"/>
      <c r="B95" s="47"/>
      <c r="C95" s="47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160"/>
      <c r="AT95" s="48"/>
      <c r="AU95" s="48"/>
      <c r="AV95" s="48"/>
      <c r="AW95" s="48"/>
      <c r="AX95" s="48"/>
      <c r="AY95" s="160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160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160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160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160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</row>
    <row r="96" spans="1:111" s="5" customFormat="1" x14ac:dyDescent="0.25">
      <c r="A96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/>
      <c r="O96" s="2"/>
      <c r="P96" s="2"/>
      <c r="Q96" s="2"/>
      <c r="R96" s="2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 s="154"/>
      <c r="AT96"/>
      <c r="AU96"/>
      <c r="AV96"/>
      <c r="AW96"/>
      <c r="AX96"/>
      <c r="AY96" s="154"/>
      <c r="AZ96"/>
      <c r="BA96"/>
      <c r="BB96"/>
      <c r="BC96"/>
      <c r="BD96"/>
      <c r="BE96"/>
      <c r="BF96"/>
      <c r="BG96"/>
      <c r="BH96"/>
      <c r="BI96"/>
      <c r="BJ96"/>
      <c r="BK96" s="154"/>
      <c r="BL96"/>
      <c r="BM96"/>
      <c r="BN96"/>
      <c r="BO96"/>
      <c r="BP96"/>
      <c r="BQ96"/>
      <c r="BR96"/>
      <c r="BS96"/>
      <c r="BT96"/>
      <c r="BU96"/>
      <c r="BV96"/>
      <c r="BW96" s="154"/>
      <c r="BX96"/>
      <c r="BY96"/>
      <c r="BZ96"/>
      <c r="CA96"/>
      <c r="CB96"/>
      <c r="CC96"/>
      <c r="CD96"/>
      <c r="CE96"/>
      <c r="CF96"/>
      <c r="CG96"/>
      <c r="CH96"/>
      <c r="CI96" s="154"/>
      <c r="CJ96"/>
      <c r="CK96"/>
      <c r="CL96"/>
      <c r="CM96"/>
      <c r="CN96"/>
      <c r="CO96"/>
      <c r="CP96"/>
      <c r="CQ96"/>
      <c r="CR96"/>
      <c r="CS96"/>
      <c r="CT96"/>
      <c r="CU96" s="154"/>
      <c r="CV96"/>
      <c r="CW96"/>
      <c r="CX96"/>
      <c r="CY96"/>
      <c r="CZ96"/>
      <c r="DA96"/>
      <c r="DB96"/>
      <c r="DC96"/>
      <c r="DD96"/>
      <c r="DE96"/>
      <c r="DF96"/>
      <c r="DG96"/>
    </row>
    <row r="97" spans="1:111" s="45" customFormat="1" x14ac:dyDescent="0.25">
      <c r="A97"/>
      <c r="B97" s="1" t="s">
        <v>13</v>
      </c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/>
      <c r="O97" s="2"/>
      <c r="P97" s="2"/>
      <c r="Q97" s="2"/>
      <c r="R97" s="2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 s="154"/>
      <c r="AT97"/>
      <c r="AU97"/>
      <c r="AV97"/>
      <c r="AW97"/>
      <c r="AX97"/>
      <c r="AY97" s="154"/>
      <c r="AZ97"/>
      <c r="BA97"/>
      <c r="BB97"/>
      <c r="BC97"/>
      <c r="BD97"/>
      <c r="BE97"/>
      <c r="BF97"/>
      <c r="BG97"/>
      <c r="BH97"/>
      <c r="BI97"/>
      <c r="BJ97"/>
      <c r="BK97" s="154"/>
      <c r="BL97"/>
      <c r="BM97"/>
      <c r="BN97"/>
      <c r="BO97"/>
      <c r="BP97"/>
      <c r="BQ97"/>
      <c r="BR97"/>
      <c r="BS97"/>
      <c r="BT97"/>
      <c r="BU97"/>
      <c r="BV97"/>
      <c r="BW97" s="154"/>
      <c r="BX97"/>
      <c r="BY97"/>
      <c r="BZ97"/>
      <c r="CA97"/>
      <c r="CB97"/>
      <c r="CC97"/>
      <c r="CD97"/>
      <c r="CE97"/>
      <c r="CF97"/>
      <c r="CG97"/>
      <c r="CH97"/>
      <c r="CI97" s="154"/>
      <c r="CJ97"/>
      <c r="CK97"/>
      <c r="CL97"/>
      <c r="CM97"/>
      <c r="CN97"/>
      <c r="CO97"/>
      <c r="CP97"/>
      <c r="CQ97"/>
      <c r="CR97"/>
      <c r="CS97"/>
      <c r="CT97"/>
      <c r="CU97" s="154"/>
      <c r="CV97"/>
      <c r="CW97"/>
      <c r="CX97"/>
      <c r="CY97"/>
      <c r="CZ97"/>
      <c r="DA97"/>
      <c r="DB97"/>
      <c r="DC97"/>
      <c r="DD97"/>
      <c r="DE97"/>
      <c r="DF97"/>
      <c r="DG97"/>
    </row>
    <row r="98" spans="1:111" x14ac:dyDescent="0.25">
      <c r="B98" s="1" t="s">
        <v>14</v>
      </c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O98" s="2"/>
      <c r="P98" s="2"/>
      <c r="Q98" s="2"/>
      <c r="R98" s="2"/>
      <c r="AS98" s="154"/>
      <c r="AY98" s="154"/>
      <c r="BK98" s="154"/>
      <c r="BW98" s="154"/>
      <c r="CI98" s="154"/>
      <c r="CU98" s="154"/>
    </row>
    <row r="99" spans="1:111" x14ac:dyDescent="0.25">
      <c r="B99" s="1" t="s">
        <v>15</v>
      </c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O99" s="2"/>
      <c r="P99" s="2"/>
      <c r="Q99" s="2"/>
      <c r="R99" s="2"/>
      <c r="AS99" s="154"/>
      <c r="AY99" s="154"/>
      <c r="BK99" s="154"/>
      <c r="BW99" s="154"/>
      <c r="CI99" s="154"/>
      <c r="CU99" s="154"/>
    </row>
    <row r="100" spans="1:111" s="3" customFormat="1" x14ac:dyDescent="0.25">
      <c r="A100"/>
      <c r="B100" s="1" t="s">
        <v>254</v>
      </c>
      <c r="C100" s="1"/>
      <c r="D100" s="91"/>
      <c r="E100" s="91">
        <v>0</v>
      </c>
      <c r="F100" s="91">
        <v>0</v>
      </c>
      <c r="G100" s="91">
        <v>0</v>
      </c>
      <c r="H100" s="91">
        <v>0</v>
      </c>
      <c r="I100" s="91">
        <v>0</v>
      </c>
      <c r="J100" s="90">
        <v>0</v>
      </c>
      <c r="K100" s="90">
        <v>0</v>
      </c>
      <c r="L100" s="90">
        <v>0</v>
      </c>
      <c r="M100" s="91">
        <v>0</v>
      </c>
      <c r="N100">
        <v>0</v>
      </c>
      <c r="O100">
        <v>0</v>
      </c>
      <c r="P100" s="91">
        <v>0</v>
      </c>
      <c r="Q100" s="91">
        <v>0</v>
      </c>
      <c r="R100" s="91">
        <v>0</v>
      </c>
      <c r="S100" s="91">
        <v>0</v>
      </c>
      <c r="T100" s="91">
        <v>0</v>
      </c>
      <c r="U100" s="91">
        <v>0</v>
      </c>
      <c r="V100" s="91">
        <v>0</v>
      </c>
      <c r="W100" s="91">
        <v>0</v>
      </c>
      <c r="X100" s="91">
        <v>0</v>
      </c>
      <c r="Y100" s="91">
        <v>0</v>
      </c>
      <c r="Z100" s="91">
        <v>0</v>
      </c>
      <c r="AA100" s="91">
        <v>0</v>
      </c>
      <c r="AB100" s="91">
        <v>0</v>
      </c>
      <c r="AC100" s="91">
        <v>0</v>
      </c>
      <c r="AD100" s="91">
        <v>0</v>
      </c>
      <c r="AE100" s="91">
        <v>0</v>
      </c>
      <c r="AF100" s="91">
        <v>0</v>
      </c>
      <c r="AG100" s="91">
        <v>0</v>
      </c>
      <c r="AH100" s="91">
        <v>0</v>
      </c>
      <c r="AI100" s="91">
        <v>0</v>
      </c>
      <c r="AJ100" s="91">
        <v>0</v>
      </c>
      <c r="AK100" s="91">
        <v>0</v>
      </c>
      <c r="AL100" s="91">
        <v>0</v>
      </c>
      <c r="AM100" s="91">
        <v>0</v>
      </c>
      <c r="AN100" s="91">
        <v>0</v>
      </c>
      <c r="AO100" s="91">
        <v>0</v>
      </c>
      <c r="AP100" s="91">
        <v>0</v>
      </c>
      <c r="AQ100" s="91">
        <v>0</v>
      </c>
      <c r="AR100" s="91">
        <v>0</v>
      </c>
      <c r="AS100" s="155">
        <v>0</v>
      </c>
      <c r="AT100"/>
      <c r="AU100"/>
      <c r="AV100"/>
      <c r="AW100"/>
      <c r="AX100"/>
      <c r="AY100" s="154"/>
      <c r="AZ100"/>
      <c r="BA100"/>
      <c r="BB100"/>
      <c r="BC100"/>
      <c r="BD100"/>
      <c r="BE100"/>
      <c r="BF100"/>
      <c r="BG100"/>
      <c r="BH100"/>
      <c r="BI100"/>
      <c r="BJ100"/>
      <c r="BK100" s="154"/>
      <c r="BL100"/>
      <c r="BM100"/>
      <c r="BN100"/>
      <c r="BO100"/>
      <c r="BP100"/>
      <c r="BQ100"/>
      <c r="BR100"/>
      <c r="BS100"/>
      <c r="BT100"/>
      <c r="BU100"/>
      <c r="BV100"/>
      <c r="BW100" s="154"/>
      <c r="BX100"/>
      <c r="BY100"/>
      <c r="BZ100"/>
      <c r="CA100"/>
      <c r="CB100"/>
      <c r="CC100"/>
      <c r="CD100"/>
      <c r="CE100"/>
      <c r="CF100"/>
      <c r="CG100"/>
      <c r="CH100"/>
      <c r="CI100" s="154"/>
      <c r="CJ100"/>
      <c r="CK100"/>
      <c r="CL100"/>
      <c r="CM100"/>
      <c r="CN100"/>
      <c r="CO100"/>
      <c r="CP100"/>
      <c r="CQ100"/>
      <c r="CR100"/>
      <c r="CS100"/>
      <c r="CT100"/>
      <c r="CU100" s="154"/>
      <c r="CV100"/>
      <c r="CW100"/>
      <c r="CX100"/>
      <c r="CY100"/>
      <c r="CZ100"/>
      <c r="DA100"/>
      <c r="DB100"/>
      <c r="DC100"/>
      <c r="DD100"/>
      <c r="DE100"/>
      <c r="DF100"/>
      <c r="DG100"/>
    </row>
    <row r="101" spans="1:111" x14ac:dyDescent="0.25">
      <c r="B101" s="1" t="s">
        <v>459</v>
      </c>
      <c r="C101" s="1"/>
      <c r="D101" s="91"/>
      <c r="E101" s="91"/>
      <c r="F101" s="91"/>
      <c r="G101" s="91"/>
      <c r="H101" s="91"/>
      <c r="I101" s="91"/>
      <c r="J101" s="90"/>
      <c r="K101" s="90"/>
      <c r="L101" s="90"/>
      <c r="M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>
        <v>20197.939999999999</v>
      </c>
      <c r="AC101" s="91">
        <v>71721.929999999993</v>
      </c>
      <c r="AD101" s="91">
        <v>27555.54</v>
      </c>
      <c r="AE101" s="91">
        <v>12418.3</v>
      </c>
      <c r="AF101" s="91">
        <v>3011.79</v>
      </c>
      <c r="AG101" s="91">
        <v>3957.08</v>
      </c>
      <c r="AH101" s="91">
        <v>7572.38</v>
      </c>
      <c r="AI101" s="91">
        <v>3227.87</v>
      </c>
      <c r="AJ101" s="91">
        <v>744.75</v>
      </c>
      <c r="AK101" s="91">
        <v>379.76</v>
      </c>
      <c r="AL101" s="91">
        <v>664.77</v>
      </c>
      <c r="AM101" s="91">
        <v>2108.7800000000002</v>
      </c>
      <c r="AN101" s="91">
        <v>1308.3</v>
      </c>
      <c r="AO101" s="91">
        <v>1100</v>
      </c>
      <c r="AP101" s="91">
        <v>660.01</v>
      </c>
      <c r="AQ101" s="91">
        <v>20.02</v>
      </c>
      <c r="AR101" s="91">
        <v>5315.32</v>
      </c>
      <c r="AS101" s="155">
        <v>21628.080000000002</v>
      </c>
      <c r="AY101" s="154"/>
      <c r="BK101" s="154"/>
      <c r="BW101" s="154"/>
      <c r="CI101" s="154"/>
      <c r="CU101" s="154"/>
    </row>
    <row r="102" spans="1:111" x14ac:dyDescent="0.25">
      <c r="B102" s="1" t="s">
        <v>460</v>
      </c>
      <c r="C102" s="1"/>
      <c r="D102" s="91"/>
      <c r="E102" s="91">
        <v>0</v>
      </c>
      <c r="F102" s="91">
        <v>0</v>
      </c>
      <c r="G102" s="91">
        <v>100</v>
      </c>
      <c r="H102" s="91">
        <v>100</v>
      </c>
      <c r="I102" s="91">
        <v>100</v>
      </c>
      <c r="J102" s="90">
        <v>1600</v>
      </c>
      <c r="K102" s="90">
        <v>1399</v>
      </c>
      <c r="L102" s="90">
        <v>280.5</v>
      </c>
      <c r="M102" s="91">
        <v>329.2</v>
      </c>
      <c r="N102">
        <v>118.2</v>
      </c>
      <c r="O102">
        <v>307.81</v>
      </c>
      <c r="P102" s="91">
        <v>1685.41</v>
      </c>
      <c r="Q102" s="91">
        <v>1215.79</v>
      </c>
      <c r="R102" s="91">
        <v>888.6</v>
      </c>
      <c r="S102" s="91">
        <v>621.97</v>
      </c>
      <c r="T102" s="91">
        <v>300.05</v>
      </c>
      <c r="U102" s="91">
        <v>86.05</v>
      </c>
      <c r="V102" s="91">
        <v>735.05</v>
      </c>
      <c r="W102" s="91">
        <v>342.86</v>
      </c>
      <c r="X102" s="91">
        <v>287.63</v>
      </c>
      <c r="Y102" s="91">
        <v>43050.05</v>
      </c>
      <c r="Z102" s="91">
        <v>68860.100000000006</v>
      </c>
      <c r="AA102" s="91">
        <v>119649.23</v>
      </c>
      <c r="AB102" s="91"/>
      <c r="AC102" s="91">
        <v>0</v>
      </c>
      <c r="AD102" s="91">
        <v>0</v>
      </c>
      <c r="AE102" s="91">
        <v>0</v>
      </c>
      <c r="AF102" s="91">
        <v>5539.92</v>
      </c>
      <c r="AG102" s="91">
        <v>5539.92</v>
      </c>
      <c r="AH102" s="91">
        <v>4684.99</v>
      </c>
      <c r="AI102" s="91">
        <v>9706.3700000000008</v>
      </c>
      <c r="AJ102" s="91">
        <v>30946.17</v>
      </c>
      <c r="AK102" s="91">
        <v>34860.53</v>
      </c>
      <c r="AL102" s="91">
        <v>28835.67</v>
      </c>
      <c r="AM102" s="91">
        <v>37058.550000000003</v>
      </c>
      <c r="AN102" s="91">
        <v>50676.37</v>
      </c>
      <c r="AO102" s="91">
        <v>884.14</v>
      </c>
      <c r="AP102" s="91">
        <v>8439.75</v>
      </c>
      <c r="AQ102" s="91">
        <v>3090.54</v>
      </c>
      <c r="AR102" s="91">
        <v>1476.98</v>
      </c>
      <c r="AS102" s="155">
        <v>1509.38</v>
      </c>
      <c r="AY102" s="154"/>
      <c r="BK102" s="154"/>
      <c r="BW102" s="154"/>
      <c r="CI102" s="154"/>
      <c r="CU102" s="154"/>
    </row>
    <row r="103" spans="1:111" x14ac:dyDescent="0.25">
      <c r="B103" s="1" t="s">
        <v>560</v>
      </c>
      <c r="C103" s="1"/>
      <c r="D103" s="91"/>
      <c r="E103" s="91"/>
      <c r="F103" s="91"/>
      <c r="G103" s="91"/>
      <c r="H103" s="91"/>
      <c r="I103" s="91"/>
      <c r="J103" s="90"/>
      <c r="K103" s="90"/>
      <c r="L103" s="90"/>
      <c r="M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>
        <v>30000.19</v>
      </c>
      <c r="AP103" s="91">
        <v>25000.19</v>
      </c>
      <c r="AQ103" s="91">
        <v>23000.19</v>
      </c>
      <c r="AR103" s="91">
        <v>13500.19</v>
      </c>
      <c r="AS103" s="155">
        <v>12000.19</v>
      </c>
      <c r="AY103" s="154"/>
      <c r="BK103" s="154"/>
      <c r="BW103" s="154"/>
      <c r="CI103" s="154"/>
      <c r="CU103" s="154"/>
    </row>
    <row r="104" spans="1:111" x14ac:dyDescent="0.25">
      <c r="B104" s="1" t="s">
        <v>461</v>
      </c>
      <c r="C104" s="1"/>
      <c r="D104" s="91"/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0">
        <v>0</v>
      </c>
      <c r="K104" s="90">
        <v>0</v>
      </c>
      <c r="L104" s="90">
        <v>0</v>
      </c>
      <c r="M104" s="91">
        <v>0</v>
      </c>
      <c r="N104">
        <v>0</v>
      </c>
      <c r="O104">
        <v>0</v>
      </c>
      <c r="P104" s="91"/>
      <c r="Q104" s="91">
        <v>0</v>
      </c>
      <c r="R104" s="91">
        <v>0</v>
      </c>
      <c r="S104" s="91">
        <v>100</v>
      </c>
      <c r="T104" s="91">
        <v>75085</v>
      </c>
      <c r="U104" s="91">
        <v>71682.509999999995</v>
      </c>
      <c r="V104" s="91">
        <v>71119.87</v>
      </c>
      <c r="W104" s="91">
        <v>50974.17</v>
      </c>
      <c r="X104" s="91">
        <v>48471.17</v>
      </c>
      <c r="Y104" s="91">
        <v>75000</v>
      </c>
      <c r="Z104" s="91">
        <v>75000</v>
      </c>
      <c r="AA104" s="91">
        <v>75000</v>
      </c>
      <c r="AB104" s="91">
        <v>75000</v>
      </c>
      <c r="AC104" s="91">
        <v>75000</v>
      </c>
      <c r="AD104" s="91">
        <v>125000</v>
      </c>
      <c r="AE104" s="91">
        <v>70000</v>
      </c>
      <c r="AF104" s="91">
        <v>45176.93</v>
      </c>
      <c r="AG104" s="91">
        <v>35042.6</v>
      </c>
      <c r="AH104" s="91">
        <v>15042.6</v>
      </c>
      <c r="AI104" s="91">
        <v>7575.3</v>
      </c>
      <c r="AJ104" s="91">
        <v>1575.3</v>
      </c>
      <c r="AK104" s="91">
        <v>1335.3</v>
      </c>
      <c r="AL104" s="91">
        <v>635.29999999999995</v>
      </c>
      <c r="AM104" s="91">
        <v>419.26</v>
      </c>
      <c r="AN104" s="91">
        <v>419.26</v>
      </c>
      <c r="AO104" s="91">
        <v>407.26</v>
      </c>
      <c r="AP104" s="91">
        <v>395.26</v>
      </c>
      <c r="AQ104" s="91">
        <v>72.260000000000005</v>
      </c>
      <c r="AR104" s="91">
        <v>82560.259999999995</v>
      </c>
      <c r="AS104" s="155">
        <v>57560.26</v>
      </c>
      <c r="AT104" s="146">
        <f>+AS104+'Home Builder Revenue Build'!AI71-AT108</f>
        <v>57560.26</v>
      </c>
      <c r="AU104" s="245">
        <f>+AT104+'Home Builder Revenue Build'!AJ71-AU108</f>
        <v>46048.207999999999</v>
      </c>
      <c r="AV104" s="245">
        <f>+AU104+'Home Builder Revenue Build'!AK71-AV108</f>
        <v>36838.566399999996</v>
      </c>
      <c r="AW104" s="245">
        <f>+AV104+'Home Builder Revenue Build'!AL71-AW108</f>
        <v>24950.62324223297</v>
      </c>
      <c r="AX104" s="245">
        <f>+AW104+'Home Builder Revenue Build'!AM71-AX108</f>
        <v>139793.76144097676</v>
      </c>
      <c r="AY104" s="312">
        <f>+AX104+'Home Builder Revenue Build'!AN71-AY108</f>
        <v>139793.76144097676</v>
      </c>
      <c r="AZ104" s="245">
        <f>+AY104+'Home Builder Revenue Build'!AO71-AZ108</f>
        <v>139793.76144097676</v>
      </c>
      <c r="BA104" s="245">
        <f>+AZ104+'Home Builder Revenue Build'!AP71-BA108</f>
        <v>-26790.3179054051</v>
      </c>
      <c r="BB104" s="245">
        <f>+BA104+'Home Builder Revenue Build'!AQ71-BB108</f>
        <v>-79480.266881144868</v>
      </c>
      <c r="BC104" s="245">
        <f>+BB104+'Home Builder Revenue Build'!AR71-BC108</f>
        <v>233019.73311885513</v>
      </c>
      <c r="BD104" s="245">
        <f>+BC104+'Home Builder Revenue Build'!AS71-BD108</f>
        <v>420519.73311885516</v>
      </c>
      <c r="BE104" s="245">
        <f>+BD104+'Home Builder Revenue Build'!AT71-BE108</f>
        <v>420519.73311885516</v>
      </c>
      <c r="BF104" s="245">
        <f>+BE104+'Home Builder Revenue Build'!AU71-BF108</f>
        <v>278528.74892870139</v>
      </c>
      <c r="BG104" s="245">
        <f>+BF104+'Home Builder Revenue Build'!AV71-BG108</f>
        <v>278528.74892870139</v>
      </c>
      <c r="BH104" s="245">
        <f>+BG104+'Home Builder Revenue Build'!AW71-BH108</f>
        <v>466028.74892870139</v>
      </c>
      <c r="BI104" s="245">
        <f>+BH104+'Home Builder Revenue Build'!AX71-BI108</f>
        <v>466028.74892870139</v>
      </c>
      <c r="BJ104" s="245">
        <f>+BI104+'Home Builder Revenue Build'!AY71-BJ108</f>
        <v>581967.36370311026</v>
      </c>
      <c r="BK104" s="312">
        <f>+BJ104+'Home Builder Revenue Build'!AZ71-BK108</f>
        <v>581967.36370311026</v>
      </c>
      <c r="BL104" s="245">
        <f>+BK104+'Home Builder Revenue Build'!BA71-BL108</f>
        <v>581967.36370311026</v>
      </c>
      <c r="BM104" s="245">
        <f>+BL104+'Home Builder Revenue Build'!BB71-BM108</f>
        <v>308465.18696321017</v>
      </c>
      <c r="BN104" s="245">
        <f>+BM104+'Home Builder Revenue Build'!BC71-BN108</f>
        <v>327651.06867283786</v>
      </c>
      <c r="BO104" s="245">
        <f>+BN104+'Home Builder Revenue Build'!BD71-BO108</f>
        <v>865151.06867283792</v>
      </c>
      <c r="BP104" s="245">
        <f>+BO104+'Home Builder Revenue Build'!BE71-BP108</f>
        <v>1187651.0686728379</v>
      </c>
      <c r="BQ104" s="245">
        <f>+BP104+'Home Builder Revenue Build'!BF71-BQ108</f>
        <v>1187651.0686728379</v>
      </c>
      <c r="BR104" s="245">
        <f>+BQ104+'Home Builder Revenue Build'!BG71-BR108</f>
        <v>994515.54569636995</v>
      </c>
      <c r="BS104" s="245">
        <f>+BR104+'Home Builder Revenue Build'!BH71-BS108</f>
        <v>994515.54569636995</v>
      </c>
      <c r="BT104" s="245">
        <f>+BS104+'Home Builder Revenue Build'!BI71-BT108</f>
        <v>1317015.5456963698</v>
      </c>
      <c r="BU104" s="245">
        <f>+BT104+'Home Builder Revenue Build'!BJ71-BU108</f>
        <v>1317015.5456963698</v>
      </c>
      <c r="BV104" s="245">
        <f>+BU104+'Home Builder Revenue Build'!BK71-BV108</f>
        <v>1612015.5456963698</v>
      </c>
      <c r="BW104" s="312">
        <f>+BV104+'Home Builder Revenue Build'!BL71-BW108</f>
        <v>1612015.5456963698</v>
      </c>
      <c r="BX104" s="245">
        <f>+BW104+'Home Builder Revenue Build'!BM71-BX108</f>
        <v>1612015.5456963698</v>
      </c>
      <c r="BY104" s="245">
        <f>+BX104+'Home Builder Revenue Build'!BN71-BY108</f>
        <v>1109399.5113814534</v>
      </c>
      <c r="BZ104" s="245">
        <f>+BY104+'Home Builder Revenue Build'!BO71-BZ108</f>
        <v>1699399.5113814534</v>
      </c>
      <c r="CA104" s="245">
        <f>+BZ104+'Home Builder Revenue Build'!BP71-CA108</f>
        <v>2436899.5113814534</v>
      </c>
      <c r="CB104" s="245">
        <f>+CA104+'Home Builder Revenue Build'!BQ71-CB108</f>
        <v>2879399.5113814534</v>
      </c>
      <c r="CC104" s="245">
        <f>+CB104+'Home Builder Revenue Build'!BR71-CC108</f>
        <v>2879399.5113814534</v>
      </c>
      <c r="CD104" s="245">
        <f>+CC104+'Home Builder Revenue Build'!BS71-CD108</f>
        <v>2427016.4602688653</v>
      </c>
      <c r="CE104" s="245">
        <f>+CD104+'Home Builder Revenue Build'!BT71-CE108</f>
        <v>2427016.4602688653</v>
      </c>
      <c r="CF104" s="245">
        <f>+CE104+'Home Builder Revenue Build'!BU71-CF108</f>
        <v>2869516.4602688653</v>
      </c>
      <c r="CG104" s="245">
        <f>+CF104+'Home Builder Revenue Build'!BV71-CG108</f>
        <v>2869516.4602688653</v>
      </c>
      <c r="CH104" s="245">
        <f>+CG104+'Home Builder Revenue Build'!BW71-CH108</f>
        <v>3209516.4602688653</v>
      </c>
      <c r="CI104" s="312">
        <f>+CH104+'Home Builder Revenue Build'!BX71-CI108</f>
        <v>3209516.4602688653</v>
      </c>
      <c r="CJ104" s="245">
        <f>+CI104+'Home Builder Revenue Build'!BY71-CJ108</f>
        <v>2519840.1011015712</v>
      </c>
      <c r="CK104" s="245">
        <f>+CJ104+'Home Builder Revenue Build'!BZ71-CK108</f>
        <v>2519840.1011015712</v>
      </c>
      <c r="CL104" s="245">
        <f>+CK104+'Home Builder Revenue Build'!CA71-CL108</f>
        <v>3199840.1011015712</v>
      </c>
      <c r="CM104" s="245">
        <f>+CL104+'Home Builder Revenue Build'!CB71-CM108</f>
        <v>4049840.1011015712</v>
      </c>
      <c r="CN104" s="245">
        <f>+CM104+'Home Builder Revenue Build'!CC71-CN108</f>
        <v>4559840.1011015717</v>
      </c>
      <c r="CO104" s="245">
        <f>+CN104+'Home Builder Revenue Build'!CD71-CO108</f>
        <v>4559840.1011015717</v>
      </c>
      <c r="CP104" s="245">
        <f>+CO104+'Home Builder Revenue Build'!CE71-CP108</f>
        <v>3765252.8207750451</v>
      </c>
      <c r="CQ104" s="245">
        <f>+CP104+'Home Builder Revenue Build'!CF71-CQ108</f>
        <v>3765252.8207750451</v>
      </c>
      <c r="CR104" s="245">
        <f>+CQ104+'Home Builder Revenue Build'!CG71-CR108</f>
        <v>4275252.8207750451</v>
      </c>
      <c r="CS104" s="245">
        <f>+CR104+'Home Builder Revenue Build'!CH71-CS108</f>
        <v>4275252.8207750451</v>
      </c>
      <c r="CT104" s="245">
        <f>+CS104+'Home Builder Revenue Build'!CI71-CT108</f>
        <v>4725252.8207750451</v>
      </c>
      <c r="CU104" s="312">
        <f>+CT104+'Home Builder Revenue Build'!CJ71-CU108</f>
        <v>4725252.8207750451</v>
      </c>
      <c r="CV104" s="245">
        <f>+CU104+'Home Builder Revenue Build'!CK71-CV108</f>
        <v>4725252.8207750451</v>
      </c>
      <c r="CW104" s="245">
        <f>+CV104+'Home Builder Revenue Build'!CL71-CW108</f>
        <v>3502951.6025036629</v>
      </c>
      <c r="CX104" s="245">
        <f>+CW104+'Home Builder Revenue Build'!CM71-CX108</f>
        <v>4402951.6025036629</v>
      </c>
      <c r="CY104" s="245">
        <f>+CX104+'Home Builder Revenue Build'!CN71-CY108</f>
        <v>5527951.6025036629</v>
      </c>
      <c r="CZ104" s="245">
        <f>+CY104+'Home Builder Revenue Build'!CO71-CZ108</f>
        <v>6202951.6025036629</v>
      </c>
      <c r="DA104" s="245">
        <f>+CZ104+'Home Builder Revenue Build'!CP71-DA108</f>
        <v>6202951.6025036629</v>
      </c>
      <c r="DB104" s="245">
        <f>+DA104+'Home Builder Revenue Build'!CQ71-DB108</f>
        <v>6877951.6025036629</v>
      </c>
      <c r="DC104" s="245">
        <f>+DB104+'Home Builder Revenue Build'!CR71-DC108</f>
        <v>5121292.919951194</v>
      </c>
      <c r="DD104" s="245">
        <f>+DC104+'Home Builder Revenue Build'!CS71-DD108</f>
        <v>5796292.919951194</v>
      </c>
      <c r="DE104" s="245">
        <f>+DD104+'Home Builder Revenue Build'!CT71-DE108</f>
        <v>5796292.919951194</v>
      </c>
      <c r="DF104" s="245">
        <f>+DE104+'Home Builder Revenue Build'!CU71-DF108</f>
        <v>6286292.919951194</v>
      </c>
      <c r="DG104" s="245">
        <f>+DF104+'Home Builder Revenue Build'!CV71-DG108</f>
        <v>6286292.919951194</v>
      </c>
    </row>
    <row r="105" spans="1:111" x14ac:dyDescent="0.25">
      <c r="B105" s="1"/>
      <c r="C105" s="1"/>
      <c r="D105" s="91"/>
      <c r="E105" s="91"/>
      <c r="F105" s="91"/>
      <c r="G105" s="91"/>
      <c r="H105" s="91"/>
      <c r="I105" s="91"/>
      <c r="J105" s="90"/>
      <c r="K105" s="90"/>
      <c r="L105" s="90"/>
      <c r="M105" s="91"/>
      <c r="P105" s="91">
        <v>0</v>
      </c>
      <c r="Q105" s="91">
        <v>0</v>
      </c>
      <c r="R105" s="91">
        <v>0</v>
      </c>
      <c r="S105" s="91">
        <v>0</v>
      </c>
      <c r="T105" s="91">
        <v>0</v>
      </c>
      <c r="U105" s="91">
        <v>0</v>
      </c>
      <c r="V105" s="91">
        <v>0</v>
      </c>
      <c r="W105" s="91">
        <v>0</v>
      </c>
      <c r="X105" s="91">
        <v>0</v>
      </c>
      <c r="Y105" s="91">
        <v>0</v>
      </c>
      <c r="Z105" s="91">
        <v>0</v>
      </c>
      <c r="AA105" s="91">
        <v>0</v>
      </c>
      <c r="AB105" s="91">
        <v>0</v>
      </c>
      <c r="AC105" s="91">
        <v>0</v>
      </c>
      <c r="AD105" s="91">
        <v>0</v>
      </c>
      <c r="AE105" s="91">
        <v>0</v>
      </c>
      <c r="AF105" s="91">
        <v>0</v>
      </c>
      <c r="AG105" s="91">
        <v>0</v>
      </c>
      <c r="AH105" s="91">
        <v>0</v>
      </c>
      <c r="AI105" s="91">
        <v>0</v>
      </c>
      <c r="AJ105" s="91">
        <v>0</v>
      </c>
      <c r="AK105" s="91">
        <v>0</v>
      </c>
      <c r="AL105" s="91">
        <v>0</v>
      </c>
      <c r="AM105" s="91">
        <v>0</v>
      </c>
      <c r="AN105" s="91">
        <v>0</v>
      </c>
      <c r="AO105" s="91">
        <v>0</v>
      </c>
      <c r="AP105" s="91">
        <v>0</v>
      </c>
      <c r="AQ105" s="91">
        <v>0</v>
      </c>
      <c r="AR105" s="91">
        <v>0</v>
      </c>
      <c r="AS105" s="155">
        <v>0</v>
      </c>
      <c r="AY105" s="154"/>
      <c r="BK105" s="154"/>
      <c r="BW105" s="154"/>
      <c r="CI105" s="154"/>
      <c r="CU105" s="154"/>
    </row>
    <row r="106" spans="1:111" x14ac:dyDescent="0.25">
      <c r="A106" s="3"/>
      <c r="B106" s="4" t="s">
        <v>16</v>
      </c>
      <c r="C106" s="4"/>
      <c r="D106" s="37"/>
      <c r="E106" s="37">
        <f t="shared" ref="E106:N106" si="533">SUM(E100:E105)</f>
        <v>0</v>
      </c>
      <c r="F106" s="37">
        <f t="shared" si="533"/>
        <v>0</v>
      </c>
      <c r="G106" s="37">
        <f t="shared" si="533"/>
        <v>100</v>
      </c>
      <c r="H106" s="37">
        <f t="shared" si="533"/>
        <v>100</v>
      </c>
      <c r="I106" s="37">
        <f t="shared" si="533"/>
        <v>100</v>
      </c>
      <c r="J106" s="37">
        <f t="shared" si="533"/>
        <v>1600</v>
      </c>
      <c r="K106" s="37">
        <f t="shared" si="533"/>
        <v>1399</v>
      </c>
      <c r="L106" s="37">
        <f t="shared" si="533"/>
        <v>280.5</v>
      </c>
      <c r="M106" s="37">
        <f t="shared" si="533"/>
        <v>329.2</v>
      </c>
      <c r="N106" s="37">
        <f t="shared" si="533"/>
        <v>118.2</v>
      </c>
      <c r="O106" s="37">
        <f>SUM(O100:O105)</f>
        <v>307.81</v>
      </c>
      <c r="P106" s="37">
        <f t="shared" ref="P106" si="534">SUM(P100:P105)</f>
        <v>1685.41</v>
      </c>
      <c r="Q106" s="37">
        <f t="shared" ref="Q106:W106" si="535">SUM(Q100:Q105)</f>
        <v>1215.79</v>
      </c>
      <c r="R106" s="37">
        <f t="shared" si="535"/>
        <v>888.6</v>
      </c>
      <c r="S106" s="37">
        <f t="shared" si="535"/>
        <v>721.97</v>
      </c>
      <c r="T106" s="37">
        <f t="shared" si="535"/>
        <v>75385.05</v>
      </c>
      <c r="U106" s="37">
        <f t="shared" si="535"/>
        <v>71768.56</v>
      </c>
      <c r="V106" s="37">
        <f t="shared" si="535"/>
        <v>71854.92</v>
      </c>
      <c r="W106" s="37">
        <f t="shared" si="535"/>
        <v>51317.03</v>
      </c>
      <c r="X106" s="37">
        <f t="shared" ref="X106" si="536">SUM(X100:X105)</f>
        <v>48758.799999999996</v>
      </c>
      <c r="Y106" s="37">
        <f>SUM(Y100:Y105)</f>
        <v>118050.05</v>
      </c>
      <c r="Z106" s="37">
        <f t="shared" ref="Z106:AB106" si="537">SUM(Z100:Z105)</f>
        <v>143860.1</v>
      </c>
      <c r="AA106" s="37">
        <f t="shared" si="537"/>
        <v>194649.22999999998</v>
      </c>
      <c r="AB106" s="37">
        <f t="shared" si="537"/>
        <v>95197.94</v>
      </c>
      <c r="AC106" s="37">
        <f t="shared" ref="AC106" si="538">SUM(AC100:AC105)</f>
        <v>146721.93</v>
      </c>
      <c r="AD106" s="37">
        <f t="shared" ref="AD106:AE106" si="539">SUM(AD100:AD105)</f>
        <v>152555.54</v>
      </c>
      <c r="AE106" s="37">
        <f t="shared" si="539"/>
        <v>82418.3</v>
      </c>
      <c r="AF106" s="37">
        <f t="shared" ref="AF106:AG106" si="540">SUM(AF100:AF105)</f>
        <v>53728.639999999999</v>
      </c>
      <c r="AG106" s="37">
        <f t="shared" si="540"/>
        <v>44539.6</v>
      </c>
      <c r="AH106" s="37">
        <f t="shared" ref="AH106:AI106" si="541">SUM(AH100:AH105)</f>
        <v>27299.97</v>
      </c>
      <c r="AI106" s="37">
        <f t="shared" si="541"/>
        <v>20509.54</v>
      </c>
      <c r="AJ106" s="37">
        <f t="shared" ref="AJ106:AK106" si="542">SUM(AJ100:AJ105)</f>
        <v>33266.22</v>
      </c>
      <c r="AK106" s="37">
        <f t="shared" si="542"/>
        <v>36575.590000000004</v>
      </c>
      <c r="AL106" s="37">
        <f t="shared" ref="AL106:AM106" si="543">SUM(AL100:AL105)</f>
        <v>30135.739999999998</v>
      </c>
      <c r="AM106" s="37">
        <f t="shared" si="543"/>
        <v>39586.590000000004</v>
      </c>
      <c r="AN106" s="37">
        <f>SUM(AN100:AN105)</f>
        <v>52403.930000000008</v>
      </c>
      <c r="AO106" s="37">
        <f t="shared" ref="AO106:AP106" si="544">SUM(AO100:AO105)</f>
        <v>32391.589999999997</v>
      </c>
      <c r="AP106" s="37">
        <f t="shared" si="544"/>
        <v>34495.21</v>
      </c>
      <c r="AQ106" s="37">
        <f t="shared" ref="AQ106:AR106" si="545">SUM(AQ100:AQ105)</f>
        <v>26183.01</v>
      </c>
      <c r="AR106" s="37">
        <f t="shared" si="545"/>
        <v>102852.75</v>
      </c>
      <c r="AS106" s="156">
        <f t="shared" ref="AS106" si="546">SUM(AS100:AS105)</f>
        <v>92697.91</v>
      </c>
      <c r="AT106" s="37">
        <f>AS106+AT192</f>
        <v>25292.840502980252</v>
      </c>
      <c r="AU106" s="37">
        <f t="shared" ref="AU106:BM106" si="547">AT106+AU192</f>
        <v>19558.486480577161</v>
      </c>
      <c r="AV106" s="37">
        <f t="shared" si="547"/>
        <v>9293.6509461461246</v>
      </c>
      <c r="AW106" s="37">
        <f t="shared" si="547"/>
        <v>1457.1420867716879</v>
      </c>
      <c r="AX106" s="37">
        <f t="shared" si="547"/>
        <v>246044.12542485862</v>
      </c>
      <c r="AY106" s="156">
        <f>AX106+AY192</f>
        <v>237868.01771474339</v>
      </c>
      <c r="AZ106" s="37">
        <f>AY106+AZ192</f>
        <v>229010.72288811728</v>
      </c>
      <c r="BA106" s="37">
        <f>AZ106+BA192</f>
        <v>173374.80165576437</v>
      </c>
      <c r="BB106" s="37">
        <f>BA106+BB192</f>
        <v>622212.68666095019</v>
      </c>
      <c r="BC106" s="37">
        <f t="shared" si="547"/>
        <v>1037064.9473861424</v>
      </c>
      <c r="BD106" s="37">
        <f t="shared" si="547"/>
        <v>959947.14232577488</v>
      </c>
      <c r="BE106" s="37">
        <f t="shared" si="547"/>
        <v>525530.52803063951</v>
      </c>
      <c r="BF106" s="37">
        <f t="shared" si="547"/>
        <v>617078.80783541151</v>
      </c>
      <c r="BG106" s="37">
        <f t="shared" si="547"/>
        <v>503199.85479480721</v>
      </c>
      <c r="BH106" s="37">
        <f t="shared" si="547"/>
        <v>593035.57203534059</v>
      </c>
      <c r="BI106" s="37">
        <f t="shared" si="547"/>
        <v>396009.29264157085</v>
      </c>
      <c r="BJ106" s="37">
        <f t="shared" si="547"/>
        <v>794401.58670139965</v>
      </c>
      <c r="BK106" s="156">
        <f t="shared" si="547"/>
        <v>691862.72994532343</v>
      </c>
      <c r="BL106" s="37">
        <f t="shared" si="547"/>
        <v>672860.66864570102</v>
      </c>
      <c r="BM106" s="37">
        <f t="shared" si="547"/>
        <v>589663.61355991685</v>
      </c>
      <c r="BN106" s="37">
        <f t="shared" ref="BN106:CS106" si="548">BM106+BN192</f>
        <v>1386945.9420962904</v>
      </c>
      <c r="BO106" s="37">
        <f t="shared" si="548"/>
        <v>2118323.9758721031</v>
      </c>
      <c r="BP106" s="37">
        <f t="shared" si="548"/>
        <v>2065231.2801861835</v>
      </c>
      <c r="BQ106" s="37">
        <f t="shared" si="548"/>
        <v>1441510.023323596</v>
      </c>
      <c r="BR106" s="37">
        <f t="shared" si="548"/>
        <v>1675160.1280114076</v>
      </c>
      <c r="BS106" s="37">
        <f t="shared" si="548"/>
        <v>1529909.1151652001</v>
      </c>
      <c r="BT106" s="37">
        <f t="shared" si="548"/>
        <v>1714114.3624048014</v>
      </c>
      <c r="BU106" s="37">
        <f t="shared" si="548"/>
        <v>1459422.6131568858</v>
      </c>
      <c r="BV106" s="37">
        <f t="shared" si="548"/>
        <v>2015233.8470490579</v>
      </c>
      <c r="BW106" s="156">
        <f t="shared" si="548"/>
        <v>1746433.0061396328</v>
      </c>
      <c r="BX106" s="37">
        <f t="shared" si="548"/>
        <v>1722674.740925851</v>
      </c>
      <c r="BY106" s="37">
        <f t="shared" si="548"/>
        <v>1607174.5388293227</v>
      </c>
      <c r="BZ106" s="37">
        <f t="shared" si="548"/>
        <v>2709394.5738505442</v>
      </c>
      <c r="CA106" s="37">
        <f t="shared" si="548"/>
        <v>3716072.097074328</v>
      </c>
      <c r="CB106" s="37">
        <f t="shared" si="548"/>
        <v>3671055.1066533793</v>
      </c>
      <c r="CC106" s="37">
        <f t="shared" si="548"/>
        <v>2866313.0849926881</v>
      </c>
      <c r="CD106" s="37">
        <f t="shared" si="548"/>
        <v>3219679.9703633124</v>
      </c>
      <c r="CE106" s="37">
        <f t="shared" si="548"/>
        <v>3038384.7224917021</v>
      </c>
      <c r="CF106" s="37">
        <f t="shared" si="548"/>
        <v>3300220.3019253029</v>
      </c>
      <c r="CG106" s="37">
        <f t="shared" si="548"/>
        <v>2983438.0363397184</v>
      </c>
      <c r="CH106" s="37">
        <f t="shared" si="548"/>
        <v>3621277.93014732</v>
      </c>
      <c r="CI106" s="156">
        <f t="shared" si="548"/>
        <v>3221024.8318071673</v>
      </c>
      <c r="CJ106" s="37">
        <f t="shared" si="548"/>
        <v>3191186.307310082</v>
      </c>
      <c r="CK106" s="37">
        <f t="shared" si="548"/>
        <v>3058767.3624271145</v>
      </c>
      <c r="CL106" s="37">
        <f t="shared" si="548"/>
        <v>4327068.1725428887</v>
      </c>
      <c r="CM106" s="37">
        <f t="shared" si="548"/>
        <v>5486768.5187608898</v>
      </c>
      <c r="CN106" s="37">
        <f t="shared" si="548"/>
        <v>5424047.6939574704</v>
      </c>
      <c r="CO106" s="37">
        <f t="shared" si="548"/>
        <v>4477905.3076951057</v>
      </c>
      <c r="CP106" s="37">
        <f t="shared" si="548"/>
        <v>4878606.8181372788</v>
      </c>
      <c r="CQ106" s="37">
        <f t="shared" si="548"/>
        <v>4666421.6360684456</v>
      </c>
      <c r="CR106" s="37">
        <f t="shared" si="548"/>
        <v>4964464.740781894</v>
      </c>
      <c r="CS106" s="37">
        <f t="shared" si="548"/>
        <v>4587991.4647253072</v>
      </c>
      <c r="CT106" s="37">
        <f t="shared" ref="CT106:DG106" si="549">CS106+CT192</f>
        <v>5441358.0268668272</v>
      </c>
      <c r="CU106" s="156">
        <f t="shared" si="549"/>
        <v>4987175.0287139732</v>
      </c>
      <c r="CV106" s="37">
        <f t="shared" si="549"/>
        <v>4946381.0884758858</v>
      </c>
      <c r="CW106" s="37">
        <f t="shared" si="549"/>
        <v>4771257.9456487633</v>
      </c>
      <c r="CX106" s="37">
        <f t="shared" si="549"/>
        <v>6458829.7090156237</v>
      </c>
      <c r="CY106" s="37">
        <f t="shared" si="549"/>
        <v>7998252.0276965229</v>
      </c>
      <c r="CZ106" s="37">
        <f t="shared" si="549"/>
        <v>7928793.2699532956</v>
      </c>
      <c r="DA106" s="37">
        <f t="shared" si="549"/>
        <v>6705385.7004112098</v>
      </c>
      <c r="DB106" s="37">
        <f t="shared" si="549"/>
        <v>7252073.1312361788</v>
      </c>
      <c r="DC106" s="37">
        <f t="shared" si="549"/>
        <v>6978710.2734594289</v>
      </c>
      <c r="DD106" s="37">
        <f t="shared" si="549"/>
        <v>7382629.6666060248</v>
      </c>
      <c r="DE106" s="37">
        <f t="shared" si="549"/>
        <v>6901825.039594505</v>
      </c>
      <c r="DF106" s="37">
        <f t="shared" si="549"/>
        <v>7821411.5187081872</v>
      </c>
      <c r="DG106" s="37">
        <f t="shared" si="549"/>
        <v>7209863.3187221792</v>
      </c>
    </row>
    <row r="107" spans="1:111" x14ac:dyDescent="0.25">
      <c r="A107" s="45"/>
      <c r="B107" s="746" t="s">
        <v>569</v>
      </c>
      <c r="C107" s="43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747">
        <f>+AN106-AN104</f>
        <v>51984.670000000006</v>
      </c>
      <c r="AO107" s="747">
        <f t="shared" ref="AO107:AQ107" si="550">+AO106-AO104</f>
        <v>31984.329999999998</v>
      </c>
      <c r="AP107" s="747">
        <f t="shared" si="550"/>
        <v>34099.949999999997</v>
      </c>
      <c r="AQ107" s="747">
        <f t="shared" si="550"/>
        <v>26110.75</v>
      </c>
      <c r="AR107" s="747">
        <f t="shared" ref="AR107:AS107" si="551">+AR106-AR104</f>
        <v>20292.490000000005</v>
      </c>
      <c r="AS107" s="748">
        <f t="shared" si="551"/>
        <v>35137.65</v>
      </c>
      <c r="AT107" s="747">
        <f>+AT106-AT104</f>
        <v>-32267.41949701975</v>
      </c>
      <c r="AU107" s="747">
        <f t="shared" ref="AU107:DD107" si="552">+AU106-AU104</f>
        <v>-26489.721519422837</v>
      </c>
      <c r="AV107" s="747">
        <f t="shared" si="552"/>
        <v>-27544.915453853871</v>
      </c>
      <c r="AW107" s="747">
        <f t="shared" si="552"/>
        <v>-23493.481155461282</v>
      </c>
      <c r="AX107" s="747">
        <f t="shared" si="552"/>
        <v>106250.36398388186</v>
      </c>
      <c r="AY107" s="748">
        <f>+AY106-AY104</f>
        <v>98074.25627376663</v>
      </c>
      <c r="AZ107" s="747">
        <f t="shared" si="552"/>
        <v>89216.961447140522</v>
      </c>
      <c r="BA107" s="747">
        <f>+BA106-BA104</f>
        <v>200165.11956116947</v>
      </c>
      <c r="BB107" s="747">
        <f>+BB106-BB104</f>
        <v>701692.95354209503</v>
      </c>
      <c r="BC107" s="747">
        <f>+BC106-BC104</f>
        <v>804045.21426728729</v>
      </c>
      <c r="BD107" s="747">
        <f>+BD106-BD104</f>
        <v>539427.40920691972</v>
      </c>
      <c r="BE107" s="747">
        <f t="shared" si="552"/>
        <v>105010.79491178435</v>
      </c>
      <c r="BF107" s="747">
        <f t="shared" si="552"/>
        <v>338550.05890671012</v>
      </c>
      <c r="BG107" s="747">
        <f t="shared" si="552"/>
        <v>224671.10586610582</v>
      </c>
      <c r="BH107" s="747">
        <f t="shared" si="552"/>
        <v>127006.8231066392</v>
      </c>
      <c r="BI107" s="747">
        <f t="shared" si="552"/>
        <v>-70019.456287130539</v>
      </c>
      <c r="BJ107" s="747">
        <f t="shared" si="552"/>
        <v>212434.22299828939</v>
      </c>
      <c r="BK107" s="748">
        <f t="shared" si="552"/>
        <v>109895.36624221317</v>
      </c>
      <c r="BL107" s="747">
        <f t="shared" si="552"/>
        <v>90893.304942590767</v>
      </c>
      <c r="BM107" s="747">
        <f t="shared" si="552"/>
        <v>281198.42659670667</v>
      </c>
      <c r="BN107" s="747">
        <f t="shared" si="552"/>
        <v>1059294.8734234525</v>
      </c>
      <c r="BO107" s="747">
        <f t="shared" si="552"/>
        <v>1253172.9071992652</v>
      </c>
      <c r="BP107" s="747">
        <f t="shared" si="552"/>
        <v>877580.2115133456</v>
      </c>
      <c r="BQ107" s="747">
        <f t="shared" si="552"/>
        <v>253858.95465075807</v>
      </c>
      <c r="BR107" s="747">
        <f t="shared" si="552"/>
        <v>680644.58231503761</v>
      </c>
      <c r="BS107" s="747">
        <f t="shared" si="552"/>
        <v>535393.56946883013</v>
      </c>
      <c r="BT107" s="747">
        <f t="shared" si="552"/>
        <v>397098.81670843158</v>
      </c>
      <c r="BU107" s="747">
        <f t="shared" si="552"/>
        <v>142407.067460516</v>
      </c>
      <c r="BV107" s="747">
        <f t="shared" si="552"/>
        <v>403218.30135268811</v>
      </c>
      <c r="BW107" s="748">
        <f t="shared" si="552"/>
        <v>134417.46044326294</v>
      </c>
      <c r="BX107" s="747">
        <f t="shared" si="552"/>
        <v>110659.19522948121</v>
      </c>
      <c r="BY107" s="747">
        <f t="shared" si="552"/>
        <v>497775.0274478693</v>
      </c>
      <c r="BZ107" s="747">
        <f t="shared" si="552"/>
        <v>1009995.0624690908</v>
      </c>
      <c r="CA107" s="747">
        <f t="shared" si="552"/>
        <v>1279172.5856928746</v>
      </c>
      <c r="CB107" s="747">
        <f t="shared" si="552"/>
        <v>791655.59527192591</v>
      </c>
      <c r="CC107" s="747">
        <f t="shared" si="552"/>
        <v>-13086.42638876522</v>
      </c>
      <c r="CD107" s="747">
        <f t="shared" si="552"/>
        <v>792663.51009444706</v>
      </c>
      <c r="CE107" s="747">
        <f t="shared" si="552"/>
        <v>611368.26222283673</v>
      </c>
      <c r="CF107" s="747">
        <f t="shared" si="552"/>
        <v>430703.84165643761</v>
      </c>
      <c r="CG107" s="747">
        <f t="shared" si="552"/>
        <v>113921.57607085304</v>
      </c>
      <c r="CH107" s="747">
        <f t="shared" si="552"/>
        <v>411761.46987845469</v>
      </c>
      <c r="CI107" s="748">
        <f t="shared" si="552"/>
        <v>11508.37153830193</v>
      </c>
      <c r="CJ107" s="747">
        <f t="shared" si="552"/>
        <v>671346.20620851079</v>
      </c>
      <c r="CK107" s="747">
        <f t="shared" si="552"/>
        <v>538927.26132554328</v>
      </c>
      <c r="CL107" s="747">
        <f t="shared" si="552"/>
        <v>1127228.0714413174</v>
      </c>
      <c r="CM107" s="747">
        <f t="shared" si="552"/>
        <v>1436928.4176593185</v>
      </c>
      <c r="CN107" s="747">
        <f t="shared" si="552"/>
        <v>864207.59285589866</v>
      </c>
      <c r="CO107" s="747">
        <f t="shared" si="552"/>
        <v>-81934.793406466022</v>
      </c>
      <c r="CP107" s="747">
        <f t="shared" si="552"/>
        <v>1113353.9973622337</v>
      </c>
      <c r="CQ107" s="747">
        <f t="shared" si="552"/>
        <v>901168.81529340055</v>
      </c>
      <c r="CR107" s="747">
        <f t="shared" si="552"/>
        <v>689211.92000684887</v>
      </c>
      <c r="CS107" s="747">
        <f t="shared" si="552"/>
        <v>312738.64395026211</v>
      </c>
      <c r="CT107" s="747">
        <f t="shared" si="552"/>
        <v>716105.20609178208</v>
      </c>
      <c r="CU107" s="748">
        <f t="shared" si="552"/>
        <v>261922.20793892816</v>
      </c>
      <c r="CV107" s="747">
        <f t="shared" si="552"/>
        <v>221128.26770084072</v>
      </c>
      <c r="CW107" s="747">
        <f t="shared" si="552"/>
        <v>1268306.3431451004</v>
      </c>
      <c r="CX107" s="747">
        <f t="shared" si="552"/>
        <v>2055878.1065119607</v>
      </c>
      <c r="CY107" s="747">
        <f t="shared" si="552"/>
        <v>2470300.42519286</v>
      </c>
      <c r="CZ107" s="747">
        <f t="shared" si="552"/>
        <v>1725841.6674496327</v>
      </c>
      <c r="DA107" s="747">
        <f t="shared" si="552"/>
        <v>502434.09790754691</v>
      </c>
      <c r="DB107" s="747">
        <f t="shared" si="552"/>
        <v>374121.52873251587</v>
      </c>
      <c r="DC107" s="747">
        <f t="shared" si="552"/>
        <v>1857417.353508235</v>
      </c>
      <c r="DD107" s="747">
        <f t="shared" si="552"/>
        <v>1586336.7466548309</v>
      </c>
      <c r="DE107" s="747">
        <f t="shared" ref="DE107:DG107" si="553">+DE106-DE104</f>
        <v>1105532.119643311</v>
      </c>
      <c r="DF107" s="747">
        <f t="shared" si="553"/>
        <v>1535118.5987569932</v>
      </c>
      <c r="DG107" s="747">
        <f t="shared" si="553"/>
        <v>923570.39877098519</v>
      </c>
    </row>
    <row r="108" spans="1:111" x14ac:dyDescent="0.25">
      <c r="A108" s="478"/>
      <c r="B108" s="749" t="s">
        <v>570</v>
      </c>
      <c r="C108" s="750"/>
      <c r="D108" s="751"/>
      <c r="E108" s="751"/>
      <c r="F108" s="751"/>
      <c r="G108" s="751"/>
      <c r="H108" s="751"/>
      <c r="I108" s="751"/>
      <c r="J108" s="751"/>
      <c r="K108" s="751"/>
      <c r="L108" s="751"/>
      <c r="M108" s="751"/>
      <c r="N108" s="751"/>
      <c r="O108" s="751"/>
      <c r="P108" s="751"/>
      <c r="Q108" s="751"/>
      <c r="R108" s="751"/>
      <c r="S108" s="751"/>
      <c r="T108" s="751"/>
      <c r="U108" s="751"/>
      <c r="V108" s="751"/>
      <c r="W108" s="751"/>
      <c r="X108" s="751"/>
      <c r="Y108" s="751"/>
      <c r="Z108" s="751"/>
      <c r="AA108" s="751"/>
      <c r="AB108" s="751"/>
      <c r="AC108" s="751"/>
      <c r="AD108" s="751"/>
      <c r="AE108" s="751"/>
      <c r="AF108" s="751"/>
      <c r="AG108" s="751"/>
      <c r="AH108" s="751"/>
      <c r="AI108" s="751"/>
      <c r="AJ108" s="751"/>
      <c r="AK108" s="751"/>
      <c r="AL108" s="751"/>
      <c r="AM108" s="751"/>
      <c r="AN108" s="752"/>
      <c r="AO108" s="752"/>
      <c r="AP108" s="752"/>
      <c r="AQ108" s="752">
        <f>+IF(AP107&lt;SUM(AQ24:AS25), AP104*0.35, 0)</f>
        <v>138.34099999999998</v>
      </c>
      <c r="AR108" s="752">
        <f>+IF(AQ107&lt;SUM(AR24:AT25), AQ104*0.35, 0)</f>
        <v>25.291</v>
      </c>
      <c r="AS108" s="753">
        <f>+IF(AR107&lt;SUM(AS24:AU25), AR104*0.35, 0)</f>
        <v>28896.090999999997</v>
      </c>
      <c r="AT108" s="752">
        <f>+IF(AS107&lt;SUM(AT24:AV25), SUM(AT24:AV25)+(AS104*0.2), 0)</f>
        <v>0</v>
      </c>
      <c r="AU108" s="761">
        <f>+IF(AT107&lt;SUM(AU24:AW25), SUM(AU24:AW25)+(AT104*0.2), 0)</f>
        <v>11512.052000000001</v>
      </c>
      <c r="AV108" s="761">
        <f t="shared" ref="AV108:AW108" si="554">+IF(AU107&lt;SUM(AV24:AX25), SUM(AV24:AX25)+(AU104*0.2), 0)</f>
        <v>9209.6416000000008</v>
      </c>
      <c r="AW108" s="761">
        <f t="shared" si="554"/>
        <v>11887.943157767026</v>
      </c>
      <c r="AX108" s="752">
        <f t="shared" ref="AX108:DE108" si="555">+IF(AW107&lt;SUM(AX24:AZ25), SUM(AX24:AZ25)+(AW104*0.2), 0)</f>
        <v>10156.861801256226</v>
      </c>
      <c r="AY108" s="753">
        <f t="shared" si="555"/>
        <v>0</v>
      </c>
      <c r="AZ108" s="752">
        <f t="shared" si="555"/>
        <v>0</v>
      </c>
      <c r="BA108" s="752">
        <f t="shared" si="555"/>
        <v>166584.07934638186</v>
      </c>
      <c r="BB108" s="752">
        <f t="shared" si="555"/>
        <v>302689.94897573977</v>
      </c>
      <c r="BC108" s="752">
        <f t="shared" si="555"/>
        <v>0</v>
      </c>
      <c r="BD108" s="752">
        <f t="shared" si="555"/>
        <v>0</v>
      </c>
      <c r="BE108" s="752">
        <f t="shared" si="555"/>
        <v>0</v>
      </c>
      <c r="BF108" s="752">
        <f t="shared" si="555"/>
        <v>329490.98419015377</v>
      </c>
      <c r="BG108" s="752">
        <f t="shared" si="555"/>
        <v>0</v>
      </c>
      <c r="BH108" s="752">
        <f t="shared" si="555"/>
        <v>0</v>
      </c>
      <c r="BI108" s="752">
        <f t="shared" si="555"/>
        <v>0</v>
      </c>
      <c r="BJ108" s="752">
        <f t="shared" si="555"/>
        <v>99061.385225591192</v>
      </c>
      <c r="BK108" s="753">
        <f t="shared" si="555"/>
        <v>0</v>
      </c>
      <c r="BL108" s="752">
        <f t="shared" si="555"/>
        <v>0</v>
      </c>
      <c r="BM108" s="752">
        <f t="shared" si="555"/>
        <v>273502.17673990008</v>
      </c>
      <c r="BN108" s="752">
        <f t="shared" si="555"/>
        <v>410814.11829037225</v>
      </c>
      <c r="BO108" s="752">
        <f t="shared" si="555"/>
        <v>0</v>
      </c>
      <c r="BP108" s="752">
        <f t="shared" si="555"/>
        <v>0</v>
      </c>
      <c r="BQ108" s="752">
        <f t="shared" si="555"/>
        <v>0</v>
      </c>
      <c r="BR108" s="752">
        <f t="shared" si="555"/>
        <v>515635.52297646797</v>
      </c>
      <c r="BS108" s="752">
        <f t="shared" si="555"/>
        <v>0</v>
      </c>
      <c r="BT108" s="752">
        <f t="shared" si="555"/>
        <v>0</v>
      </c>
      <c r="BU108" s="752">
        <f t="shared" si="555"/>
        <v>0</v>
      </c>
      <c r="BV108" s="752">
        <f t="shared" si="555"/>
        <v>0</v>
      </c>
      <c r="BW108" s="753">
        <f t="shared" si="555"/>
        <v>0</v>
      </c>
      <c r="BX108" s="752">
        <f t="shared" si="555"/>
        <v>0</v>
      </c>
      <c r="BY108" s="752">
        <f t="shared" si="555"/>
        <v>502616.03431491641</v>
      </c>
      <c r="BZ108" s="752">
        <f t="shared" si="555"/>
        <v>0</v>
      </c>
      <c r="CA108" s="752">
        <f t="shared" si="555"/>
        <v>0</v>
      </c>
      <c r="CB108" s="752">
        <f t="shared" si="555"/>
        <v>0</v>
      </c>
      <c r="CC108" s="752">
        <f t="shared" si="555"/>
        <v>0</v>
      </c>
      <c r="CD108" s="752">
        <f t="shared" si="555"/>
        <v>894883.05111258826</v>
      </c>
      <c r="CE108" s="752">
        <f t="shared" si="555"/>
        <v>0</v>
      </c>
      <c r="CF108" s="752">
        <f t="shared" si="555"/>
        <v>0</v>
      </c>
      <c r="CG108" s="752">
        <f t="shared" si="555"/>
        <v>0</v>
      </c>
      <c r="CH108" s="752">
        <f t="shared" si="555"/>
        <v>0</v>
      </c>
      <c r="CI108" s="753">
        <f t="shared" si="555"/>
        <v>0</v>
      </c>
      <c r="CJ108" s="752">
        <f t="shared" si="555"/>
        <v>689676.35916729423</v>
      </c>
      <c r="CK108" s="752">
        <f t="shared" si="555"/>
        <v>0</v>
      </c>
      <c r="CL108" s="752">
        <f t="shared" si="555"/>
        <v>0</v>
      </c>
      <c r="CM108" s="752">
        <f t="shared" si="555"/>
        <v>0</v>
      </c>
      <c r="CN108" s="752">
        <f t="shared" si="555"/>
        <v>0</v>
      </c>
      <c r="CO108" s="752">
        <f t="shared" si="555"/>
        <v>0</v>
      </c>
      <c r="CP108" s="752">
        <f t="shared" si="555"/>
        <v>1304587.2803265266</v>
      </c>
      <c r="CQ108" s="752">
        <f t="shared" si="555"/>
        <v>0</v>
      </c>
      <c r="CR108" s="752">
        <f t="shared" si="555"/>
        <v>0</v>
      </c>
      <c r="CS108" s="752">
        <f t="shared" si="555"/>
        <v>0</v>
      </c>
      <c r="CT108" s="752">
        <f t="shared" si="555"/>
        <v>0</v>
      </c>
      <c r="CU108" s="753">
        <f t="shared" si="555"/>
        <v>0</v>
      </c>
      <c r="CV108" s="752">
        <f t="shared" si="555"/>
        <v>0</v>
      </c>
      <c r="CW108" s="752">
        <f t="shared" si="555"/>
        <v>1222301.2182713822</v>
      </c>
      <c r="CX108" s="752">
        <f t="shared" si="555"/>
        <v>0</v>
      </c>
      <c r="CY108" s="752">
        <f t="shared" si="555"/>
        <v>0</v>
      </c>
      <c r="CZ108" s="752">
        <f t="shared" si="555"/>
        <v>0</v>
      </c>
      <c r="DA108" s="752">
        <f t="shared" si="555"/>
        <v>0</v>
      </c>
      <c r="DB108" s="752">
        <f t="shared" si="555"/>
        <v>0</v>
      </c>
      <c r="DC108" s="752">
        <f t="shared" si="555"/>
        <v>1756658.682552469</v>
      </c>
      <c r="DD108" s="752">
        <f t="shared" si="555"/>
        <v>0</v>
      </c>
      <c r="DE108" s="752">
        <f t="shared" si="555"/>
        <v>0</v>
      </c>
      <c r="DF108" s="752">
        <f t="shared" ref="DF108:DG108" si="556">+IF(DE107&lt;SUM(DF24:DH25), SUM(DF24:DH25)+(DE104*0.2), 0)</f>
        <v>0</v>
      </c>
      <c r="DG108" s="752">
        <f t="shared" si="556"/>
        <v>0</v>
      </c>
    </row>
    <row r="109" spans="1:111" x14ac:dyDescent="0.25">
      <c r="B109" s="1" t="s">
        <v>17</v>
      </c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AS109" s="154"/>
      <c r="AY109" s="154"/>
      <c r="BK109" s="154"/>
      <c r="BW109" s="154"/>
      <c r="CI109" s="154"/>
      <c r="CU109" s="154"/>
    </row>
    <row r="110" spans="1:111" x14ac:dyDescent="0.25">
      <c r="B110" s="1" t="s">
        <v>18</v>
      </c>
      <c r="C110" s="1"/>
      <c r="D110" s="91">
        <v>0</v>
      </c>
      <c r="E110" s="91">
        <v>0</v>
      </c>
      <c r="F110" s="91">
        <v>0</v>
      </c>
      <c r="G110" s="91">
        <v>0</v>
      </c>
      <c r="H110" s="91">
        <v>0</v>
      </c>
      <c r="I110" s="91">
        <v>0</v>
      </c>
      <c r="J110" s="90">
        <v>0</v>
      </c>
      <c r="K110" s="90">
        <v>0</v>
      </c>
      <c r="L110" s="90">
        <v>0</v>
      </c>
      <c r="M110" s="90">
        <v>0</v>
      </c>
      <c r="N110" s="91">
        <v>0</v>
      </c>
      <c r="O110" s="91">
        <v>0</v>
      </c>
      <c r="P110" s="91">
        <v>0</v>
      </c>
      <c r="Q110" s="91">
        <v>0</v>
      </c>
      <c r="R110" s="91">
        <v>0</v>
      </c>
      <c r="S110" s="91">
        <v>0</v>
      </c>
      <c r="T110" s="91">
        <v>0</v>
      </c>
      <c r="U110" s="91">
        <v>0</v>
      </c>
      <c r="V110" s="91">
        <v>0</v>
      </c>
      <c r="W110" s="91">
        <v>0</v>
      </c>
      <c r="X110" s="91">
        <v>0</v>
      </c>
      <c r="Y110" s="91">
        <v>0</v>
      </c>
      <c r="Z110" s="91">
        <v>0</v>
      </c>
      <c r="AA110" s="91">
        <v>0</v>
      </c>
      <c r="AB110" s="91"/>
      <c r="AC110" s="91">
        <v>0</v>
      </c>
      <c r="AD110" s="91">
        <v>0</v>
      </c>
      <c r="AE110" s="91">
        <v>14766</v>
      </c>
      <c r="AF110" s="91">
        <v>12565</v>
      </c>
      <c r="AG110" s="91">
        <v>400</v>
      </c>
      <c r="AH110" s="91">
        <v>1500</v>
      </c>
      <c r="AI110" s="91">
        <v>0</v>
      </c>
      <c r="AJ110" s="91">
        <v>0</v>
      </c>
      <c r="AK110" s="91">
        <v>0</v>
      </c>
      <c r="AL110" s="91">
        <v>0</v>
      </c>
      <c r="AM110" s="91">
        <v>55151.44</v>
      </c>
      <c r="AN110" s="91">
        <v>46563.58</v>
      </c>
      <c r="AO110" s="91">
        <v>46563.58</v>
      </c>
      <c r="AP110" s="91">
        <v>0</v>
      </c>
      <c r="AQ110" s="91">
        <v>1199.8</v>
      </c>
      <c r="AR110" s="91">
        <v>0</v>
      </c>
      <c r="AS110" s="155">
        <v>0</v>
      </c>
      <c r="AT110" s="91">
        <f t="shared" ref="AT110" si="557">(AT112*AT12)/30.4333</f>
        <v>434.07018769888299</v>
      </c>
      <c r="AU110" s="90">
        <f t="shared" ref="AU110:BU110" si="558">(AU112*AU12)/30.4333</f>
        <v>434.07018769888299</v>
      </c>
      <c r="AV110" s="90">
        <f t="shared" si="558"/>
        <v>434.07018769888299</v>
      </c>
      <c r="AW110" s="90">
        <f t="shared" si="558"/>
        <v>434.07018769888299</v>
      </c>
      <c r="AX110" s="90">
        <f t="shared" si="558"/>
        <v>434.07018769888299</v>
      </c>
      <c r="AY110" s="155">
        <f t="shared" si="558"/>
        <v>434.07018769888299</v>
      </c>
      <c r="AZ110" s="90">
        <f t="shared" si="558"/>
        <v>1302.2105630966491</v>
      </c>
      <c r="BA110" s="90">
        <f t="shared" si="558"/>
        <v>1302.2105630966491</v>
      </c>
      <c r="BB110" s="90">
        <f t="shared" si="558"/>
        <v>1302.2105630966491</v>
      </c>
      <c r="BC110" s="90">
        <f t="shared" si="558"/>
        <v>1302.2105630966491</v>
      </c>
      <c r="BD110" s="90">
        <f t="shared" si="558"/>
        <v>1302.2105630966491</v>
      </c>
      <c r="BE110" s="90">
        <f t="shared" si="558"/>
        <v>1302.2105630966491</v>
      </c>
      <c r="BF110" s="90">
        <f t="shared" si="558"/>
        <v>1736.280750795532</v>
      </c>
      <c r="BG110" s="90">
        <f t="shared" si="558"/>
        <v>1736.280750795532</v>
      </c>
      <c r="BH110" s="90">
        <f t="shared" si="558"/>
        <v>1736.280750795532</v>
      </c>
      <c r="BI110" s="90">
        <f t="shared" si="558"/>
        <v>1736.280750795532</v>
      </c>
      <c r="BJ110" s="90">
        <f t="shared" si="558"/>
        <v>1736.280750795532</v>
      </c>
      <c r="BK110" s="155">
        <f t="shared" si="558"/>
        <v>1736.280750795532</v>
      </c>
      <c r="BL110" s="90">
        <f t="shared" si="558"/>
        <v>2170.350938494415</v>
      </c>
      <c r="BM110" s="90">
        <f t="shared" si="558"/>
        <v>2170.350938494415</v>
      </c>
      <c r="BN110" s="90">
        <f t="shared" si="558"/>
        <v>2170.350938494415</v>
      </c>
      <c r="BO110" s="90">
        <f t="shared" si="558"/>
        <v>2170.350938494415</v>
      </c>
      <c r="BP110" s="90">
        <f t="shared" si="558"/>
        <v>2170.350938494415</v>
      </c>
      <c r="BQ110" s="90">
        <f t="shared" si="558"/>
        <v>2170.350938494415</v>
      </c>
      <c r="BR110" s="90">
        <f t="shared" si="558"/>
        <v>2170.350938494415</v>
      </c>
      <c r="BS110" s="90">
        <f t="shared" si="558"/>
        <v>2170.350938494415</v>
      </c>
      <c r="BT110" s="90">
        <f t="shared" si="558"/>
        <v>2170.350938494415</v>
      </c>
      <c r="BU110" s="90">
        <f t="shared" si="558"/>
        <v>2170.350938494415</v>
      </c>
      <c r="BV110" s="90">
        <f t="shared" ref="BV110:DA110" si="559">(BV112*BV12)/30.4333</f>
        <v>2170.350938494415</v>
      </c>
      <c r="BW110" s="155">
        <f t="shared" si="559"/>
        <v>2170.350938494415</v>
      </c>
      <c r="BX110" s="90">
        <f t="shared" si="559"/>
        <v>2604.4211261932983</v>
      </c>
      <c r="BY110" s="90">
        <f t="shared" si="559"/>
        <v>2604.4211261932983</v>
      </c>
      <c r="BZ110" s="90">
        <f t="shared" si="559"/>
        <v>2604.4211261932983</v>
      </c>
      <c r="CA110" s="90">
        <f t="shared" si="559"/>
        <v>2604.4211261932983</v>
      </c>
      <c r="CB110" s="90">
        <f t="shared" si="559"/>
        <v>2604.4211261932983</v>
      </c>
      <c r="CC110" s="90">
        <f t="shared" si="559"/>
        <v>2604.4211261932983</v>
      </c>
      <c r="CD110" s="90">
        <f t="shared" si="559"/>
        <v>2604.4211261932983</v>
      </c>
      <c r="CE110" s="90">
        <f t="shared" si="559"/>
        <v>2604.4211261932983</v>
      </c>
      <c r="CF110" s="90">
        <f t="shared" si="559"/>
        <v>2604.4211261932983</v>
      </c>
      <c r="CG110" s="90">
        <f t="shared" si="559"/>
        <v>2604.4211261932983</v>
      </c>
      <c r="CH110" s="90">
        <f t="shared" si="559"/>
        <v>2604.4211261932983</v>
      </c>
      <c r="CI110" s="155">
        <f t="shared" si="559"/>
        <v>2604.4211261932983</v>
      </c>
      <c r="CJ110" s="90">
        <f t="shared" si="559"/>
        <v>3038.4913138921816</v>
      </c>
      <c r="CK110" s="90">
        <f t="shared" si="559"/>
        <v>3038.4913138921816</v>
      </c>
      <c r="CL110" s="90">
        <f t="shared" si="559"/>
        <v>3038.4913138921816</v>
      </c>
      <c r="CM110" s="90">
        <f t="shared" si="559"/>
        <v>3038.4913138921816</v>
      </c>
      <c r="CN110" s="90">
        <f t="shared" si="559"/>
        <v>3038.4913138921816</v>
      </c>
      <c r="CO110" s="90">
        <f t="shared" si="559"/>
        <v>3038.4913138921816</v>
      </c>
      <c r="CP110" s="90">
        <f t="shared" si="559"/>
        <v>3472.5615015910639</v>
      </c>
      <c r="CQ110" s="90">
        <f t="shared" si="559"/>
        <v>3472.5615015910639</v>
      </c>
      <c r="CR110" s="90">
        <f t="shared" si="559"/>
        <v>3472.5615015910639</v>
      </c>
      <c r="CS110" s="90">
        <f t="shared" si="559"/>
        <v>3472.5615015910639</v>
      </c>
      <c r="CT110" s="90">
        <f t="shared" si="559"/>
        <v>3472.5615015910639</v>
      </c>
      <c r="CU110" s="155">
        <f t="shared" si="559"/>
        <v>3472.5615015910639</v>
      </c>
      <c r="CV110" s="90">
        <f t="shared" si="559"/>
        <v>3472.5615015910639</v>
      </c>
      <c r="CW110" s="90">
        <f t="shared" si="559"/>
        <v>3472.5615015910639</v>
      </c>
      <c r="CX110" s="90">
        <f t="shared" si="559"/>
        <v>3472.5615015910639</v>
      </c>
      <c r="CY110" s="90">
        <f t="shared" si="559"/>
        <v>3472.5615015910639</v>
      </c>
      <c r="CZ110" s="90">
        <f t="shared" si="559"/>
        <v>3472.5615015910639</v>
      </c>
      <c r="DA110" s="90">
        <f t="shared" si="559"/>
        <v>3472.5615015910639</v>
      </c>
      <c r="DB110" s="90">
        <f t="shared" ref="DB110:DG110" si="560">(DB112*DB12)/30.4333</f>
        <v>3906.6316892899472</v>
      </c>
      <c r="DC110" s="90">
        <f t="shared" si="560"/>
        <v>3906.6316892899472</v>
      </c>
      <c r="DD110" s="90">
        <f t="shared" si="560"/>
        <v>3906.6316892899472</v>
      </c>
      <c r="DE110" s="90">
        <f t="shared" si="560"/>
        <v>3906.6316892899472</v>
      </c>
      <c r="DF110" s="90">
        <f t="shared" si="560"/>
        <v>3906.6316892899472</v>
      </c>
      <c r="DG110" s="90">
        <f t="shared" si="560"/>
        <v>3906.6316892899472</v>
      </c>
    </row>
    <row r="111" spans="1:111" x14ac:dyDescent="0.25">
      <c r="A111" s="5"/>
      <c r="B111" s="6" t="s">
        <v>19</v>
      </c>
      <c r="C111" s="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>
        <f t="shared" ref="P111:BZ111" si="561">P110</f>
        <v>0</v>
      </c>
      <c r="Q111" s="36">
        <f t="shared" ref="Q111:W111" si="562">Q110</f>
        <v>0</v>
      </c>
      <c r="R111" s="36">
        <f t="shared" si="562"/>
        <v>0</v>
      </c>
      <c r="S111" s="36">
        <f t="shared" si="562"/>
        <v>0</v>
      </c>
      <c r="T111" s="36">
        <f t="shared" si="562"/>
        <v>0</v>
      </c>
      <c r="U111" s="36">
        <f t="shared" si="562"/>
        <v>0</v>
      </c>
      <c r="V111" s="36">
        <f t="shared" si="562"/>
        <v>0</v>
      </c>
      <c r="W111" s="36">
        <f t="shared" si="562"/>
        <v>0</v>
      </c>
      <c r="X111" s="36">
        <f t="shared" ref="X111:Y111" si="563">X110</f>
        <v>0</v>
      </c>
      <c r="Y111" s="36">
        <f t="shared" si="563"/>
        <v>0</v>
      </c>
      <c r="Z111" s="36">
        <f t="shared" ref="Z111:AA111" si="564">Z110</f>
        <v>0</v>
      </c>
      <c r="AA111" s="36">
        <f t="shared" si="564"/>
        <v>0</v>
      </c>
      <c r="AB111" s="36">
        <f t="shared" ref="AB111:AC111" si="565">AB110</f>
        <v>0</v>
      </c>
      <c r="AC111" s="36">
        <f t="shared" si="565"/>
        <v>0</v>
      </c>
      <c r="AD111" s="36">
        <f t="shared" ref="AD111:AE111" si="566">AD110</f>
        <v>0</v>
      </c>
      <c r="AE111" s="36">
        <f t="shared" si="566"/>
        <v>14766</v>
      </c>
      <c r="AF111" s="36">
        <f t="shared" ref="AF111:AG111" si="567">AF110</f>
        <v>12565</v>
      </c>
      <c r="AG111" s="36">
        <f t="shared" si="567"/>
        <v>400</v>
      </c>
      <c r="AH111" s="36">
        <f t="shared" ref="AH111:AI111" si="568">AH110</f>
        <v>1500</v>
      </c>
      <c r="AI111" s="36">
        <f t="shared" si="568"/>
        <v>0</v>
      </c>
      <c r="AJ111" s="36">
        <f t="shared" ref="AJ111:AK111" si="569">AJ110</f>
        <v>0</v>
      </c>
      <c r="AK111" s="36">
        <f t="shared" si="569"/>
        <v>0</v>
      </c>
      <c r="AL111" s="36">
        <f t="shared" ref="AL111:AM111" si="570">AL110</f>
        <v>0</v>
      </c>
      <c r="AM111" s="36">
        <f t="shared" si="570"/>
        <v>55151.44</v>
      </c>
      <c r="AN111" s="36">
        <f t="shared" ref="AN111" si="571">AN110</f>
        <v>46563.58</v>
      </c>
      <c r="AO111" s="36">
        <f t="shared" ref="AO111:AP111" si="572">AO110</f>
        <v>46563.58</v>
      </c>
      <c r="AP111" s="36">
        <f t="shared" si="572"/>
        <v>0</v>
      </c>
      <c r="AQ111" s="36">
        <f t="shared" ref="AQ111:AR111" si="573">AQ110</f>
        <v>1199.8</v>
      </c>
      <c r="AR111" s="36">
        <f t="shared" si="573"/>
        <v>0</v>
      </c>
      <c r="AS111" s="159">
        <f t="shared" ref="AS111" si="574">AS110</f>
        <v>0</v>
      </c>
      <c r="AT111" s="36">
        <f t="shared" ref="AT111" si="575">AT110</f>
        <v>434.07018769888299</v>
      </c>
      <c r="AU111" s="36">
        <f t="shared" si="561"/>
        <v>434.07018769888299</v>
      </c>
      <c r="AV111" s="36">
        <f t="shared" si="561"/>
        <v>434.07018769888299</v>
      </c>
      <c r="AW111" s="36">
        <f t="shared" si="561"/>
        <v>434.07018769888299</v>
      </c>
      <c r="AX111" s="36">
        <f t="shared" si="561"/>
        <v>434.07018769888299</v>
      </c>
      <c r="AY111" s="159">
        <f t="shared" si="561"/>
        <v>434.07018769888299</v>
      </c>
      <c r="AZ111" s="36">
        <f t="shared" si="561"/>
        <v>1302.2105630966491</v>
      </c>
      <c r="BA111" s="36">
        <f t="shared" si="561"/>
        <v>1302.2105630966491</v>
      </c>
      <c r="BB111" s="36">
        <f t="shared" si="561"/>
        <v>1302.2105630966491</v>
      </c>
      <c r="BC111" s="36">
        <f t="shared" si="561"/>
        <v>1302.2105630966491</v>
      </c>
      <c r="BD111" s="36">
        <f t="shared" si="561"/>
        <v>1302.2105630966491</v>
      </c>
      <c r="BE111" s="36">
        <f t="shared" si="561"/>
        <v>1302.2105630966491</v>
      </c>
      <c r="BF111" s="36">
        <f t="shared" si="561"/>
        <v>1736.280750795532</v>
      </c>
      <c r="BG111" s="36">
        <f t="shared" si="561"/>
        <v>1736.280750795532</v>
      </c>
      <c r="BH111" s="36">
        <f t="shared" si="561"/>
        <v>1736.280750795532</v>
      </c>
      <c r="BI111" s="36">
        <f t="shared" si="561"/>
        <v>1736.280750795532</v>
      </c>
      <c r="BJ111" s="36">
        <f t="shared" si="561"/>
        <v>1736.280750795532</v>
      </c>
      <c r="BK111" s="159">
        <f t="shared" si="561"/>
        <v>1736.280750795532</v>
      </c>
      <c r="BL111" s="36">
        <f t="shared" si="561"/>
        <v>2170.350938494415</v>
      </c>
      <c r="BM111" s="36">
        <f t="shared" si="561"/>
        <v>2170.350938494415</v>
      </c>
      <c r="BN111" s="36">
        <f t="shared" si="561"/>
        <v>2170.350938494415</v>
      </c>
      <c r="BO111" s="36">
        <f t="shared" si="561"/>
        <v>2170.350938494415</v>
      </c>
      <c r="BP111" s="36">
        <f t="shared" si="561"/>
        <v>2170.350938494415</v>
      </c>
      <c r="BQ111" s="36">
        <f t="shared" si="561"/>
        <v>2170.350938494415</v>
      </c>
      <c r="BR111" s="36">
        <f t="shared" si="561"/>
        <v>2170.350938494415</v>
      </c>
      <c r="BS111" s="36">
        <f t="shared" si="561"/>
        <v>2170.350938494415</v>
      </c>
      <c r="BT111" s="36">
        <f t="shared" si="561"/>
        <v>2170.350938494415</v>
      </c>
      <c r="BU111" s="36">
        <f t="shared" si="561"/>
        <v>2170.350938494415</v>
      </c>
      <c r="BV111" s="36">
        <f t="shared" si="561"/>
        <v>2170.350938494415</v>
      </c>
      <c r="BW111" s="159">
        <f t="shared" si="561"/>
        <v>2170.350938494415</v>
      </c>
      <c r="BX111" s="36">
        <f t="shared" si="561"/>
        <v>2604.4211261932983</v>
      </c>
      <c r="BY111" s="36">
        <f t="shared" si="561"/>
        <v>2604.4211261932983</v>
      </c>
      <c r="BZ111" s="36">
        <f t="shared" si="561"/>
        <v>2604.4211261932983</v>
      </c>
      <c r="CA111" s="36">
        <f t="shared" ref="CA111:DG111" si="576">CA110</f>
        <v>2604.4211261932983</v>
      </c>
      <c r="CB111" s="36">
        <f t="shared" si="576"/>
        <v>2604.4211261932983</v>
      </c>
      <c r="CC111" s="36">
        <f t="shared" si="576"/>
        <v>2604.4211261932983</v>
      </c>
      <c r="CD111" s="36">
        <f t="shared" si="576"/>
        <v>2604.4211261932983</v>
      </c>
      <c r="CE111" s="36">
        <f t="shared" si="576"/>
        <v>2604.4211261932983</v>
      </c>
      <c r="CF111" s="36">
        <f t="shared" si="576"/>
        <v>2604.4211261932983</v>
      </c>
      <c r="CG111" s="36">
        <f t="shared" si="576"/>
        <v>2604.4211261932983</v>
      </c>
      <c r="CH111" s="36">
        <f t="shared" si="576"/>
        <v>2604.4211261932983</v>
      </c>
      <c r="CI111" s="159">
        <f t="shared" si="576"/>
        <v>2604.4211261932983</v>
      </c>
      <c r="CJ111" s="36">
        <f t="shared" si="576"/>
        <v>3038.4913138921816</v>
      </c>
      <c r="CK111" s="36">
        <f t="shared" si="576"/>
        <v>3038.4913138921816</v>
      </c>
      <c r="CL111" s="36">
        <f t="shared" si="576"/>
        <v>3038.4913138921816</v>
      </c>
      <c r="CM111" s="36">
        <f t="shared" si="576"/>
        <v>3038.4913138921816</v>
      </c>
      <c r="CN111" s="36">
        <f t="shared" si="576"/>
        <v>3038.4913138921816</v>
      </c>
      <c r="CO111" s="36">
        <f t="shared" si="576"/>
        <v>3038.4913138921816</v>
      </c>
      <c r="CP111" s="36">
        <f t="shared" si="576"/>
        <v>3472.5615015910639</v>
      </c>
      <c r="CQ111" s="36">
        <f t="shared" si="576"/>
        <v>3472.5615015910639</v>
      </c>
      <c r="CR111" s="36">
        <f t="shared" si="576"/>
        <v>3472.5615015910639</v>
      </c>
      <c r="CS111" s="36">
        <f t="shared" si="576"/>
        <v>3472.5615015910639</v>
      </c>
      <c r="CT111" s="36">
        <f t="shared" si="576"/>
        <v>3472.5615015910639</v>
      </c>
      <c r="CU111" s="159">
        <f t="shared" si="576"/>
        <v>3472.5615015910639</v>
      </c>
      <c r="CV111" s="36">
        <f t="shared" si="576"/>
        <v>3472.5615015910639</v>
      </c>
      <c r="CW111" s="36">
        <f t="shared" si="576"/>
        <v>3472.5615015910639</v>
      </c>
      <c r="CX111" s="36">
        <f t="shared" si="576"/>
        <v>3472.5615015910639</v>
      </c>
      <c r="CY111" s="36">
        <f t="shared" si="576"/>
        <v>3472.5615015910639</v>
      </c>
      <c r="CZ111" s="36">
        <f t="shared" si="576"/>
        <v>3472.5615015910639</v>
      </c>
      <c r="DA111" s="36">
        <f t="shared" si="576"/>
        <v>3472.5615015910639</v>
      </c>
      <c r="DB111" s="36">
        <f t="shared" si="576"/>
        <v>3906.6316892899472</v>
      </c>
      <c r="DC111" s="36">
        <f t="shared" si="576"/>
        <v>3906.6316892899472</v>
      </c>
      <c r="DD111" s="36">
        <f t="shared" si="576"/>
        <v>3906.6316892899472</v>
      </c>
      <c r="DE111" s="36">
        <f t="shared" si="576"/>
        <v>3906.6316892899472</v>
      </c>
      <c r="DF111" s="36">
        <f t="shared" si="576"/>
        <v>3906.6316892899472</v>
      </c>
      <c r="DG111" s="36">
        <f t="shared" si="576"/>
        <v>3906.6316892899472</v>
      </c>
    </row>
    <row r="112" spans="1:111" x14ac:dyDescent="0.25">
      <c r="A112" s="45"/>
      <c r="B112" s="42"/>
      <c r="C112" s="43" t="s">
        <v>148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>
        <f t="shared" ref="P112:AO112" si="577">IFERROR(AVERAGE(O110:P110)/(P10/30.4333), 0)</f>
        <v>0</v>
      </c>
      <c r="Q112" s="44">
        <f t="shared" si="577"/>
        <v>0</v>
      </c>
      <c r="R112" s="44">
        <f t="shared" si="577"/>
        <v>0</v>
      </c>
      <c r="S112" s="44">
        <f t="shared" si="577"/>
        <v>0</v>
      </c>
      <c r="T112" s="44">
        <f t="shared" si="577"/>
        <v>0</v>
      </c>
      <c r="U112" s="44">
        <f t="shared" si="577"/>
        <v>0</v>
      </c>
      <c r="V112" s="44">
        <f t="shared" si="577"/>
        <v>0</v>
      </c>
      <c r="W112" s="44">
        <f t="shared" si="577"/>
        <v>0</v>
      </c>
      <c r="X112" s="44">
        <f t="shared" si="577"/>
        <v>0</v>
      </c>
      <c r="Y112" s="44">
        <f t="shared" si="577"/>
        <v>0</v>
      </c>
      <c r="Z112" s="44">
        <f t="shared" si="577"/>
        <v>0</v>
      </c>
      <c r="AA112" s="44">
        <f t="shared" si="577"/>
        <v>0</v>
      </c>
      <c r="AB112" s="44">
        <f t="shared" si="577"/>
        <v>0</v>
      </c>
      <c r="AC112" s="44">
        <f t="shared" si="577"/>
        <v>0</v>
      </c>
      <c r="AD112" s="44">
        <f t="shared" si="577"/>
        <v>0</v>
      </c>
      <c r="AE112" s="44">
        <f t="shared" si="577"/>
        <v>0</v>
      </c>
      <c r="AF112" s="44">
        <f t="shared" si="577"/>
        <v>5.0435325097272194</v>
      </c>
      <c r="AG112" s="44">
        <f t="shared" si="577"/>
        <v>18.052005304411161</v>
      </c>
      <c r="AH112" s="44">
        <f t="shared" si="577"/>
        <v>41.302335714285711</v>
      </c>
      <c r="AI112" s="44">
        <f t="shared" si="577"/>
        <v>0.49730864762402771</v>
      </c>
      <c r="AJ112" s="44">
        <f t="shared" si="577"/>
        <v>0</v>
      </c>
      <c r="AK112" s="44">
        <f t="shared" si="577"/>
        <v>0</v>
      </c>
      <c r="AL112" s="44">
        <f t="shared" si="577"/>
        <v>0</v>
      </c>
      <c r="AM112" s="44">
        <f t="shared" si="577"/>
        <v>10.362367426448344</v>
      </c>
      <c r="AN112" s="44">
        <f t="shared" si="577"/>
        <v>17.235187140605532</v>
      </c>
      <c r="AO112" s="44">
        <f t="shared" si="577"/>
        <v>69.21427611666779</v>
      </c>
      <c r="AP112" s="44">
        <f t="shared" ref="AP112:AS112" si="578">IFERROR(AVERAGE(AO110:AP110)/(AP10/30.4333), 0)</f>
        <v>0</v>
      </c>
      <c r="AQ112" s="44">
        <f t="shared" si="578"/>
        <v>1.5522626085108191</v>
      </c>
      <c r="AR112" s="44">
        <f t="shared" si="578"/>
        <v>4.4523684111693695</v>
      </c>
      <c r="AS112" s="161">
        <f t="shared" si="578"/>
        <v>0</v>
      </c>
      <c r="AT112" s="743">
        <f>+AVERAGE(AQ112:AS112)</f>
        <v>2.0015436732267298</v>
      </c>
      <c r="AU112" s="44">
        <f t="shared" ref="AU112:CA112" si="579">AT112</f>
        <v>2.0015436732267298</v>
      </c>
      <c r="AV112" s="44">
        <f t="shared" si="579"/>
        <v>2.0015436732267298</v>
      </c>
      <c r="AW112" s="44">
        <f t="shared" si="579"/>
        <v>2.0015436732267298</v>
      </c>
      <c r="AX112" s="44">
        <f t="shared" si="579"/>
        <v>2.0015436732267298</v>
      </c>
      <c r="AY112" s="161">
        <f t="shared" si="579"/>
        <v>2.0015436732267298</v>
      </c>
      <c r="AZ112" s="44">
        <f t="shared" si="579"/>
        <v>2.0015436732267298</v>
      </c>
      <c r="BA112" s="44">
        <f t="shared" si="579"/>
        <v>2.0015436732267298</v>
      </c>
      <c r="BB112" s="44">
        <f t="shared" si="579"/>
        <v>2.0015436732267298</v>
      </c>
      <c r="BC112" s="44">
        <f t="shared" si="579"/>
        <v>2.0015436732267298</v>
      </c>
      <c r="BD112" s="44">
        <f t="shared" si="579"/>
        <v>2.0015436732267298</v>
      </c>
      <c r="BE112" s="44">
        <f t="shared" si="579"/>
        <v>2.0015436732267298</v>
      </c>
      <c r="BF112" s="44">
        <f t="shared" si="579"/>
        <v>2.0015436732267298</v>
      </c>
      <c r="BG112" s="44">
        <f t="shared" si="579"/>
        <v>2.0015436732267298</v>
      </c>
      <c r="BH112" s="44">
        <f t="shared" si="579"/>
        <v>2.0015436732267298</v>
      </c>
      <c r="BI112" s="44">
        <f t="shared" si="579"/>
        <v>2.0015436732267298</v>
      </c>
      <c r="BJ112" s="44">
        <f t="shared" si="579"/>
        <v>2.0015436732267298</v>
      </c>
      <c r="BK112" s="161">
        <f t="shared" si="579"/>
        <v>2.0015436732267298</v>
      </c>
      <c r="BL112" s="44">
        <f t="shared" si="579"/>
        <v>2.0015436732267298</v>
      </c>
      <c r="BM112" s="44">
        <f t="shared" si="579"/>
        <v>2.0015436732267298</v>
      </c>
      <c r="BN112" s="44">
        <f t="shared" si="579"/>
        <v>2.0015436732267298</v>
      </c>
      <c r="BO112" s="44">
        <f t="shared" si="579"/>
        <v>2.0015436732267298</v>
      </c>
      <c r="BP112" s="44">
        <f t="shared" si="579"/>
        <v>2.0015436732267298</v>
      </c>
      <c r="BQ112" s="44">
        <f t="shared" si="579"/>
        <v>2.0015436732267298</v>
      </c>
      <c r="BR112" s="44">
        <f t="shared" si="579"/>
        <v>2.0015436732267298</v>
      </c>
      <c r="BS112" s="44">
        <f t="shared" si="579"/>
        <v>2.0015436732267298</v>
      </c>
      <c r="BT112" s="44">
        <f t="shared" si="579"/>
        <v>2.0015436732267298</v>
      </c>
      <c r="BU112" s="44">
        <f t="shared" si="579"/>
        <v>2.0015436732267298</v>
      </c>
      <c r="BV112" s="44">
        <f t="shared" si="579"/>
        <v>2.0015436732267298</v>
      </c>
      <c r="BW112" s="161">
        <f t="shared" si="579"/>
        <v>2.0015436732267298</v>
      </c>
      <c r="BX112" s="44">
        <f t="shared" si="579"/>
        <v>2.0015436732267298</v>
      </c>
      <c r="BY112" s="44">
        <f t="shared" si="579"/>
        <v>2.0015436732267298</v>
      </c>
      <c r="BZ112" s="44">
        <f t="shared" si="579"/>
        <v>2.0015436732267298</v>
      </c>
      <c r="CA112" s="44">
        <f t="shared" si="579"/>
        <v>2.0015436732267298</v>
      </c>
      <c r="CB112" s="44">
        <f t="shared" ref="CB112:DG112" si="580">CA112</f>
        <v>2.0015436732267298</v>
      </c>
      <c r="CC112" s="44">
        <f t="shared" si="580"/>
        <v>2.0015436732267298</v>
      </c>
      <c r="CD112" s="44">
        <f t="shared" si="580"/>
        <v>2.0015436732267298</v>
      </c>
      <c r="CE112" s="44">
        <f t="shared" si="580"/>
        <v>2.0015436732267298</v>
      </c>
      <c r="CF112" s="44">
        <f t="shared" si="580"/>
        <v>2.0015436732267298</v>
      </c>
      <c r="CG112" s="44">
        <f t="shared" si="580"/>
        <v>2.0015436732267298</v>
      </c>
      <c r="CH112" s="44">
        <f t="shared" si="580"/>
        <v>2.0015436732267298</v>
      </c>
      <c r="CI112" s="161">
        <f t="shared" si="580"/>
        <v>2.0015436732267298</v>
      </c>
      <c r="CJ112" s="44">
        <f t="shared" si="580"/>
        <v>2.0015436732267298</v>
      </c>
      <c r="CK112" s="44">
        <f t="shared" si="580"/>
        <v>2.0015436732267298</v>
      </c>
      <c r="CL112" s="44">
        <f t="shared" si="580"/>
        <v>2.0015436732267298</v>
      </c>
      <c r="CM112" s="44">
        <f t="shared" si="580"/>
        <v>2.0015436732267298</v>
      </c>
      <c r="CN112" s="44">
        <f t="shared" si="580"/>
        <v>2.0015436732267298</v>
      </c>
      <c r="CO112" s="44">
        <f t="shared" si="580"/>
        <v>2.0015436732267298</v>
      </c>
      <c r="CP112" s="44">
        <f t="shared" si="580"/>
        <v>2.0015436732267298</v>
      </c>
      <c r="CQ112" s="44">
        <f t="shared" si="580"/>
        <v>2.0015436732267298</v>
      </c>
      <c r="CR112" s="44">
        <f t="shared" si="580"/>
        <v>2.0015436732267298</v>
      </c>
      <c r="CS112" s="44">
        <f t="shared" si="580"/>
        <v>2.0015436732267298</v>
      </c>
      <c r="CT112" s="44">
        <f t="shared" si="580"/>
        <v>2.0015436732267298</v>
      </c>
      <c r="CU112" s="161">
        <f t="shared" si="580"/>
        <v>2.0015436732267298</v>
      </c>
      <c r="CV112" s="44">
        <f t="shared" si="580"/>
        <v>2.0015436732267298</v>
      </c>
      <c r="CW112" s="44">
        <f t="shared" si="580"/>
        <v>2.0015436732267298</v>
      </c>
      <c r="CX112" s="44">
        <f t="shared" si="580"/>
        <v>2.0015436732267298</v>
      </c>
      <c r="CY112" s="44">
        <f t="shared" si="580"/>
        <v>2.0015436732267298</v>
      </c>
      <c r="CZ112" s="44">
        <f t="shared" si="580"/>
        <v>2.0015436732267298</v>
      </c>
      <c r="DA112" s="44">
        <f t="shared" si="580"/>
        <v>2.0015436732267298</v>
      </c>
      <c r="DB112" s="44">
        <f t="shared" si="580"/>
        <v>2.0015436732267298</v>
      </c>
      <c r="DC112" s="44">
        <f t="shared" si="580"/>
        <v>2.0015436732267298</v>
      </c>
      <c r="DD112" s="44">
        <f t="shared" si="580"/>
        <v>2.0015436732267298</v>
      </c>
      <c r="DE112" s="44">
        <f t="shared" si="580"/>
        <v>2.0015436732267298</v>
      </c>
      <c r="DF112" s="44">
        <f t="shared" si="580"/>
        <v>2.0015436732267298</v>
      </c>
      <c r="DG112" s="44">
        <f t="shared" si="580"/>
        <v>2.0015436732267298</v>
      </c>
    </row>
    <row r="113" spans="1:111" x14ac:dyDescent="0.25">
      <c r="B113" s="1" t="s">
        <v>203</v>
      </c>
      <c r="C113" s="1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759"/>
      <c r="AT113" s="33"/>
      <c r="AY113" s="154"/>
      <c r="BK113" s="154"/>
      <c r="BW113" s="154"/>
      <c r="CI113" s="154"/>
      <c r="CU113" s="154"/>
    </row>
    <row r="114" spans="1:111" x14ac:dyDescent="0.25">
      <c r="B114" s="1" t="s">
        <v>514</v>
      </c>
      <c r="C114" s="1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O114" s="33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>
        <v>0</v>
      </c>
      <c r="AD114" s="91">
        <v>0</v>
      </c>
      <c r="AE114" s="91">
        <v>0</v>
      </c>
      <c r="AF114" s="91">
        <v>0</v>
      </c>
      <c r="AG114" s="91">
        <v>0</v>
      </c>
      <c r="AH114" s="91">
        <v>0</v>
      </c>
      <c r="AI114" s="91">
        <v>28178</v>
      </c>
      <c r="AJ114" s="91">
        <v>28178</v>
      </c>
      <c r="AK114" s="91">
        <v>74875.12</v>
      </c>
      <c r="AL114" s="91">
        <v>74875.12</v>
      </c>
      <c r="AM114" s="91">
        <v>22462.54</v>
      </c>
      <c r="AN114" s="91">
        <v>7487.52</v>
      </c>
      <c r="AO114" s="91">
        <v>0</v>
      </c>
      <c r="AP114" s="91">
        <v>0</v>
      </c>
      <c r="AQ114" s="91">
        <v>0</v>
      </c>
      <c r="AR114" s="91">
        <v>0</v>
      </c>
      <c r="AS114" s="155">
        <v>0</v>
      </c>
      <c r="AT114" s="194">
        <f>+AS114</f>
        <v>0</v>
      </c>
      <c r="AU114" s="91">
        <f t="shared" ref="AU114:CZ114" si="581">+AT114</f>
        <v>0</v>
      </c>
      <c r="AV114" s="91">
        <f t="shared" si="581"/>
        <v>0</v>
      </c>
      <c r="AW114" s="91">
        <f t="shared" si="581"/>
        <v>0</v>
      </c>
      <c r="AX114" s="91">
        <f t="shared" si="581"/>
        <v>0</v>
      </c>
      <c r="AY114" s="155">
        <f t="shared" si="581"/>
        <v>0</v>
      </c>
      <c r="AZ114" s="91">
        <f t="shared" si="581"/>
        <v>0</v>
      </c>
      <c r="BA114" s="91">
        <f t="shared" si="581"/>
        <v>0</v>
      </c>
      <c r="BB114" s="91">
        <f t="shared" si="581"/>
        <v>0</v>
      </c>
      <c r="BC114" s="91">
        <f t="shared" si="581"/>
        <v>0</v>
      </c>
      <c r="BD114" s="91">
        <f t="shared" si="581"/>
        <v>0</v>
      </c>
      <c r="BE114" s="91">
        <f t="shared" si="581"/>
        <v>0</v>
      </c>
      <c r="BF114" s="91">
        <f t="shared" si="581"/>
        <v>0</v>
      </c>
      <c r="BG114" s="91">
        <f t="shared" si="581"/>
        <v>0</v>
      </c>
      <c r="BH114" s="91">
        <f t="shared" si="581"/>
        <v>0</v>
      </c>
      <c r="BI114" s="91">
        <f t="shared" si="581"/>
        <v>0</v>
      </c>
      <c r="BJ114" s="91">
        <f t="shared" si="581"/>
        <v>0</v>
      </c>
      <c r="BK114" s="155">
        <f t="shared" si="581"/>
        <v>0</v>
      </c>
      <c r="BL114" s="91">
        <f t="shared" si="581"/>
        <v>0</v>
      </c>
      <c r="BM114" s="91">
        <f t="shared" si="581"/>
        <v>0</v>
      </c>
      <c r="BN114" s="91">
        <f t="shared" si="581"/>
        <v>0</v>
      </c>
      <c r="BO114" s="91">
        <f t="shared" si="581"/>
        <v>0</v>
      </c>
      <c r="BP114" s="91">
        <f t="shared" si="581"/>
        <v>0</v>
      </c>
      <c r="BQ114" s="91">
        <f t="shared" si="581"/>
        <v>0</v>
      </c>
      <c r="BR114" s="91">
        <f t="shared" si="581"/>
        <v>0</v>
      </c>
      <c r="BS114" s="91">
        <f t="shared" si="581"/>
        <v>0</v>
      </c>
      <c r="BT114" s="91">
        <f t="shared" si="581"/>
        <v>0</v>
      </c>
      <c r="BU114" s="91">
        <f t="shared" si="581"/>
        <v>0</v>
      </c>
      <c r="BV114" s="91">
        <f t="shared" si="581"/>
        <v>0</v>
      </c>
      <c r="BW114" s="155">
        <f t="shared" si="581"/>
        <v>0</v>
      </c>
      <c r="BX114" s="91">
        <f t="shared" si="581"/>
        <v>0</v>
      </c>
      <c r="BY114" s="91">
        <f t="shared" si="581"/>
        <v>0</v>
      </c>
      <c r="BZ114" s="91">
        <f t="shared" si="581"/>
        <v>0</v>
      </c>
      <c r="CA114" s="91">
        <f t="shared" si="581"/>
        <v>0</v>
      </c>
      <c r="CB114" s="91">
        <f t="shared" si="581"/>
        <v>0</v>
      </c>
      <c r="CC114" s="91">
        <f t="shared" si="581"/>
        <v>0</v>
      </c>
      <c r="CD114" s="91">
        <f t="shared" si="581"/>
        <v>0</v>
      </c>
      <c r="CE114" s="91">
        <f t="shared" si="581"/>
        <v>0</v>
      </c>
      <c r="CF114" s="91">
        <f t="shared" si="581"/>
        <v>0</v>
      </c>
      <c r="CG114" s="91">
        <f t="shared" si="581"/>
        <v>0</v>
      </c>
      <c r="CH114" s="91">
        <f t="shared" si="581"/>
        <v>0</v>
      </c>
      <c r="CI114" s="155">
        <f t="shared" si="581"/>
        <v>0</v>
      </c>
      <c r="CJ114" s="91">
        <f t="shared" si="581"/>
        <v>0</v>
      </c>
      <c r="CK114" s="91">
        <f t="shared" si="581"/>
        <v>0</v>
      </c>
      <c r="CL114" s="91">
        <f t="shared" si="581"/>
        <v>0</v>
      </c>
      <c r="CM114" s="91">
        <f t="shared" si="581"/>
        <v>0</v>
      </c>
      <c r="CN114" s="91">
        <f t="shared" si="581"/>
        <v>0</v>
      </c>
      <c r="CO114" s="91">
        <f t="shared" si="581"/>
        <v>0</v>
      </c>
      <c r="CP114" s="91">
        <f t="shared" si="581"/>
        <v>0</v>
      </c>
      <c r="CQ114" s="91">
        <f t="shared" si="581"/>
        <v>0</v>
      </c>
      <c r="CR114" s="91">
        <f t="shared" si="581"/>
        <v>0</v>
      </c>
      <c r="CS114" s="91">
        <f t="shared" si="581"/>
        <v>0</v>
      </c>
      <c r="CT114" s="91">
        <f t="shared" si="581"/>
        <v>0</v>
      </c>
      <c r="CU114" s="155">
        <f t="shared" si="581"/>
        <v>0</v>
      </c>
      <c r="CV114" s="91">
        <f t="shared" si="581"/>
        <v>0</v>
      </c>
      <c r="CW114" s="91">
        <f t="shared" si="581"/>
        <v>0</v>
      </c>
      <c r="CX114" s="91">
        <f t="shared" si="581"/>
        <v>0</v>
      </c>
      <c r="CY114" s="91">
        <f t="shared" si="581"/>
        <v>0</v>
      </c>
      <c r="CZ114" s="91">
        <f t="shared" si="581"/>
        <v>0</v>
      </c>
      <c r="DA114" s="91">
        <f t="shared" ref="DA114:DG114" si="582">+CZ114</f>
        <v>0</v>
      </c>
      <c r="DB114" s="91">
        <f t="shared" si="582"/>
        <v>0</v>
      </c>
      <c r="DC114" s="91">
        <f t="shared" si="582"/>
        <v>0</v>
      </c>
      <c r="DD114" s="91">
        <f t="shared" si="582"/>
        <v>0</v>
      </c>
      <c r="DE114" s="91">
        <f t="shared" si="582"/>
        <v>0</v>
      </c>
      <c r="DF114" s="91">
        <f t="shared" si="582"/>
        <v>0</v>
      </c>
      <c r="DG114" s="91">
        <f t="shared" si="582"/>
        <v>0</v>
      </c>
    </row>
    <row r="115" spans="1:111" x14ac:dyDescent="0.25">
      <c r="B115" s="1" t="s">
        <v>462</v>
      </c>
      <c r="C115" s="1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O115" s="33"/>
      <c r="P115" s="91">
        <v>0</v>
      </c>
      <c r="Q115" s="91">
        <v>0</v>
      </c>
      <c r="R115" s="91">
        <v>0</v>
      </c>
      <c r="S115" s="91">
        <v>0</v>
      </c>
      <c r="T115" s="91">
        <v>0</v>
      </c>
      <c r="U115" s="91">
        <v>0</v>
      </c>
      <c r="V115" s="91">
        <v>0</v>
      </c>
      <c r="W115" s="91">
        <v>0</v>
      </c>
      <c r="X115" s="91">
        <v>0</v>
      </c>
      <c r="Y115" s="91">
        <v>0</v>
      </c>
      <c r="Z115" s="91">
        <v>0</v>
      </c>
      <c r="AA115" s="91">
        <v>0</v>
      </c>
      <c r="AB115" s="91"/>
      <c r="AC115" s="91">
        <v>0</v>
      </c>
      <c r="AD115" s="91">
        <v>0</v>
      </c>
      <c r="AE115" s="91">
        <v>0</v>
      </c>
      <c r="AF115" s="91">
        <v>0</v>
      </c>
      <c r="AG115" s="91">
        <v>10570</v>
      </c>
      <c r="AH115" s="91">
        <v>0</v>
      </c>
      <c r="AI115" s="91">
        <v>0</v>
      </c>
      <c r="AJ115" s="91">
        <v>0</v>
      </c>
      <c r="AK115" s="91">
        <v>0</v>
      </c>
      <c r="AL115" s="91">
        <v>0</v>
      </c>
      <c r="AM115" s="91">
        <v>10000</v>
      </c>
      <c r="AN115" s="91">
        <v>0</v>
      </c>
      <c r="AO115" s="91">
        <v>0</v>
      </c>
      <c r="AP115" s="91">
        <v>0</v>
      </c>
      <c r="AQ115" s="91">
        <v>0</v>
      </c>
      <c r="AR115" s="91">
        <v>0</v>
      </c>
      <c r="AS115" s="155">
        <v>0</v>
      </c>
      <c r="AT115" s="194">
        <f t="shared" ref="AT115" si="583">AS115</f>
        <v>0</v>
      </c>
      <c r="AU115" s="91">
        <f t="shared" ref="AU115:CI115" si="584">AT115</f>
        <v>0</v>
      </c>
      <c r="AV115" s="91">
        <f t="shared" si="584"/>
        <v>0</v>
      </c>
      <c r="AW115" s="91">
        <f t="shared" si="584"/>
        <v>0</v>
      </c>
      <c r="AX115" s="91">
        <f t="shared" si="584"/>
        <v>0</v>
      </c>
      <c r="AY115" s="155">
        <f t="shared" si="584"/>
        <v>0</v>
      </c>
      <c r="AZ115" s="91">
        <f t="shared" si="584"/>
        <v>0</v>
      </c>
      <c r="BA115" s="91">
        <f t="shared" si="584"/>
        <v>0</v>
      </c>
      <c r="BB115" s="91">
        <f t="shared" si="584"/>
        <v>0</v>
      </c>
      <c r="BC115" s="91">
        <f t="shared" si="584"/>
        <v>0</v>
      </c>
      <c r="BD115" s="91">
        <f t="shared" si="584"/>
        <v>0</v>
      </c>
      <c r="BE115" s="91">
        <f t="shared" si="584"/>
        <v>0</v>
      </c>
      <c r="BF115" s="91">
        <f t="shared" si="584"/>
        <v>0</v>
      </c>
      <c r="BG115" s="91">
        <f t="shared" si="584"/>
        <v>0</v>
      </c>
      <c r="BH115" s="91">
        <f t="shared" si="584"/>
        <v>0</v>
      </c>
      <c r="BI115" s="91">
        <f t="shared" si="584"/>
        <v>0</v>
      </c>
      <c r="BJ115" s="91">
        <f t="shared" si="584"/>
        <v>0</v>
      </c>
      <c r="BK115" s="155">
        <f t="shared" si="584"/>
        <v>0</v>
      </c>
      <c r="BL115" s="91">
        <f t="shared" si="584"/>
        <v>0</v>
      </c>
      <c r="BM115" s="91">
        <f t="shared" si="584"/>
        <v>0</v>
      </c>
      <c r="BN115" s="91">
        <f t="shared" si="584"/>
        <v>0</v>
      </c>
      <c r="BO115" s="91">
        <f t="shared" si="584"/>
        <v>0</v>
      </c>
      <c r="BP115" s="91">
        <f t="shared" si="584"/>
        <v>0</v>
      </c>
      <c r="BQ115" s="91">
        <f t="shared" si="584"/>
        <v>0</v>
      </c>
      <c r="BR115" s="91">
        <f t="shared" si="584"/>
        <v>0</v>
      </c>
      <c r="BS115" s="91">
        <f t="shared" si="584"/>
        <v>0</v>
      </c>
      <c r="BT115" s="91">
        <f t="shared" si="584"/>
        <v>0</v>
      </c>
      <c r="BU115" s="91">
        <f t="shared" si="584"/>
        <v>0</v>
      </c>
      <c r="BV115" s="91">
        <f t="shared" si="584"/>
        <v>0</v>
      </c>
      <c r="BW115" s="155">
        <f t="shared" si="584"/>
        <v>0</v>
      </c>
      <c r="BX115" s="91">
        <f t="shared" si="584"/>
        <v>0</v>
      </c>
      <c r="BY115" s="91">
        <f t="shared" si="584"/>
        <v>0</v>
      </c>
      <c r="BZ115" s="91">
        <f t="shared" si="584"/>
        <v>0</v>
      </c>
      <c r="CA115" s="91">
        <f t="shared" si="584"/>
        <v>0</v>
      </c>
      <c r="CB115" s="91">
        <f t="shared" si="584"/>
        <v>0</v>
      </c>
      <c r="CC115" s="91">
        <f t="shared" si="584"/>
        <v>0</v>
      </c>
      <c r="CD115" s="91">
        <f t="shared" si="584"/>
        <v>0</v>
      </c>
      <c r="CE115" s="91">
        <f t="shared" si="584"/>
        <v>0</v>
      </c>
      <c r="CF115" s="91">
        <f t="shared" si="584"/>
        <v>0</v>
      </c>
      <c r="CG115" s="91">
        <f t="shared" si="584"/>
        <v>0</v>
      </c>
      <c r="CH115" s="91">
        <f t="shared" si="584"/>
        <v>0</v>
      </c>
      <c r="CI115" s="155">
        <f t="shared" si="584"/>
        <v>0</v>
      </c>
      <c r="CJ115" s="91">
        <f t="shared" ref="CJ115:DG115" si="585">CI115</f>
        <v>0</v>
      </c>
      <c r="CK115" s="91">
        <f t="shared" si="585"/>
        <v>0</v>
      </c>
      <c r="CL115" s="91">
        <f t="shared" si="585"/>
        <v>0</v>
      </c>
      <c r="CM115" s="91">
        <f t="shared" si="585"/>
        <v>0</v>
      </c>
      <c r="CN115" s="91">
        <f t="shared" si="585"/>
        <v>0</v>
      </c>
      <c r="CO115" s="91">
        <f t="shared" si="585"/>
        <v>0</v>
      </c>
      <c r="CP115" s="91">
        <f t="shared" si="585"/>
        <v>0</v>
      </c>
      <c r="CQ115" s="91">
        <f t="shared" si="585"/>
        <v>0</v>
      </c>
      <c r="CR115" s="91">
        <f t="shared" si="585"/>
        <v>0</v>
      </c>
      <c r="CS115" s="91">
        <f t="shared" si="585"/>
        <v>0</v>
      </c>
      <c r="CT115" s="91">
        <f t="shared" si="585"/>
        <v>0</v>
      </c>
      <c r="CU115" s="155">
        <f t="shared" si="585"/>
        <v>0</v>
      </c>
      <c r="CV115" s="91">
        <f t="shared" si="585"/>
        <v>0</v>
      </c>
      <c r="CW115" s="91">
        <f t="shared" si="585"/>
        <v>0</v>
      </c>
      <c r="CX115" s="91">
        <f t="shared" si="585"/>
        <v>0</v>
      </c>
      <c r="CY115" s="91">
        <f t="shared" si="585"/>
        <v>0</v>
      </c>
      <c r="CZ115" s="91">
        <f t="shared" si="585"/>
        <v>0</v>
      </c>
      <c r="DA115" s="91">
        <f t="shared" si="585"/>
        <v>0</v>
      </c>
      <c r="DB115" s="91">
        <f t="shared" si="585"/>
        <v>0</v>
      </c>
      <c r="DC115" s="91">
        <f t="shared" si="585"/>
        <v>0</v>
      </c>
      <c r="DD115" s="91">
        <f t="shared" si="585"/>
        <v>0</v>
      </c>
      <c r="DE115" s="91">
        <f t="shared" si="585"/>
        <v>0</v>
      </c>
      <c r="DF115" s="91">
        <f t="shared" si="585"/>
        <v>0</v>
      </c>
      <c r="DG115" s="91">
        <f t="shared" si="585"/>
        <v>0</v>
      </c>
    </row>
    <row r="116" spans="1:111" x14ac:dyDescent="0.25">
      <c r="B116" s="1" t="s">
        <v>463</v>
      </c>
      <c r="C116" s="1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O116" s="33"/>
      <c r="P116" s="91">
        <v>0</v>
      </c>
      <c r="Q116" s="91">
        <v>0</v>
      </c>
      <c r="R116" s="91">
        <v>0</v>
      </c>
      <c r="S116" s="91">
        <v>0</v>
      </c>
      <c r="T116" s="91">
        <v>0</v>
      </c>
      <c r="U116" s="91">
        <v>0</v>
      </c>
      <c r="V116" s="91">
        <v>0</v>
      </c>
      <c r="W116" s="91">
        <v>0</v>
      </c>
      <c r="X116" s="91">
        <v>0</v>
      </c>
      <c r="Y116" s="91">
        <v>0</v>
      </c>
      <c r="Z116" s="91">
        <v>0</v>
      </c>
      <c r="AA116" s="91">
        <v>0</v>
      </c>
      <c r="AB116" s="91"/>
      <c r="AC116" s="91">
        <v>0</v>
      </c>
      <c r="AD116" s="91">
        <v>0</v>
      </c>
      <c r="AE116" s="91">
        <v>0</v>
      </c>
      <c r="AF116" s="91">
        <v>14000</v>
      </c>
      <c r="AG116" s="91">
        <v>14000</v>
      </c>
      <c r="AH116" s="91">
        <v>14000</v>
      </c>
      <c r="AI116" s="91">
        <v>0</v>
      </c>
      <c r="AJ116" s="91">
        <v>0</v>
      </c>
      <c r="AK116" s="91">
        <v>0</v>
      </c>
      <c r="AL116" s="91">
        <v>0</v>
      </c>
      <c r="AM116" s="91">
        <v>0</v>
      </c>
      <c r="AN116" s="91">
        <v>0</v>
      </c>
      <c r="AO116" s="91">
        <v>0</v>
      </c>
      <c r="AP116" s="91">
        <v>1498</v>
      </c>
      <c r="AQ116" s="91">
        <v>1498</v>
      </c>
      <c r="AR116" s="91">
        <v>6298</v>
      </c>
      <c r="AS116" s="155">
        <v>5773.17</v>
      </c>
      <c r="AT116" s="194">
        <v>0</v>
      </c>
      <c r="AU116" s="91">
        <v>0</v>
      </c>
      <c r="AV116" s="91">
        <v>0</v>
      </c>
      <c r="AW116" s="91">
        <v>0</v>
      </c>
      <c r="AX116" s="91">
        <v>0</v>
      </c>
      <c r="AY116" s="155">
        <v>0</v>
      </c>
      <c r="AZ116" s="91">
        <v>0</v>
      </c>
      <c r="BA116" s="91">
        <v>0</v>
      </c>
      <c r="BB116" s="91">
        <v>0</v>
      </c>
      <c r="BC116" s="91">
        <v>0</v>
      </c>
      <c r="BD116" s="91">
        <v>0</v>
      </c>
      <c r="BE116" s="91">
        <v>0</v>
      </c>
      <c r="BF116" s="91">
        <v>0</v>
      </c>
      <c r="BG116" s="91">
        <v>0</v>
      </c>
      <c r="BH116" s="91">
        <v>0</v>
      </c>
      <c r="BI116" s="91">
        <v>0</v>
      </c>
      <c r="BJ116" s="91">
        <v>0</v>
      </c>
      <c r="BK116" s="155">
        <v>0</v>
      </c>
      <c r="BL116" s="91">
        <v>0</v>
      </c>
      <c r="BM116" s="91">
        <v>0</v>
      </c>
      <c r="BN116" s="91">
        <v>0</v>
      </c>
      <c r="BO116" s="91">
        <v>0</v>
      </c>
      <c r="BP116" s="91">
        <v>0</v>
      </c>
      <c r="BQ116" s="91">
        <v>0</v>
      </c>
      <c r="BR116" s="91">
        <v>0</v>
      </c>
      <c r="BS116" s="91">
        <v>0</v>
      </c>
      <c r="BT116" s="91">
        <v>0</v>
      </c>
      <c r="BU116" s="91">
        <v>0</v>
      </c>
      <c r="BV116" s="91">
        <v>0</v>
      </c>
      <c r="BW116" s="155">
        <v>0</v>
      </c>
      <c r="BX116" s="91">
        <v>0</v>
      </c>
      <c r="BY116" s="91">
        <v>0</v>
      </c>
      <c r="BZ116" s="91">
        <v>0</v>
      </c>
      <c r="CA116" s="91">
        <v>0</v>
      </c>
      <c r="CB116" s="91">
        <v>0</v>
      </c>
      <c r="CC116" s="91">
        <v>0</v>
      </c>
      <c r="CD116" s="91">
        <v>0</v>
      </c>
      <c r="CE116" s="91">
        <v>0</v>
      </c>
      <c r="CF116" s="91">
        <v>0</v>
      </c>
      <c r="CG116" s="91">
        <v>0</v>
      </c>
      <c r="CH116" s="91">
        <v>0</v>
      </c>
      <c r="CI116" s="155">
        <v>0</v>
      </c>
      <c r="CJ116" s="91">
        <v>0</v>
      </c>
      <c r="CK116" s="91">
        <v>0</v>
      </c>
      <c r="CL116" s="91">
        <v>0</v>
      </c>
      <c r="CM116" s="91">
        <v>0</v>
      </c>
      <c r="CN116" s="91">
        <v>0</v>
      </c>
      <c r="CO116" s="91">
        <v>0</v>
      </c>
      <c r="CP116" s="91">
        <v>0</v>
      </c>
      <c r="CQ116" s="91">
        <v>0</v>
      </c>
      <c r="CR116" s="91">
        <v>0</v>
      </c>
      <c r="CS116" s="91">
        <v>0</v>
      </c>
      <c r="CT116" s="91">
        <v>0</v>
      </c>
      <c r="CU116" s="155">
        <v>0</v>
      </c>
      <c r="CV116" s="91">
        <v>0</v>
      </c>
      <c r="CW116" s="91">
        <v>0</v>
      </c>
      <c r="CX116" s="91">
        <v>0</v>
      </c>
      <c r="CY116" s="91">
        <v>0</v>
      </c>
      <c r="CZ116" s="91">
        <v>0</v>
      </c>
      <c r="DA116" s="91">
        <v>0</v>
      </c>
      <c r="DB116" s="91">
        <v>0</v>
      </c>
      <c r="DC116" s="91">
        <v>0</v>
      </c>
      <c r="DD116" s="91">
        <v>0</v>
      </c>
      <c r="DE116" s="91">
        <v>0</v>
      </c>
      <c r="DF116" s="91">
        <v>0</v>
      </c>
      <c r="DG116" s="91">
        <v>0</v>
      </c>
    </row>
    <row r="117" spans="1:111" x14ac:dyDescent="0.25">
      <c r="A117" s="5"/>
      <c r="B117" s="6" t="s">
        <v>204</v>
      </c>
      <c r="C117" s="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>
        <f>+SUM(P115:P116)</f>
        <v>0</v>
      </c>
      <c r="Q117" s="36">
        <f t="shared" ref="Q117:V117" si="586">+SUM(Q115:Q116)</f>
        <v>0</v>
      </c>
      <c r="R117" s="36">
        <f t="shared" si="586"/>
        <v>0</v>
      </c>
      <c r="S117" s="36">
        <f t="shared" si="586"/>
        <v>0</v>
      </c>
      <c r="T117" s="36">
        <f t="shared" si="586"/>
        <v>0</v>
      </c>
      <c r="U117" s="36">
        <f t="shared" si="586"/>
        <v>0</v>
      </c>
      <c r="V117" s="36">
        <f t="shared" si="586"/>
        <v>0</v>
      </c>
      <c r="W117" s="36">
        <f t="shared" ref="W117:AA117" si="587">+SUM(W115:W116)</f>
        <v>0</v>
      </c>
      <c r="X117" s="36">
        <f t="shared" si="587"/>
        <v>0</v>
      </c>
      <c r="Y117" s="36">
        <f t="shared" si="587"/>
        <v>0</v>
      </c>
      <c r="Z117" s="36">
        <f t="shared" si="587"/>
        <v>0</v>
      </c>
      <c r="AA117" s="36">
        <f t="shared" si="587"/>
        <v>0</v>
      </c>
      <c r="AB117" s="36">
        <f>+SUM(AB114:AB116)</f>
        <v>0</v>
      </c>
      <c r="AC117" s="36">
        <f t="shared" ref="AC117:CN117" si="588">+SUM(AC114:AC116)</f>
        <v>0</v>
      </c>
      <c r="AD117" s="36">
        <f t="shared" si="588"/>
        <v>0</v>
      </c>
      <c r="AE117" s="36">
        <f t="shared" si="588"/>
        <v>0</v>
      </c>
      <c r="AF117" s="36">
        <f t="shared" si="588"/>
        <v>14000</v>
      </c>
      <c r="AG117" s="36">
        <f t="shared" si="588"/>
        <v>24570</v>
      </c>
      <c r="AH117" s="36">
        <f t="shared" si="588"/>
        <v>14000</v>
      </c>
      <c r="AI117" s="36">
        <f t="shared" si="588"/>
        <v>28178</v>
      </c>
      <c r="AJ117" s="36">
        <f t="shared" si="588"/>
        <v>28178</v>
      </c>
      <c r="AK117" s="36">
        <f t="shared" si="588"/>
        <v>74875.12</v>
      </c>
      <c r="AL117" s="36">
        <f t="shared" si="588"/>
        <v>74875.12</v>
      </c>
      <c r="AM117" s="36">
        <f t="shared" si="588"/>
        <v>32462.54</v>
      </c>
      <c r="AN117" s="36">
        <f t="shared" ref="AN117" si="589">+SUM(AN114:AN116)</f>
        <v>7487.52</v>
      </c>
      <c r="AO117" s="36">
        <f t="shared" ref="AO117:AP117" si="590">+SUM(AO114:AO116)</f>
        <v>0</v>
      </c>
      <c r="AP117" s="36">
        <f t="shared" si="590"/>
        <v>1498</v>
      </c>
      <c r="AQ117" s="36">
        <f t="shared" ref="AQ117:AR117" si="591">+SUM(AQ114:AQ116)</f>
        <v>1498</v>
      </c>
      <c r="AR117" s="36">
        <f t="shared" si="591"/>
        <v>6298</v>
      </c>
      <c r="AS117" s="159">
        <f t="shared" ref="AS117" si="592">+SUM(AS114:AS116)</f>
        <v>5773.17</v>
      </c>
      <c r="AT117" s="36">
        <f t="shared" ref="AT117" si="593">+SUM(AT114:AT116)</f>
        <v>0</v>
      </c>
      <c r="AU117" s="36">
        <f t="shared" si="588"/>
        <v>0</v>
      </c>
      <c r="AV117" s="36">
        <f t="shared" si="588"/>
        <v>0</v>
      </c>
      <c r="AW117" s="36">
        <f t="shared" si="588"/>
        <v>0</v>
      </c>
      <c r="AX117" s="36">
        <f t="shared" si="588"/>
        <v>0</v>
      </c>
      <c r="AY117" s="159">
        <f t="shared" si="588"/>
        <v>0</v>
      </c>
      <c r="AZ117" s="36">
        <f t="shared" si="588"/>
        <v>0</v>
      </c>
      <c r="BA117" s="36">
        <f t="shared" si="588"/>
        <v>0</v>
      </c>
      <c r="BB117" s="36">
        <f t="shared" si="588"/>
        <v>0</v>
      </c>
      <c r="BC117" s="36">
        <f t="shared" si="588"/>
        <v>0</v>
      </c>
      <c r="BD117" s="36">
        <f t="shared" si="588"/>
        <v>0</v>
      </c>
      <c r="BE117" s="36">
        <f t="shared" si="588"/>
        <v>0</v>
      </c>
      <c r="BF117" s="36">
        <f t="shared" si="588"/>
        <v>0</v>
      </c>
      <c r="BG117" s="36">
        <f t="shared" si="588"/>
        <v>0</v>
      </c>
      <c r="BH117" s="36">
        <f t="shared" si="588"/>
        <v>0</v>
      </c>
      <c r="BI117" s="36">
        <f t="shared" si="588"/>
        <v>0</v>
      </c>
      <c r="BJ117" s="36">
        <f t="shared" si="588"/>
        <v>0</v>
      </c>
      <c r="BK117" s="159">
        <f t="shared" si="588"/>
        <v>0</v>
      </c>
      <c r="BL117" s="36">
        <f t="shared" si="588"/>
        <v>0</v>
      </c>
      <c r="BM117" s="36">
        <f t="shared" si="588"/>
        <v>0</v>
      </c>
      <c r="BN117" s="36">
        <f t="shared" si="588"/>
        <v>0</v>
      </c>
      <c r="BO117" s="36">
        <f t="shared" si="588"/>
        <v>0</v>
      </c>
      <c r="BP117" s="36">
        <f t="shared" si="588"/>
        <v>0</v>
      </c>
      <c r="BQ117" s="36">
        <f t="shared" si="588"/>
        <v>0</v>
      </c>
      <c r="BR117" s="36">
        <f t="shared" si="588"/>
        <v>0</v>
      </c>
      <c r="BS117" s="36">
        <f t="shared" si="588"/>
        <v>0</v>
      </c>
      <c r="BT117" s="36">
        <f t="shared" si="588"/>
        <v>0</v>
      </c>
      <c r="BU117" s="36">
        <f t="shared" si="588"/>
        <v>0</v>
      </c>
      <c r="BV117" s="36">
        <f t="shared" si="588"/>
        <v>0</v>
      </c>
      <c r="BW117" s="159">
        <f t="shared" si="588"/>
        <v>0</v>
      </c>
      <c r="BX117" s="36">
        <f t="shared" si="588"/>
        <v>0</v>
      </c>
      <c r="BY117" s="36">
        <f t="shared" si="588"/>
        <v>0</v>
      </c>
      <c r="BZ117" s="36">
        <f t="shared" si="588"/>
        <v>0</v>
      </c>
      <c r="CA117" s="36">
        <f t="shared" si="588"/>
        <v>0</v>
      </c>
      <c r="CB117" s="36">
        <f t="shared" si="588"/>
        <v>0</v>
      </c>
      <c r="CC117" s="36">
        <f t="shared" si="588"/>
        <v>0</v>
      </c>
      <c r="CD117" s="36">
        <f t="shared" si="588"/>
        <v>0</v>
      </c>
      <c r="CE117" s="36">
        <f t="shared" si="588"/>
        <v>0</v>
      </c>
      <c r="CF117" s="36">
        <f t="shared" si="588"/>
        <v>0</v>
      </c>
      <c r="CG117" s="36">
        <f t="shared" si="588"/>
        <v>0</v>
      </c>
      <c r="CH117" s="36">
        <f t="shared" si="588"/>
        <v>0</v>
      </c>
      <c r="CI117" s="159">
        <f t="shared" si="588"/>
        <v>0</v>
      </c>
      <c r="CJ117" s="36">
        <f t="shared" si="588"/>
        <v>0</v>
      </c>
      <c r="CK117" s="36">
        <f t="shared" si="588"/>
        <v>0</v>
      </c>
      <c r="CL117" s="36">
        <f t="shared" si="588"/>
        <v>0</v>
      </c>
      <c r="CM117" s="36">
        <f t="shared" si="588"/>
        <v>0</v>
      </c>
      <c r="CN117" s="36">
        <f t="shared" si="588"/>
        <v>0</v>
      </c>
      <c r="CO117" s="36">
        <f t="shared" ref="CO117:DG117" si="594">+SUM(CO114:CO116)</f>
        <v>0</v>
      </c>
      <c r="CP117" s="36">
        <f t="shared" si="594"/>
        <v>0</v>
      </c>
      <c r="CQ117" s="36">
        <f t="shared" si="594"/>
        <v>0</v>
      </c>
      <c r="CR117" s="36">
        <f t="shared" si="594"/>
        <v>0</v>
      </c>
      <c r="CS117" s="36">
        <f t="shared" si="594"/>
        <v>0</v>
      </c>
      <c r="CT117" s="36">
        <f t="shared" si="594"/>
        <v>0</v>
      </c>
      <c r="CU117" s="159">
        <f t="shared" si="594"/>
        <v>0</v>
      </c>
      <c r="CV117" s="36">
        <f t="shared" si="594"/>
        <v>0</v>
      </c>
      <c r="CW117" s="36">
        <f t="shared" si="594"/>
        <v>0</v>
      </c>
      <c r="CX117" s="36">
        <f t="shared" si="594"/>
        <v>0</v>
      </c>
      <c r="CY117" s="36">
        <f t="shared" si="594"/>
        <v>0</v>
      </c>
      <c r="CZ117" s="36">
        <f t="shared" si="594"/>
        <v>0</v>
      </c>
      <c r="DA117" s="36">
        <f t="shared" si="594"/>
        <v>0</v>
      </c>
      <c r="DB117" s="36">
        <f t="shared" si="594"/>
        <v>0</v>
      </c>
      <c r="DC117" s="36">
        <f t="shared" si="594"/>
        <v>0</v>
      </c>
      <c r="DD117" s="36">
        <f t="shared" si="594"/>
        <v>0</v>
      </c>
      <c r="DE117" s="36">
        <f t="shared" si="594"/>
        <v>0</v>
      </c>
      <c r="DF117" s="36">
        <f t="shared" si="594"/>
        <v>0</v>
      </c>
      <c r="DG117" s="36">
        <f t="shared" si="594"/>
        <v>0</v>
      </c>
    </row>
    <row r="118" spans="1:111" s="5" customFormat="1" x14ac:dyDescent="0.25">
      <c r="A118"/>
      <c r="B118" s="1" t="s">
        <v>20</v>
      </c>
      <c r="C118" s="1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39"/>
      <c r="P118" s="39">
        <f t="shared" ref="P118:V118" si="595">P111+P106+P117</f>
        <v>1685.41</v>
      </c>
      <c r="Q118" s="39">
        <f t="shared" si="595"/>
        <v>1215.79</v>
      </c>
      <c r="R118" s="39">
        <f t="shared" si="595"/>
        <v>888.6</v>
      </c>
      <c r="S118" s="39">
        <f t="shared" si="595"/>
        <v>721.97</v>
      </c>
      <c r="T118" s="39">
        <f t="shared" si="595"/>
        <v>75385.05</v>
      </c>
      <c r="U118" s="39">
        <f t="shared" si="595"/>
        <v>71768.56</v>
      </c>
      <c r="V118" s="39">
        <f t="shared" si="595"/>
        <v>71854.92</v>
      </c>
      <c r="W118" s="39">
        <f t="shared" ref="W118:AA118" si="596">W111+W106+W117</f>
        <v>51317.03</v>
      </c>
      <c r="X118" s="39">
        <f t="shared" si="596"/>
        <v>48758.799999999996</v>
      </c>
      <c r="Y118" s="39">
        <f t="shared" si="596"/>
        <v>118050.05</v>
      </c>
      <c r="Z118" s="39">
        <f t="shared" si="596"/>
        <v>143860.1</v>
      </c>
      <c r="AA118" s="39">
        <f t="shared" si="596"/>
        <v>194649.22999999998</v>
      </c>
      <c r="AB118" s="39">
        <f t="shared" ref="AB118:AC118" si="597">AB111+AB106+AB117</f>
        <v>95197.94</v>
      </c>
      <c r="AC118" s="39">
        <f t="shared" si="597"/>
        <v>146721.93</v>
      </c>
      <c r="AD118" s="39">
        <f t="shared" ref="AD118:AE118" si="598">AD111+AD106+AD117</f>
        <v>152555.54</v>
      </c>
      <c r="AE118" s="39">
        <f t="shared" si="598"/>
        <v>97184.3</v>
      </c>
      <c r="AF118" s="39">
        <f t="shared" ref="AF118:AG118" si="599">AF111+AF106+AF117</f>
        <v>80293.64</v>
      </c>
      <c r="AG118" s="39">
        <f t="shared" si="599"/>
        <v>69509.600000000006</v>
      </c>
      <c r="AH118" s="39">
        <f t="shared" ref="AH118:AI118" si="600">AH111+AH106+AH117</f>
        <v>42799.97</v>
      </c>
      <c r="AI118" s="39">
        <f t="shared" si="600"/>
        <v>48687.54</v>
      </c>
      <c r="AJ118" s="39">
        <f t="shared" ref="AJ118:AK118" si="601">AJ111+AJ106+AJ117</f>
        <v>61444.22</v>
      </c>
      <c r="AK118" s="39">
        <f t="shared" si="601"/>
        <v>111450.70999999999</v>
      </c>
      <c r="AL118" s="39">
        <f t="shared" ref="AL118:AM118" si="602">AL111+AL106+AL117</f>
        <v>105010.85999999999</v>
      </c>
      <c r="AM118" s="39">
        <f t="shared" si="602"/>
        <v>127200.57</v>
      </c>
      <c r="AN118" s="39">
        <f t="shared" ref="AN118" si="603">AN111+AN106+AN117</f>
        <v>106455.03000000001</v>
      </c>
      <c r="AO118" s="39">
        <f t="shared" ref="AO118:AP118" si="604">AO111+AO106+AO117</f>
        <v>78955.17</v>
      </c>
      <c r="AP118" s="39">
        <f t="shared" si="604"/>
        <v>35993.21</v>
      </c>
      <c r="AQ118" s="39">
        <f t="shared" ref="AQ118:AR118" si="605">AQ111+AQ106+AQ117</f>
        <v>28880.809999999998</v>
      </c>
      <c r="AR118" s="39">
        <f t="shared" si="605"/>
        <v>109150.75</v>
      </c>
      <c r="AS118" s="157">
        <f t="shared" ref="AS118" si="606">AS111+AS106+AS117</f>
        <v>98471.08</v>
      </c>
      <c r="AT118" s="39">
        <f>AT111+AT106+AT117</f>
        <v>25726.910690679135</v>
      </c>
      <c r="AU118" s="39">
        <f t="shared" ref="AU118:CB118" si="607">AU111+AU106+AU117</f>
        <v>19992.556668276044</v>
      </c>
      <c r="AV118" s="39">
        <f t="shared" si="607"/>
        <v>9727.721133845007</v>
      </c>
      <c r="AW118" s="39">
        <f t="shared" si="607"/>
        <v>1891.2122744705709</v>
      </c>
      <c r="AX118" s="39">
        <f t="shared" si="607"/>
        <v>246478.19561255749</v>
      </c>
      <c r="AY118" s="157">
        <f t="shared" si="607"/>
        <v>238302.08790244226</v>
      </c>
      <c r="AZ118" s="39">
        <f t="shared" si="607"/>
        <v>230312.93345121393</v>
      </c>
      <c r="BA118" s="39">
        <f t="shared" si="607"/>
        <v>174677.01221886103</v>
      </c>
      <c r="BB118" s="39">
        <f t="shared" si="607"/>
        <v>623514.89722404687</v>
      </c>
      <c r="BC118" s="39">
        <f t="shared" si="607"/>
        <v>1038367.1579492391</v>
      </c>
      <c r="BD118" s="39">
        <f t="shared" si="607"/>
        <v>961249.35288887157</v>
      </c>
      <c r="BE118" s="39">
        <f t="shared" si="607"/>
        <v>526832.7385937362</v>
      </c>
      <c r="BF118" s="39">
        <f t="shared" si="607"/>
        <v>618815.08858620701</v>
      </c>
      <c r="BG118" s="39">
        <f t="shared" si="607"/>
        <v>504936.13554560277</v>
      </c>
      <c r="BH118" s="39">
        <f t="shared" si="607"/>
        <v>594771.85278613609</v>
      </c>
      <c r="BI118" s="39">
        <f t="shared" si="607"/>
        <v>397745.57339236641</v>
      </c>
      <c r="BJ118" s="39">
        <f t="shared" si="607"/>
        <v>796137.86745219515</v>
      </c>
      <c r="BK118" s="157">
        <f t="shared" si="607"/>
        <v>693599.01069611893</v>
      </c>
      <c r="BL118" s="39">
        <f t="shared" si="607"/>
        <v>675031.01958419546</v>
      </c>
      <c r="BM118" s="39">
        <f t="shared" si="607"/>
        <v>591833.96449841128</v>
      </c>
      <c r="BN118" s="39">
        <f t="shared" si="607"/>
        <v>1389116.2930347847</v>
      </c>
      <c r="BO118" s="39">
        <f t="shared" si="607"/>
        <v>2120494.3268105974</v>
      </c>
      <c r="BP118" s="39">
        <f t="shared" si="607"/>
        <v>2067401.6311246778</v>
      </c>
      <c r="BQ118" s="39">
        <f t="shared" si="607"/>
        <v>1443680.3742620903</v>
      </c>
      <c r="BR118" s="39">
        <f t="shared" si="607"/>
        <v>1677330.4789499019</v>
      </c>
      <c r="BS118" s="39">
        <f t="shared" si="607"/>
        <v>1532079.4661036944</v>
      </c>
      <c r="BT118" s="39">
        <f t="shared" si="607"/>
        <v>1716284.7133432957</v>
      </c>
      <c r="BU118" s="39">
        <f t="shared" si="607"/>
        <v>1461592.9640953802</v>
      </c>
      <c r="BV118" s="39">
        <f t="shared" si="607"/>
        <v>2017404.1979875523</v>
      </c>
      <c r="BW118" s="157">
        <f t="shared" si="607"/>
        <v>1748603.3570781271</v>
      </c>
      <c r="BX118" s="39">
        <f t="shared" si="607"/>
        <v>1725279.1620520444</v>
      </c>
      <c r="BY118" s="39">
        <f t="shared" si="607"/>
        <v>1609778.959955516</v>
      </c>
      <c r="BZ118" s="39">
        <f t="shared" si="607"/>
        <v>2711998.9949767375</v>
      </c>
      <c r="CA118" s="39">
        <f t="shared" si="607"/>
        <v>3718676.5182005214</v>
      </c>
      <c r="CB118" s="39">
        <f t="shared" si="607"/>
        <v>3673659.5277795726</v>
      </c>
      <c r="CC118" s="39">
        <f t="shared" ref="CC118:DG118" si="608">CC111+CC106+CC117</f>
        <v>2868917.5061188815</v>
      </c>
      <c r="CD118" s="39">
        <f t="shared" si="608"/>
        <v>3222284.3914895058</v>
      </c>
      <c r="CE118" s="39">
        <f t="shared" si="608"/>
        <v>3040989.1436178954</v>
      </c>
      <c r="CF118" s="39">
        <f t="shared" si="608"/>
        <v>3302824.7230514963</v>
      </c>
      <c r="CG118" s="39">
        <f t="shared" si="608"/>
        <v>2986042.4574659117</v>
      </c>
      <c r="CH118" s="39">
        <f t="shared" si="608"/>
        <v>3623882.3512735134</v>
      </c>
      <c r="CI118" s="157">
        <f t="shared" si="608"/>
        <v>3223629.2529333606</v>
      </c>
      <c r="CJ118" s="39">
        <f t="shared" si="608"/>
        <v>3194224.798623974</v>
      </c>
      <c r="CK118" s="39">
        <f t="shared" si="608"/>
        <v>3061805.8537410065</v>
      </c>
      <c r="CL118" s="39">
        <f t="shared" si="608"/>
        <v>4330106.6638567811</v>
      </c>
      <c r="CM118" s="39">
        <f t="shared" si="608"/>
        <v>5489807.0100747822</v>
      </c>
      <c r="CN118" s="39">
        <f t="shared" si="608"/>
        <v>5427086.1852713628</v>
      </c>
      <c r="CO118" s="39">
        <f t="shared" si="608"/>
        <v>4480943.7990089981</v>
      </c>
      <c r="CP118" s="39">
        <f t="shared" si="608"/>
        <v>4882079.3796388702</v>
      </c>
      <c r="CQ118" s="39">
        <f t="shared" si="608"/>
        <v>4669894.1975700371</v>
      </c>
      <c r="CR118" s="39">
        <f t="shared" si="608"/>
        <v>4967937.3022834854</v>
      </c>
      <c r="CS118" s="39">
        <f t="shared" si="608"/>
        <v>4591464.0262268987</v>
      </c>
      <c r="CT118" s="39">
        <f t="shared" si="608"/>
        <v>5444830.5883684186</v>
      </c>
      <c r="CU118" s="157">
        <f t="shared" si="608"/>
        <v>4990647.5902155647</v>
      </c>
      <c r="CV118" s="39">
        <f t="shared" si="608"/>
        <v>4949853.6499774773</v>
      </c>
      <c r="CW118" s="39">
        <f t="shared" si="608"/>
        <v>4774730.5071503548</v>
      </c>
      <c r="CX118" s="39">
        <f t="shared" si="608"/>
        <v>6462302.2705172151</v>
      </c>
      <c r="CY118" s="39">
        <f t="shared" si="608"/>
        <v>8001724.5891981144</v>
      </c>
      <c r="CZ118" s="39">
        <f t="shared" si="608"/>
        <v>7932265.8314548871</v>
      </c>
      <c r="DA118" s="39">
        <f t="shared" si="608"/>
        <v>6708858.2619128013</v>
      </c>
      <c r="DB118" s="39">
        <f t="shared" si="608"/>
        <v>7255979.7629254684</v>
      </c>
      <c r="DC118" s="39">
        <f t="shared" si="608"/>
        <v>6982616.9051487185</v>
      </c>
      <c r="DD118" s="39">
        <f t="shared" si="608"/>
        <v>7386536.2982953144</v>
      </c>
      <c r="DE118" s="39">
        <f t="shared" si="608"/>
        <v>6905731.6712837946</v>
      </c>
      <c r="DF118" s="39">
        <f t="shared" si="608"/>
        <v>7825318.1503974767</v>
      </c>
      <c r="DG118" s="39">
        <f t="shared" si="608"/>
        <v>7213769.9504114687</v>
      </c>
    </row>
    <row r="119" spans="1:111" x14ac:dyDescent="0.25">
      <c r="B119" s="1" t="s">
        <v>516</v>
      </c>
      <c r="C119" s="1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O119" s="33"/>
      <c r="P119" s="91">
        <v>0</v>
      </c>
      <c r="Q119" s="91">
        <v>0</v>
      </c>
      <c r="R119" s="91">
        <v>0</v>
      </c>
      <c r="S119" s="91">
        <v>0</v>
      </c>
      <c r="T119" s="91">
        <v>0</v>
      </c>
      <c r="U119" s="91">
        <v>0</v>
      </c>
      <c r="V119" s="91">
        <v>0</v>
      </c>
      <c r="W119" s="91">
        <v>0</v>
      </c>
      <c r="X119" s="91">
        <v>0</v>
      </c>
      <c r="Y119" s="91">
        <v>0</v>
      </c>
      <c r="Z119" s="91">
        <v>0</v>
      </c>
      <c r="AA119" s="91">
        <v>0</v>
      </c>
      <c r="AB119" s="91"/>
      <c r="AC119" s="91">
        <v>0</v>
      </c>
      <c r="AD119" s="91">
        <v>0</v>
      </c>
      <c r="AE119" s="91">
        <v>0</v>
      </c>
      <c r="AF119" s="91">
        <v>0</v>
      </c>
      <c r="AG119" s="91">
        <v>0</v>
      </c>
      <c r="AH119" s="91">
        <v>0</v>
      </c>
      <c r="AI119" s="91">
        <v>0</v>
      </c>
      <c r="AJ119" s="91"/>
      <c r="AK119" s="91">
        <v>0</v>
      </c>
      <c r="AL119" s="91">
        <v>1250</v>
      </c>
      <c r="AM119" s="91">
        <v>2500</v>
      </c>
      <c r="AN119" s="91">
        <v>2500</v>
      </c>
      <c r="AO119" s="91">
        <v>2500</v>
      </c>
      <c r="AP119" s="91">
        <v>2500</v>
      </c>
      <c r="AQ119" s="91">
        <v>2500</v>
      </c>
      <c r="AR119" s="91">
        <v>2500</v>
      </c>
      <c r="AS119" s="155">
        <v>2500</v>
      </c>
      <c r="AT119" s="194">
        <f t="shared" ref="AT119" si="609">AS119</f>
        <v>2500</v>
      </c>
      <c r="AU119" s="91">
        <f t="shared" ref="AU119" si="610">AT119</f>
        <v>2500</v>
      </c>
      <c r="AV119" s="91">
        <f t="shared" ref="AV119" si="611">AU119</f>
        <v>2500</v>
      </c>
      <c r="AW119" s="91">
        <f t="shared" ref="AW119" si="612">AV119</f>
        <v>2500</v>
      </c>
      <c r="AX119" s="91">
        <f t="shared" ref="AX119" si="613">AW119</f>
        <v>2500</v>
      </c>
      <c r="AY119" s="155">
        <f t="shared" ref="AY119" si="614">AX119</f>
        <v>2500</v>
      </c>
      <c r="AZ119" s="91">
        <f t="shared" ref="AZ119" si="615">AY119</f>
        <v>2500</v>
      </c>
      <c r="BA119" s="91">
        <f t="shared" ref="BA119" si="616">AZ119</f>
        <v>2500</v>
      </c>
      <c r="BB119" s="91">
        <f t="shared" ref="BB119" si="617">BA119</f>
        <v>2500</v>
      </c>
      <c r="BC119" s="91">
        <f t="shared" ref="BC119" si="618">BB119</f>
        <v>2500</v>
      </c>
      <c r="BD119" s="91">
        <f t="shared" ref="BD119" si="619">BC119</f>
        <v>2500</v>
      </c>
      <c r="BE119" s="91">
        <f t="shared" ref="BE119" si="620">BD119</f>
        <v>2500</v>
      </c>
      <c r="BF119" s="91">
        <f t="shared" ref="BF119" si="621">BE119</f>
        <v>2500</v>
      </c>
      <c r="BG119" s="91">
        <f t="shared" ref="BG119" si="622">BF119</f>
        <v>2500</v>
      </c>
      <c r="BH119" s="91">
        <f t="shared" ref="BH119" si="623">BG119</f>
        <v>2500</v>
      </c>
      <c r="BI119" s="91">
        <f t="shared" ref="BI119" si="624">BH119</f>
        <v>2500</v>
      </c>
      <c r="BJ119" s="91">
        <f t="shared" ref="BJ119" si="625">BI119</f>
        <v>2500</v>
      </c>
      <c r="BK119" s="155">
        <f t="shared" ref="BK119" si="626">BJ119</f>
        <v>2500</v>
      </c>
      <c r="BL119" s="91">
        <f t="shared" ref="BL119" si="627">BK119</f>
        <v>2500</v>
      </c>
      <c r="BM119" s="91">
        <f t="shared" ref="BM119" si="628">BL119</f>
        <v>2500</v>
      </c>
      <c r="BN119" s="91">
        <f t="shared" ref="BN119" si="629">BM119</f>
        <v>2500</v>
      </c>
      <c r="BO119" s="91">
        <f t="shared" ref="BO119" si="630">BN119</f>
        <v>2500</v>
      </c>
      <c r="BP119" s="91">
        <f t="shared" ref="BP119" si="631">BO119</f>
        <v>2500</v>
      </c>
      <c r="BQ119" s="91">
        <f t="shared" ref="BQ119" si="632">BP119</f>
        <v>2500</v>
      </c>
      <c r="BR119" s="91">
        <f t="shared" ref="BR119" si="633">BQ119</f>
        <v>2500</v>
      </c>
      <c r="BS119" s="91">
        <f t="shared" ref="BS119" si="634">BR119</f>
        <v>2500</v>
      </c>
      <c r="BT119" s="91">
        <f t="shared" ref="BT119" si="635">BS119</f>
        <v>2500</v>
      </c>
      <c r="BU119" s="91">
        <f t="shared" ref="BU119" si="636">BT119</f>
        <v>2500</v>
      </c>
      <c r="BV119" s="91">
        <f t="shared" ref="BV119" si="637">BU119</f>
        <v>2500</v>
      </c>
      <c r="BW119" s="155">
        <f t="shared" ref="BW119" si="638">BV119</f>
        <v>2500</v>
      </c>
      <c r="BX119" s="91">
        <f t="shared" ref="BX119" si="639">BW119</f>
        <v>2500</v>
      </c>
      <c r="BY119" s="91">
        <f t="shared" ref="BY119" si="640">BX119</f>
        <v>2500</v>
      </c>
      <c r="BZ119" s="91">
        <f t="shared" ref="BZ119" si="641">BY119</f>
        <v>2500</v>
      </c>
      <c r="CA119" s="91">
        <f t="shared" ref="CA119" si="642">BZ119</f>
        <v>2500</v>
      </c>
      <c r="CB119" s="91">
        <f t="shared" ref="CB119" si="643">CA119</f>
        <v>2500</v>
      </c>
      <c r="CC119" s="91">
        <f t="shared" ref="CC119" si="644">CB119</f>
        <v>2500</v>
      </c>
      <c r="CD119" s="91">
        <f t="shared" ref="CD119" si="645">CC119</f>
        <v>2500</v>
      </c>
      <c r="CE119" s="91">
        <f t="shared" ref="CE119" si="646">CD119</f>
        <v>2500</v>
      </c>
      <c r="CF119" s="91">
        <f t="shared" ref="CF119" si="647">CE119</f>
        <v>2500</v>
      </c>
      <c r="CG119" s="91">
        <f t="shared" ref="CG119" si="648">CF119</f>
        <v>2500</v>
      </c>
      <c r="CH119" s="91">
        <f t="shared" ref="CH119" si="649">CG119</f>
        <v>2500</v>
      </c>
      <c r="CI119" s="155">
        <f t="shared" ref="CI119" si="650">CH119</f>
        <v>2500</v>
      </c>
      <c r="CJ119" s="91">
        <f t="shared" ref="CJ119" si="651">CI119</f>
        <v>2500</v>
      </c>
      <c r="CK119" s="91">
        <f t="shared" ref="CK119" si="652">CJ119</f>
        <v>2500</v>
      </c>
      <c r="CL119" s="91">
        <f t="shared" ref="CL119" si="653">CK119</f>
        <v>2500</v>
      </c>
      <c r="CM119" s="91">
        <f t="shared" ref="CM119" si="654">CL119</f>
        <v>2500</v>
      </c>
      <c r="CN119" s="91">
        <f t="shared" ref="CN119" si="655">CM119</f>
        <v>2500</v>
      </c>
      <c r="CO119" s="91">
        <f t="shared" ref="CO119" si="656">CN119</f>
        <v>2500</v>
      </c>
      <c r="CP119" s="91">
        <f t="shared" ref="CP119" si="657">CO119</f>
        <v>2500</v>
      </c>
      <c r="CQ119" s="91">
        <f t="shared" ref="CQ119" si="658">CP119</f>
        <v>2500</v>
      </c>
      <c r="CR119" s="91">
        <f t="shared" ref="CR119" si="659">CQ119</f>
        <v>2500</v>
      </c>
      <c r="CS119" s="91">
        <f t="shared" ref="CS119" si="660">CR119</f>
        <v>2500</v>
      </c>
      <c r="CT119" s="91">
        <f t="shared" ref="CT119" si="661">CS119</f>
        <v>2500</v>
      </c>
      <c r="CU119" s="155">
        <f t="shared" ref="CU119" si="662">CT119</f>
        <v>2500</v>
      </c>
      <c r="CV119" s="91">
        <f t="shared" ref="CV119" si="663">CU119</f>
        <v>2500</v>
      </c>
      <c r="CW119" s="91">
        <f t="shared" ref="CW119" si="664">CV119</f>
        <v>2500</v>
      </c>
      <c r="CX119" s="91">
        <f t="shared" ref="CX119" si="665">CW119</f>
        <v>2500</v>
      </c>
      <c r="CY119" s="91">
        <f t="shared" ref="CY119" si="666">CX119</f>
        <v>2500</v>
      </c>
      <c r="CZ119" s="91">
        <f t="shared" ref="CZ119" si="667">CY119</f>
        <v>2500</v>
      </c>
      <c r="DA119" s="91">
        <f t="shared" ref="DA119" si="668">CZ119</f>
        <v>2500</v>
      </c>
      <c r="DB119" s="91">
        <f t="shared" ref="DB119" si="669">DA119</f>
        <v>2500</v>
      </c>
      <c r="DC119" s="91">
        <f t="shared" ref="DC119" si="670">DB119</f>
        <v>2500</v>
      </c>
      <c r="DD119" s="91">
        <f t="shared" ref="DD119" si="671">DC119</f>
        <v>2500</v>
      </c>
      <c r="DE119" s="91">
        <f t="shared" ref="DE119" si="672">DD119</f>
        <v>2500</v>
      </c>
      <c r="DF119" s="91">
        <f t="shared" ref="DF119" si="673">DE119</f>
        <v>2500</v>
      </c>
      <c r="DG119" s="91">
        <f t="shared" ref="DG119" si="674">DF119</f>
        <v>2500</v>
      </c>
    </row>
    <row r="120" spans="1:111" x14ac:dyDescent="0.25">
      <c r="A120" s="5"/>
      <c r="B120" s="6" t="s">
        <v>515</v>
      </c>
      <c r="C120" s="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>
        <f>+SUM(P118:P119)</f>
        <v>1685.41</v>
      </c>
      <c r="Q120" s="36">
        <f t="shared" ref="Q120:AA120" si="675">+SUM(Q118:Q119)</f>
        <v>1215.79</v>
      </c>
      <c r="R120" s="36">
        <f t="shared" si="675"/>
        <v>888.6</v>
      </c>
      <c r="S120" s="36">
        <f t="shared" si="675"/>
        <v>721.97</v>
      </c>
      <c r="T120" s="36">
        <f t="shared" si="675"/>
        <v>75385.05</v>
      </c>
      <c r="U120" s="36">
        <f t="shared" si="675"/>
        <v>71768.56</v>
      </c>
      <c r="V120" s="36">
        <f t="shared" si="675"/>
        <v>71854.92</v>
      </c>
      <c r="W120" s="36">
        <f t="shared" si="675"/>
        <v>51317.03</v>
      </c>
      <c r="X120" s="36">
        <f t="shared" si="675"/>
        <v>48758.799999999996</v>
      </c>
      <c r="Y120" s="36">
        <f t="shared" si="675"/>
        <v>118050.05</v>
      </c>
      <c r="Z120" s="36">
        <f t="shared" si="675"/>
        <v>143860.1</v>
      </c>
      <c r="AA120" s="36">
        <f t="shared" si="675"/>
        <v>194649.22999999998</v>
      </c>
      <c r="AB120" s="36">
        <f t="shared" ref="AB120:AC120" si="676">+SUM(AB119)</f>
        <v>0</v>
      </c>
      <c r="AC120" s="36">
        <f t="shared" si="676"/>
        <v>0</v>
      </c>
      <c r="AD120" s="36">
        <f>+SUM(AD119)</f>
        <v>0</v>
      </c>
      <c r="AE120" s="36">
        <f t="shared" ref="AE120:CP120" si="677">+SUM(AE119)</f>
        <v>0</v>
      </c>
      <c r="AF120" s="36">
        <f t="shared" si="677"/>
        <v>0</v>
      </c>
      <c r="AG120" s="36">
        <f t="shared" si="677"/>
        <v>0</v>
      </c>
      <c r="AH120" s="36">
        <f t="shared" si="677"/>
        <v>0</v>
      </c>
      <c r="AI120" s="36">
        <f t="shared" si="677"/>
        <v>0</v>
      </c>
      <c r="AJ120" s="36">
        <f t="shared" si="677"/>
        <v>0</v>
      </c>
      <c r="AK120" s="36">
        <f t="shared" si="677"/>
        <v>0</v>
      </c>
      <c r="AL120" s="36">
        <f>+SUM(AL119)</f>
        <v>1250</v>
      </c>
      <c r="AM120" s="36">
        <f t="shared" si="677"/>
        <v>2500</v>
      </c>
      <c r="AN120" s="36">
        <f t="shared" ref="AN120" si="678">+SUM(AN119)</f>
        <v>2500</v>
      </c>
      <c r="AO120" s="36">
        <f t="shared" ref="AO120:AP120" si="679">+SUM(AO119)</f>
        <v>2500</v>
      </c>
      <c r="AP120" s="36">
        <f t="shared" si="679"/>
        <v>2500</v>
      </c>
      <c r="AQ120" s="36">
        <f t="shared" ref="AQ120:AR120" si="680">+SUM(AQ119)</f>
        <v>2500</v>
      </c>
      <c r="AR120" s="36">
        <f t="shared" si="680"/>
        <v>2500</v>
      </c>
      <c r="AS120" s="159">
        <f t="shared" ref="AS120" si="681">+SUM(AS119)</f>
        <v>2500</v>
      </c>
      <c r="AT120" s="36">
        <f t="shared" ref="AT120" si="682">+SUM(AT119)</f>
        <v>2500</v>
      </c>
      <c r="AU120" s="36">
        <f t="shared" si="677"/>
        <v>2500</v>
      </c>
      <c r="AV120" s="36">
        <f t="shared" si="677"/>
        <v>2500</v>
      </c>
      <c r="AW120" s="36">
        <f t="shared" si="677"/>
        <v>2500</v>
      </c>
      <c r="AX120" s="36">
        <f t="shared" si="677"/>
        <v>2500</v>
      </c>
      <c r="AY120" s="159">
        <f t="shared" si="677"/>
        <v>2500</v>
      </c>
      <c r="AZ120" s="36">
        <f t="shared" si="677"/>
        <v>2500</v>
      </c>
      <c r="BA120" s="36">
        <f t="shared" si="677"/>
        <v>2500</v>
      </c>
      <c r="BB120" s="36">
        <f t="shared" si="677"/>
        <v>2500</v>
      </c>
      <c r="BC120" s="36">
        <f t="shared" si="677"/>
        <v>2500</v>
      </c>
      <c r="BD120" s="36">
        <f t="shared" si="677"/>
        <v>2500</v>
      </c>
      <c r="BE120" s="36">
        <f t="shared" si="677"/>
        <v>2500</v>
      </c>
      <c r="BF120" s="36">
        <f t="shared" si="677"/>
        <v>2500</v>
      </c>
      <c r="BG120" s="36">
        <f t="shared" si="677"/>
        <v>2500</v>
      </c>
      <c r="BH120" s="36">
        <f t="shared" si="677"/>
        <v>2500</v>
      </c>
      <c r="BI120" s="36">
        <f t="shared" si="677"/>
        <v>2500</v>
      </c>
      <c r="BJ120" s="36">
        <f t="shared" si="677"/>
        <v>2500</v>
      </c>
      <c r="BK120" s="159">
        <f t="shared" si="677"/>
        <v>2500</v>
      </c>
      <c r="BL120" s="36">
        <f t="shared" si="677"/>
        <v>2500</v>
      </c>
      <c r="BM120" s="36">
        <f t="shared" si="677"/>
        <v>2500</v>
      </c>
      <c r="BN120" s="36">
        <f t="shared" si="677"/>
        <v>2500</v>
      </c>
      <c r="BO120" s="36">
        <f t="shared" si="677"/>
        <v>2500</v>
      </c>
      <c r="BP120" s="36">
        <f t="shared" si="677"/>
        <v>2500</v>
      </c>
      <c r="BQ120" s="36">
        <f t="shared" si="677"/>
        <v>2500</v>
      </c>
      <c r="BR120" s="36">
        <f t="shared" si="677"/>
        <v>2500</v>
      </c>
      <c r="BS120" s="36">
        <f t="shared" si="677"/>
        <v>2500</v>
      </c>
      <c r="BT120" s="36">
        <f t="shared" si="677"/>
        <v>2500</v>
      </c>
      <c r="BU120" s="36">
        <f t="shared" si="677"/>
        <v>2500</v>
      </c>
      <c r="BV120" s="36">
        <f t="shared" si="677"/>
        <v>2500</v>
      </c>
      <c r="BW120" s="159">
        <f t="shared" si="677"/>
        <v>2500</v>
      </c>
      <c r="BX120" s="36">
        <f t="shared" si="677"/>
        <v>2500</v>
      </c>
      <c r="BY120" s="36">
        <f t="shared" si="677"/>
        <v>2500</v>
      </c>
      <c r="BZ120" s="36">
        <f t="shared" si="677"/>
        <v>2500</v>
      </c>
      <c r="CA120" s="36">
        <f t="shared" si="677"/>
        <v>2500</v>
      </c>
      <c r="CB120" s="36">
        <f t="shared" si="677"/>
        <v>2500</v>
      </c>
      <c r="CC120" s="36">
        <f t="shared" si="677"/>
        <v>2500</v>
      </c>
      <c r="CD120" s="36">
        <f t="shared" si="677"/>
        <v>2500</v>
      </c>
      <c r="CE120" s="36">
        <f t="shared" si="677"/>
        <v>2500</v>
      </c>
      <c r="CF120" s="36">
        <f t="shared" si="677"/>
        <v>2500</v>
      </c>
      <c r="CG120" s="36">
        <f t="shared" si="677"/>
        <v>2500</v>
      </c>
      <c r="CH120" s="36">
        <f t="shared" si="677"/>
        <v>2500</v>
      </c>
      <c r="CI120" s="159">
        <f t="shared" si="677"/>
        <v>2500</v>
      </c>
      <c r="CJ120" s="36">
        <f t="shared" si="677"/>
        <v>2500</v>
      </c>
      <c r="CK120" s="36">
        <f t="shared" si="677"/>
        <v>2500</v>
      </c>
      <c r="CL120" s="36">
        <f t="shared" si="677"/>
        <v>2500</v>
      </c>
      <c r="CM120" s="36">
        <f t="shared" si="677"/>
        <v>2500</v>
      </c>
      <c r="CN120" s="36">
        <f t="shared" si="677"/>
        <v>2500</v>
      </c>
      <c r="CO120" s="36">
        <f t="shared" si="677"/>
        <v>2500</v>
      </c>
      <c r="CP120" s="36">
        <f t="shared" si="677"/>
        <v>2500</v>
      </c>
      <c r="CQ120" s="36">
        <f t="shared" ref="CQ120:DG120" si="683">+SUM(CQ119)</f>
        <v>2500</v>
      </c>
      <c r="CR120" s="36">
        <f t="shared" si="683"/>
        <v>2500</v>
      </c>
      <c r="CS120" s="36">
        <f t="shared" si="683"/>
        <v>2500</v>
      </c>
      <c r="CT120" s="36">
        <f t="shared" si="683"/>
        <v>2500</v>
      </c>
      <c r="CU120" s="159">
        <f t="shared" si="683"/>
        <v>2500</v>
      </c>
      <c r="CV120" s="36">
        <f t="shared" si="683"/>
        <v>2500</v>
      </c>
      <c r="CW120" s="36">
        <f t="shared" si="683"/>
        <v>2500</v>
      </c>
      <c r="CX120" s="36">
        <f t="shared" si="683"/>
        <v>2500</v>
      </c>
      <c r="CY120" s="36">
        <f t="shared" si="683"/>
        <v>2500</v>
      </c>
      <c r="CZ120" s="36">
        <f t="shared" si="683"/>
        <v>2500</v>
      </c>
      <c r="DA120" s="36">
        <f t="shared" si="683"/>
        <v>2500</v>
      </c>
      <c r="DB120" s="36">
        <f t="shared" si="683"/>
        <v>2500</v>
      </c>
      <c r="DC120" s="36">
        <f t="shared" si="683"/>
        <v>2500</v>
      </c>
      <c r="DD120" s="36">
        <f t="shared" si="683"/>
        <v>2500</v>
      </c>
      <c r="DE120" s="36">
        <f t="shared" si="683"/>
        <v>2500</v>
      </c>
      <c r="DF120" s="36">
        <f t="shared" si="683"/>
        <v>2500</v>
      </c>
      <c r="DG120" s="36">
        <f t="shared" si="683"/>
        <v>2500</v>
      </c>
    </row>
    <row r="121" spans="1:111" s="37" customFormat="1" x14ac:dyDescent="0.25">
      <c r="B121" s="37" t="s">
        <v>21</v>
      </c>
      <c r="G121" s="37">
        <f>+SUM(G117,G111,G106)</f>
        <v>100</v>
      </c>
      <c r="H121" s="37">
        <f t="shared" ref="H121:N121" si="684">+SUM(H117,H111,H106)</f>
        <v>100</v>
      </c>
      <c r="I121" s="37">
        <f t="shared" si="684"/>
        <v>100</v>
      </c>
      <c r="J121" s="37">
        <f t="shared" si="684"/>
        <v>1600</v>
      </c>
      <c r="K121" s="37">
        <f t="shared" si="684"/>
        <v>1399</v>
      </c>
      <c r="L121" s="37">
        <f t="shared" si="684"/>
        <v>280.5</v>
      </c>
      <c r="M121" s="37">
        <f t="shared" si="684"/>
        <v>329.2</v>
      </c>
      <c r="N121" s="37">
        <f t="shared" si="684"/>
        <v>118.2</v>
      </c>
      <c r="O121" s="37">
        <f>O118+O106</f>
        <v>307.81</v>
      </c>
      <c r="P121" s="37">
        <f t="shared" ref="P121:W121" si="685">P118</f>
        <v>1685.41</v>
      </c>
      <c r="Q121" s="37">
        <f t="shared" si="685"/>
        <v>1215.79</v>
      </c>
      <c r="R121" s="37">
        <f t="shared" si="685"/>
        <v>888.6</v>
      </c>
      <c r="S121" s="37">
        <f t="shared" si="685"/>
        <v>721.97</v>
      </c>
      <c r="T121" s="37">
        <f t="shared" si="685"/>
        <v>75385.05</v>
      </c>
      <c r="U121" s="37">
        <f t="shared" si="685"/>
        <v>71768.56</v>
      </c>
      <c r="V121" s="37">
        <f t="shared" si="685"/>
        <v>71854.92</v>
      </c>
      <c r="W121" s="37">
        <f t="shared" si="685"/>
        <v>51317.03</v>
      </c>
      <c r="X121" s="37">
        <f t="shared" ref="X121:Y121" si="686">X118</f>
        <v>48758.799999999996</v>
      </c>
      <c r="Y121" s="37">
        <f t="shared" si="686"/>
        <v>118050.05</v>
      </c>
      <c r="Z121" s="37">
        <f t="shared" ref="Z121" si="687">Z118</f>
        <v>143860.1</v>
      </c>
      <c r="AA121" s="37">
        <f t="shared" ref="AA121" si="688">AA118</f>
        <v>194649.22999999998</v>
      </c>
      <c r="AB121" s="37">
        <f>AB118+AB120</f>
        <v>95197.94</v>
      </c>
      <c r="AC121" s="37">
        <f t="shared" ref="AC121:CN121" si="689">AC118+AC120</f>
        <v>146721.93</v>
      </c>
      <c r="AD121" s="37">
        <f t="shared" si="689"/>
        <v>152555.54</v>
      </c>
      <c r="AE121" s="37">
        <f t="shared" si="689"/>
        <v>97184.3</v>
      </c>
      <c r="AF121" s="37">
        <f t="shared" si="689"/>
        <v>80293.64</v>
      </c>
      <c r="AG121" s="37">
        <f t="shared" si="689"/>
        <v>69509.600000000006</v>
      </c>
      <c r="AH121" s="37">
        <f t="shared" si="689"/>
        <v>42799.97</v>
      </c>
      <c r="AI121" s="37">
        <f t="shared" si="689"/>
        <v>48687.54</v>
      </c>
      <c r="AJ121" s="37">
        <f t="shared" si="689"/>
        <v>61444.22</v>
      </c>
      <c r="AK121" s="37">
        <f t="shared" si="689"/>
        <v>111450.70999999999</v>
      </c>
      <c r="AL121" s="37">
        <f>AL118+AL120</f>
        <v>106260.85999999999</v>
      </c>
      <c r="AM121" s="37">
        <f t="shared" si="689"/>
        <v>129700.57</v>
      </c>
      <c r="AN121" s="37">
        <f t="shared" ref="AN121" si="690">AN118+AN120</f>
        <v>108955.03000000001</v>
      </c>
      <c r="AO121" s="37">
        <f t="shared" ref="AO121:AP121" si="691">AO118+AO120</f>
        <v>81455.17</v>
      </c>
      <c r="AP121" s="37">
        <f t="shared" si="691"/>
        <v>38493.21</v>
      </c>
      <c r="AQ121" s="37">
        <f t="shared" ref="AQ121:AR121" si="692">AQ118+AQ120</f>
        <v>31380.809999999998</v>
      </c>
      <c r="AR121" s="37">
        <f t="shared" si="692"/>
        <v>111650.75</v>
      </c>
      <c r="AS121" s="156">
        <f t="shared" ref="AS121" si="693">AS118+AS120</f>
        <v>100971.08</v>
      </c>
      <c r="AT121" s="37">
        <f t="shared" ref="AT121" si="694">AT118+AT120</f>
        <v>28226.910690679135</v>
      </c>
      <c r="AU121" s="37">
        <f t="shared" si="689"/>
        <v>22492.556668276044</v>
      </c>
      <c r="AV121" s="37">
        <f t="shared" si="689"/>
        <v>12227.721133845007</v>
      </c>
      <c r="AW121" s="37">
        <f t="shared" si="689"/>
        <v>4391.2122744705712</v>
      </c>
      <c r="AX121" s="37">
        <f t="shared" si="689"/>
        <v>248978.19561255749</v>
      </c>
      <c r="AY121" s="156">
        <f t="shared" si="689"/>
        <v>240802.08790244226</v>
      </c>
      <c r="AZ121" s="37">
        <f t="shared" si="689"/>
        <v>232812.93345121393</v>
      </c>
      <c r="BA121" s="37">
        <f t="shared" si="689"/>
        <v>177177.01221886103</v>
      </c>
      <c r="BB121" s="37">
        <f t="shared" si="689"/>
        <v>626014.89722404687</v>
      </c>
      <c r="BC121" s="37">
        <f t="shared" si="689"/>
        <v>1040867.1579492391</v>
      </c>
      <c r="BD121" s="37">
        <f t="shared" si="689"/>
        <v>963749.35288887157</v>
      </c>
      <c r="BE121" s="37">
        <f t="shared" si="689"/>
        <v>529332.7385937362</v>
      </c>
      <c r="BF121" s="37">
        <f t="shared" si="689"/>
        <v>621315.08858620701</v>
      </c>
      <c r="BG121" s="37">
        <f t="shared" si="689"/>
        <v>507436.13554560277</v>
      </c>
      <c r="BH121" s="37">
        <f t="shared" si="689"/>
        <v>597271.85278613609</v>
      </c>
      <c r="BI121" s="37">
        <f t="shared" si="689"/>
        <v>400245.57339236641</v>
      </c>
      <c r="BJ121" s="37">
        <f t="shared" si="689"/>
        <v>798637.86745219515</v>
      </c>
      <c r="BK121" s="156">
        <f t="shared" si="689"/>
        <v>696099.01069611893</v>
      </c>
      <c r="BL121" s="37">
        <f t="shared" si="689"/>
        <v>677531.01958419546</v>
      </c>
      <c r="BM121" s="37">
        <f t="shared" si="689"/>
        <v>594333.96449841128</v>
      </c>
      <c r="BN121" s="37">
        <f t="shared" si="689"/>
        <v>1391616.2930347847</v>
      </c>
      <c r="BO121" s="37">
        <f t="shared" si="689"/>
        <v>2122994.3268105974</v>
      </c>
      <c r="BP121" s="37">
        <f t="shared" si="689"/>
        <v>2069901.6311246778</v>
      </c>
      <c r="BQ121" s="37">
        <f t="shared" si="689"/>
        <v>1446180.3742620903</v>
      </c>
      <c r="BR121" s="37">
        <f t="shared" si="689"/>
        <v>1679830.4789499019</v>
      </c>
      <c r="BS121" s="37">
        <f t="shared" si="689"/>
        <v>1534579.4661036944</v>
      </c>
      <c r="BT121" s="37">
        <f t="shared" si="689"/>
        <v>1718784.7133432957</v>
      </c>
      <c r="BU121" s="37">
        <f t="shared" si="689"/>
        <v>1464092.9640953802</v>
      </c>
      <c r="BV121" s="37">
        <f t="shared" si="689"/>
        <v>2019904.1979875523</v>
      </c>
      <c r="BW121" s="156">
        <f t="shared" si="689"/>
        <v>1751103.3570781271</v>
      </c>
      <c r="BX121" s="37">
        <f t="shared" si="689"/>
        <v>1727779.1620520444</v>
      </c>
      <c r="BY121" s="37">
        <f t="shared" si="689"/>
        <v>1612278.959955516</v>
      </c>
      <c r="BZ121" s="37">
        <f t="shared" si="689"/>
        <v>2714498.9949767375</v>
      </c>
      <c r="CA121" s="37">
        <f t="shared" si="689"/>
        <v>3721176.5182005214</v>
      </c>
      <c r="CB121" s="37">
        <f t="shared" si="689"/>
        <v>3676159.5277795726</v>
      </c>
      <c r="CC121" s="37">
        <f t="shared" si="689"/>
        <v>2871417.5061188815</v>
      </c>
      <c r="CD121" s="37">
        <f t="shared" si="689"/>
        <v>3224784.3914895058</v>
      </c>
      <c r="CE121" s="37">
        <f t="shared" si="689"/>
        <v>3043489.1436178954</v>
      </c>
      <c r="CF121" s="37">
        <f t="shared" si="689"/>
        <v>3305324.7230514963</v>
      </c>
      <c r="CG121" s="37">
        <f t="shared" si="689"/>
        <v>2988542.4574659117</v>
      </c>
      <c r="CH121" s="37">
        <f t="shared" si="689"/>
        <v>3626382.3512735134</v>
      </c>
      <c r="CI121" s="156">
        <f t="shared" si="689"/>
        <v>3226129.2529333606</v>
      </c>
      <c r="CJ121" s="37">
        <f t="shared" si="689"/>
        <v>3196724.798623974</v>
      </c>
      <c r="CK121" s="37">
        <f t="shared" si="689"/>
        <v>3064305.8537410065</v>
      </c>
      <c r="CL121" s="37">
        <f t="shared" si="689"/>
        <v>4332606.6638567811</v>
      </c>
      <c r="CM121" s="37">
        <f t="shared" si="689"/>
        <v>5492307.0100747822</v>
      </c>
      <c r="CN121" s="37">
        <f t="shared" si="689"/>
        <v>5429586.1852713628</v>
      </c>
      <c r="CO121" s="37">
        <f t="shared" ref="CO121:DG121" si="695">CO118+CO120</f>
        <v>4483443.7990089981</v>
      </c>
      <c r="CP121" s="37">
        <f t="shared" si="695"/>
        <v>4884579.3796388702</v>
      </c>
      <c r="CQ121" s="37">
        <f t="shared" si="695"/>
        <v>4672394.1975700371</v>
      </c>
      <c r="CR121" s="37">
        <f t="shared" si="695"/>
        <v>4970437.3022834854</v>
      </c>
      <c r="CS121" s="37">
        <f t="shared" si="695"/>
        <v>4593964.0262268987</v>
      </c>
      <c r="CT121" s="37">
        <f t="shared" si="695"/>
        <v>5447330.5883684186</v>
      </c>
      <c r="CU121" s="156">
        <f t="shared" si="695"/>
        <v>4993147.5902155647</v>
      </c>
      <c r="CV121" s="37">
        <f t="shared" si="695"/>
        <v>4952353.6499774773</v>
      </c>
      <c r="CW121" s="37">
        <f t="shared" si="695"/>
        <v>4777230.5071503548</v>
      </c>
      <c r="CX121" s="37">
        <f t="shared" si="695"/>
        <v>6464802.2705172151</v>
      </c>
      <c r="CY121" s="37">
        <f t="shared" si="695"/>
        <v>8004224.5891981144</v>
      </c>
      <c r="CZ121" s="37">
        <f t="shared" si="695"/>
        <v>7934765.8314548871</v>
      </c>
      <c r="DA121" s="37">
        <f t="shared" si="695"/>
        <v>6711358.2619128013</v>
      </c>
      <c r="DB121" s="37">
        <f t="shared" si="695"/>
        <v>7258479.7629254684</v>
      </c>
      <c r="DC121" s="37">
        <f t="shared" si="695"/>
        <v>6985116.9051487185</v>
      </c>
      <c r="DD121" s="37">
        <f t="shared" si="695"/>
        <v>7389036.2982953144</v>
      </c>
      <c r="DE121" s="37">
        <f t="shared" si="695"/>
        <v>6908231.6712837946</v>
      </c>
      <c r="DF121" s="37">
        <f t="shared" si="695"/>
        <v>7827818.1503974767</v>
      </c>
      <c r="DG121" s="37">
        <f t="shared" si="695"/>
        <v>7216269.9504114687</v>
      </c>
    </row>
    <row r="122" spans="1:111" x14ac:dyDescent="0.25">
      <c r="B122" s="1" t="s">
        <v>22</v>
      </c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60"/>
      <c r="AT122" s="2"/>
      <c r="AY122" s="154"/>
      <c r="BK122" s="154"/>
      <c r="BW122" s="154"/>
      <c r="CI122" s="154"/>
      <c r="CU122" s="154"/>
    </row>
    <row r="123" spans="1:111" x14ac:dyDescent="0.25">
      <c r="B123" s="1" t="s">
        <v>23</v>
      </c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60"/>
      <c r="AT123" s="2"/>
      <c r="AY123" s="154"/>
      <c r="BK123" s="154"/>
      <c r="BW123" s="154"/>
      <c r="CI123" s="154"/>
      <c r="CU123" s="154"/>
    </row>
    <row r="124" spans="1:111" s="15" customFormat="1" x14ac:dyDescent="0.25">
      <c r="A124"/>
      <c r="B124" s="1" t="s">
        <v>191</v>
      </c>
      <c r="C124" s="1"/>
      <c r="D124" s="2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91">
        <v>0</v>
      </c>
      <c r="K124" s="91">
        <v>0</v>
      </c>
      <c r="L124" s="91">
        <v>0</v>
      </c>
      <c r="M124" s="91">
        <v>0</v>
      </c>
      <c r="N124" s="91">
        <v>0</v>
      </c>
      <c r="O124" s="91">
        <v>0</v>
      </c>
      <c r="P124" s="91">
        <v>0</v>
      </c>
      <c r="Q124" s="91">
        <v>0</v>
      </c>
      <c r="R124" s="91">
        <v>1088</v>
      </c>
      <c r="S124" s="91">
        <v>1088</v>
      </c>
      <c r="T124" s="91">
        <v>1088</v>
      </c>
      <c r="U124" s="91">
        <v>1088</v>
      </c>
      <c r="V124" s="91">
        <v>1088</v>
      </c>
      <c r="W124" s="91">
        <v>1088</v>
      </c>
      <c r="X124" s="91">
        <v>998.96</v>
      </c>
      <c r="Y124" s="91">
        <v>0</v>
      </c>
      <c r="Z124" s="91">
        <v>638.04</v>
      </c>
      <c r="AA124" s="91">
        <v>53435</v>
      </c>
      <c r="AB124" s="91">
        <v>20000</v>
      </c>
      <c r="AC124" s="91">
        <v>0</v>
      </c>
      <c r="AD124" s="91">
        <v>0</v>
      </c>
      <c r="AE124" s="91">
        <v>9430.08</v>
      </c>
      <c r="AF124" s="91">
        <v>2238.34</v>
      </c>
      <c r="AG124" s="91">
        <v>34218.82</v>
      </c>
      <c r="AH124" s="91">
        <v>10210.700000000001</v>
      </c>
      <c r="AI124" s="91">
        <v>28957.58</v>
      </c>
      <c r="AJ124" s="91">
        <v>28802.3</v>
      </c>
      <c r="AK124" s="91">
        <v>75705.919999999998</v>
      </c>
      <c r="AL124" s="91">
        <v>75834.61</v>
      </c>
      <c r="AM124" s="91">
        <v>80672.62</v>
      </c>
      <c r="AN124" s="91">
        <v>34192.17</v>
      </c>
      <c r="AO124" s="91">
        <v>36093</v>
      </c>
      <c r="AP124" s="91">
        <v>6102</v>
      </c>
      <c r="AQ124" s="91">
        <v>355.58</v>
      </c>
      <c r="AR124" s="91">
        <v>276.25</v>
      </c>
      <c r="AS124" s="155">
        <v>41374.839999999997</v>
      </c>
      <c r="AT124" s="194">
        <f t="shared" ref="AT124" si="696">+(AT27/30.4333)*AT126</f>
        <v>5126.2648932467137</v>
      </c>
      <c r="AU124" s="9">
        <f t="shared" ref="AU124:BU124" si="697">+(AU27/30.4333)*AU126</f>
        <v>5126.2648932467137</v>
      </c>
      <c r="AV124" s="9">
        <f t="shared" si="697"/>
        <v>5126.2648932467137</v>
      </c>
      <c r="AW124" s="9">
        <f t="shared" si="697"/>
        <v>5126.2648932467137</v>
      </c>
      <c r="AX124" s="9">
        <f t="shared" si="697"/>
        <v>5126.2648932467137</v>
      </c>
      <c r="AY124" s="164">
        <f t="shared" si="697"/>
        <v>9232.5728379218854</v>
      </c>
      <c r="AZ124" s="9">
        <f t="shared" si="697"/>
        <v>15876.166170586866</v>
      </c>
      <c r="BA124" s="9">
        <f t="shared" si="697"/>
        <v>39628.474874900829</v>
      </c>
      <c r="BB124" s="9">
        <f t="shared" si="697"/>
        <v>17485.964563541751</v>
      </c>
      <c r="BC124" s="9">
        <f t="shared" si="697"/>
        <v>114683.40955557684</v>
      </c>
      <c r="BD124" s="9">
        <f t="shared" si="697"/>
        <v>193536.95702822853</v>
      </c>
      <c r="BE124" s="9">
        <f t="shared" si="697"/>
        <v>135395.515651258</v>
      </c>
      <c r="BF124" s="9">
        <f t="shared" si="697"/>
        <v>99640.491452614675</v>
      </c>
      <c r="BG124" s="9">
        <f t="shared" si="697"/>
        <v>36978.038865114344</v>
      </c>
      <c r="BH124" s="9">
        <f t="shared" si="697"/>
        <v>147453.61367442569</v>
      </c>
      <c r="BI124" s="9">
        <f t="shared" si="697"/>
        <v>49810.565388829789</v>
      </c>
      <c r="BJ124" s="9">
        <f t="shared" si="697"/>
        <v>20385.14694390506</v>
      </c>
      <c r="BK124" s="164">
        <f t="shared" si="697"/>
        <v>25038.962614536922</v>
      </c>
      <c r="BL124" s="9">
        <f t="shared" si="697"/>
        <v>24648.13924070471</v>
      </c>
      <c r="BM124" s="9">
        <f t="shared" si="697"/>
        <v>51567.422438927199</v>
      </c>
      <c r="BN124" s="9">
        <f t="shared" si="697"/>
        <v>26472.577419386907</v>
      </c>
      <c r="BO124" s="9">
        <f t="shared" si="697"/>
        <v>136629.68174369336</v>
      </c>
      <c r="BP124" s="9">
        <f t="shared" si="697"/>
        <v>225997.03554603193</v>
      </c>
      <c r="BQ124" s="9">
        <f t="shared" si="697"/>
        <v>160103.40198546535</v>
      </c>
      <c r="BR124" s="9">
        <f t="shared" si="697"/>
        <v>113805.24959289648</v>
      </c>
      <c r="BS124" s="9">
        <f t="shared" si="697"/>
        <v>42787.803327062749</v>
      </c>
      <c r="BT124" s="9">
        <f t="shared" si="697"/>
        <v>167993.45477761561</v>
      </c>
      <c r="BU124" s="9">
        <f t="shared" si="697"/>
        <v>57331.333387273589</v>
      </c>
      <c r="BV124" s="9">
        <f t="shared" ref="BV124:DA124" si="698">+(BV27/30.4333)*BV126</f>
        <v>23982.525816358895</v>
      </c>
      <c r="BW124" s="164">
        <f t="shared" si="698"/>
        <v>29320.726144436616</v>
      </c>
      <c r="BX124" s="9">
        <f t="shared" si="698"/>
        <v>29542.528731086164</v>
      </c>
      <c r="BY124" s="9">
        <f t="shared" si="698"/>
        <v>60420.530046694308</v>
      </c>
      <c r="BZ124" s="9">
        <f t="shared" si="698"/>
        <v>31635.266641927512</v>
      </c>
      <c r="CA124" s="9">
        <f t="shared" si="698"/>
        <v>157991.94513157316</v>
      </c>
      <c r="CB124" s="9">
        <f t="shared" si="698"/>
        <v>260501.55684602031</v>
      </c>
      <c r="CC124" s="9">
        <f t="shared" si="698"/>
        <v>184917.68305595865</v>
      </c>
      <c r="CD124" s="9">
        <f t="shared" si="698"/>
        <v>131810.97884095318</v>
      </c>
      <c r="CE124" s="9">
        <f t="shared" si="698"/>
        <v>50349.790477202747</v>
      </c>
      <c r="CF124" s="9">
        <f t="shared" si="698"/>
        <v>193968.03772930751</v>
      </c>
      <c r="CG124" s="9">
        <f t="shared" si="698"/>
        <v>67032.074958032827</v>
      </c>
      <c r="CH124" s="9">
        <f t="shared" si="698"/>
        <v>28779.030979630679</v>
      </c>
      <c r="CI124" s="164">
        <f t="shared" si="698"/>
        <v>35349.123691110944</v>
      </c>
      <c r="CJ124" s="9">
        <f t="shared" si="698"/>
        <v>34515.225683155375</v>
      </c>
      <c r="CK124" s="9">
        <f t="shared" si="698"/>
        <v>72518.91961005771</v>
      </c>
      <c r="CL124" s="9">
        <f t="shared" si="698"/>
        <v>37090.903111883184</v>
      </c>
      <c r="CM124" s="9">
        <f t="shared" si="698"/>
        <v>192606.81509913938</v>
      </c>
      <c r="CN124" s="9">
        <f t="shared" si="698"/>
        <v>318772.49105538201</v>
      </c>
      <c r="CO124" s="9">
        <f t="shared" si="698"/>
        <v>225746.1848522292</v>
      </c>
      <c r="CP124" s="9">
        <f t="shared" si="698"/>
        <v>165180.59252010961</v>
      </c>
      <c r="CQ124" s="9">
        <f t="shared" si="698"/>
        <v>64920.668380109077</v>
      </c>
      <c r="CR124" s="9">
        <f t="shared" si="698"/>
        <v>241681.58807500722</v>
      </c>
      <c r="CS124" s="9">
        <f t="shared" si="698"/>
        <v>85452.710818053805</v>
      </c>
      <c r="CT124" s="9">
        <f t="shared" si="698"/>
        <v>38372.041306174229</v>
      </c>
      <c r="CU124" s="164">
        <f t="shared" si="698"/>
        <v>46584.657195524574</v>
      </c>
      <c r="CV124" s="9">
        <f t="shared" si="698"/>
        <v>39546.653231490374</v>
      </c>
      <c r="CW124" s="9">
        <f t="shared" si="698"/>
        <v>87051.270640118295</v>
      </c>
      <c r="CX124" s="9">
        <f t="shared" si="698"/>
        <v>42766.25001740014</v>
      </c>
      <c r="CY124" s="9">
        <f t="shared" si="698"/>
        <v>237161.14000147034</v>
      </c>
      <c r="CZ124" s="9">
        <f t="shared" si="698"/>
        <v>394868.23494677368</v>
      </c>
      <c r="DA124" s="9">
        <f t="shared" si="698"/>
        <v>278585.35219283262</v>
      </c>
      <c r="DB124" s="9">
        <f t="shared" ref="DB124:DG124" si="699">+(DB27/30.4333)*DB126</f>
        <v>201679.23548686525</v>
      </c>
      <c r="DC124" s="9">
        <f t="shared" si="699"/>
        <v>76354.330311864585</v>
      </c>
      <c r="DD124" s="9">
        <f t="shared" si="699"/>
        <v>297305.47993048729</v>
      </c>
      <c r="DE124" s="9">
        <f t="shared" si="699"/>
        <v>102019.38335929546</v>
      </c>
      <c r="DF124" s="9">
        <f t="shared" si="699"/>
        <v>43168.54646944601</v>
      </c>
      <c r="DG124" s="9">
        <f t="shared" si="699"/>
        <v>53023.685536666417</v>
      </c>
    </row>
    <row r="125" spans="1:111" s="37" customFormat="1" x14ac:dyDescent="0.25">
      <c r="B125" s="37" t="s">
        <v>264</v>
      </c>
      <c r="E125" s="37">
        <f t="shared" ref="E125:AA125" si="700">SUM(E124)</f>
        <v>0</v>
      </c>
      <c r="F125" s="37">
        <f t="shared" si="700"/>
        <v>0</v>
      </c>
      <c r="G125" s="37">
        <f t="shared" si="700"/>
        <v>0</v>
      </c>
      <c r="H125" s="37">
        <f t="shared" si="700"/>
        <v>0</v>
      </c>
      <c r="I125" s="37">
        <f t="shared" si="700"/>
        <v>0</v>
      </c>
      <c r="J125" s="37">
        <f t="shared" si="700"/>
        <v>0</v>
      </c>
      <c r="K125" s="37">
        <f t="shared" si="700"/>
        <v>0</v>
      </c>
      <c r="L125" s="37">
        <f t="shared" si="700"/>
        <v>0</v>
      </c>
      <c r="M125" s="37">
        <f t="shared" si="700"/>
        <v>0</v>
      </c>
      <c r="N125" s="37">
        <f t="shared" si="700"/>
        <v>0</v>
      </c>
      <c r="O125" s="37">
        <f t="shared" si="700"/>
        <v>0</v>
      </c>
      <c r="P125" s="37">
        <f t="shared" si="700"/>
        <v>0</v>
      </c>
      <c r="Q125" s="37">
        <f t="shared" si="700"/>
        <v>0</v>
      </c>
      <c r="R125" s="37">
        <f t="shared" si="700"/>
        <v>1088</v>
      </c>
      <c r="S125" s="37">
        <f t="shared" si="700"/>
        <v>1088</v>
      </c>
      <c r="T125" s="37">
        <f t="shared" si="700"/>
        <v>1088</v>
      </c>
      <c r="U125" s="37">
        <f t="shared" si="700"/>
        <v>1088</v>
      </c>
      <c r="V125" s="37">
        <f t="shared" si="700"/>
        <v>1088</v>
      </c>
      <c r="W125" s="37">
        <f t="shared" si="700"/>
        <v>1088</v>
      </c>
      <c r="X125" s="37">
        <f t="shared" si="700"/>
        <v>998.96</v>
      </c>
      <c r="Y125" s="37">
        <f t="shared" si="700"/>
        <v>0</v>
      </c>
      <c r="Z125" s="37">
        <f t="shared" si="700"/>
        <v>638.04</v>
      </c>
      <c r="AA125" s="37">
        <f t="shared" si="700"/>
        <v>53435</v>
      </c>
      <c r="AB125" s="37">
        <f>SUM(AB124)</f>
        <v>20000</v>
      </c>
      <c r="AC125" s="37">
        <f>SUM(AC124)</f>
        <v>0</v>
      </c>
      <c r="AD125" s="37">
        <f t="shared" ref="AD125:AE125" si="701">SUM(AD124)</f>
        <v>0</v>
      </c>
      <c r="AE125" s="37">
        <f t="shared" si="701"/>
        <v>9430.08</v>
      </c>
      <c r="AF125" s="37">
        <f t="shared" ref="AF125:AG125" si="702">SUM(AF124)</f>
        <v>2238.34</v>
      </c>
      <c r="AG125" s="37">
        <f t="shared" si="702"/>
        <v>34218.82</v>
      </c>
      <c r="AH125" s="37">
        <f t="shared" ref="AH125:AI125" si="703">SUM(AH124)</f>
        <v>10210.700000000001</v>
      </c>
      <c r="AI125" s="37">
        <f t="shared" si="703"/>
        <v>28957.58</v>
      </c>
      <c r="AJ125" s="37">
        <f t="shared" ref="AJ125:AK125" si="704">SUM(AJ124)</f>
        <v>28802.3</v>
      </c>
      <c r="AK125" s="37">
        <f t="shared" si="704"/>
        <v>75705.919999999998</v>
      </c>
      <c r="AL125" s="37">
        <f t="shared" ref="AL125:AM125" si="705">SUM(AL124)</f>
        <v>75834.61</v>
      </c>
      <c r="AM125" s="37">
        <f t="shared" si="705"/>
        <v>80672.62</v>
      </c>
      <c r="AN125" s="37">
        <f t="shared" ref="AN125" si="706">SUM(AN124)</f>
        <v>34192.17</v>
      </c>
      <c r="AO125" s="37">
        <f t="shared" ref="AO125:AP125" si="707">SUM(AO124)</f>
        <v>36093</v>
      </c>
      <c r="AP125" s="37">
        <f t="shared" si="707"/>
        <v>6102</v>
      </c>
      <c r="AQ125" s="37">
        <f t="shared" ref="AQ125:AR125" si="708">SUM(AQ124)</f>
        <v>355.58</v>
      </c>
      <c r="AR125" s="37">
        <f t="shared" si="708"/>
        <v>276.25</v>
      </c>
      <c r="AS125" s="156">
        <f t="shared" ref="AS125" si="709">SUM(AS124)</f>
        <v>41374.839999999997</v>
      </c>
      <c r="AT125" s="37">
        <f t="shared" ref="AT125" si="710">SUM(AT124)</f>
        <v>5126.2648932467137</v>
      </c>
      <c r="AU125" s="37">
        <f t="shared" ref="AU125" si="711">SUM(AU124)</f>
        <v>5126.2648932467137</v>
      </c>
      <c r="AV125" s="37">
        <f t="shared" ref="AV125" si="712">SUM(AV124)</f>
        <v>5126.2648932467137</v>
      </c>
      <c r="AW125" s="37">
        <f t="shared" ref="AW125" si="713">SUM(AW124)</f>
        <v>5126.2648932467137</v>
      </c>
      <c r="AX125" s="37">
        <f t="shared" ref="AX125" si="714">SUM(AX124)</f>
        <v>5126.2648932467137</v>
      </c>
      <c r="AY125" s="156">
        <f t="shared" ref="AY125" si="715">SUM(AY124)</f>
        <v>9232.5728379218854</v>
      </c>
      <c r="AZ125" s="37">
        <f t="shared" ref="AZ125" si="716">SUM(AZ124)</f>
        <v>15876.166170586866</v>
      </c>
      <c r="BA125" s="37">
        <f t="shared" ref="BA125" si="717">SUM(BA124)</f>
        <v>39628.474874900829</v>
      </c>
      <c r="BB125" s="37">
        <f t="shared" ref="BB125" si="718">SUM(BB124)</f>
        <v>17485.964563541751</v>
      </c>
      <c r="BC125" s="37">
        <f t="shared" ref="BC125" si="719">SUM(BC124)</f>
        <v>114683.40955557684</v>
      </c>
      <c r="BD125" s="37">
        <f t="shared" ref="BD125" si="720">SUM(BD124)</f>
        <v>193536.95702822853</v>
      </c>
      <c r="BE125" s="37">
        <f t="shared" ref="BE125" si="721">SUM(BE124)</f>
        <v>135395.515651258</v>
      </c>
      <c r="BF125" s="37">
        <f t="shared" ref="BF125" si="722">SUM(BF124)</f>
        <v>99640.491452614675</v>
      </c>
      <c r="BG125" s="37">
        <f t="shared" ref="BG125" si="723">SUM(BG124)</f>
        <v>36978.038865114344</v>
      </c>
      <c r="BH125" s="37">
        <f t="shared" ref="BH125" si="724">SUM(BH124)</f>
        <v>147453.61367442569</v>
      </c>
      <c r="BI125" s="37">
        <f t="shared" ref="BI125" si="725">SUM(BI124)</f>
        <v>49810.565388829789</v>
      </c>
      <c r="BJ125" s="37">
        <f t="shared" ref="BJ125" si="726">SUM(BJ124)</f>
        <v>20385.14694390506</v>
      </c>
      <c r="BK125" s="156">
        <f t="shared" ref="BK125" si="727">SUM(BK124)</f>
        <v>25038.962614536922</v>
      </c>
      <c r="BL125" s="37">
        <f t="shared" ref="BL125" si="728">SUM(BL124)</f>
        <v>24648.13924070471</v>
      </c>
      <c r="BM125" s="37">
        <f t="shared" ref="BM125" si="729">SUM(BM124)</f>
        <v>51567.422438927199</v>
      </c>
      <c r="BN125" s="37">
        <f t="shared" ref="BN125" si="730">SUM(BN124)</f>
        <v>26472.577419386907</v>
      </c>
      <c r="BO125" s="37">
        <f t="shared" ref="BO125" si="731">SUM(BO124)</f>
        <v>136629.68174369336</v>
      </c>
      <c r="BP125" s="37">
        <f t="shared" ref="BP125" si="732">SUM(BP124)</f>
        <v>225997.03554603193</v>
      </c>
      <c r="BQ125" s="37">
        <f t="shared" ref="BQ125" si="733">SUM(BQ124)</f>
        <v>160103.40198546535</v>
      </c>
      <c r="BR125" s="37">
        <f t="shared" ref="BR125" si="734">SUM(BR124)</f>
        <v>113805.24959289648</v>
      </c>
      <c r="BS125" s="37">
        <f t="shared" ref="BS125" si="735">SUM(BS124)</f>
        <v>42787.803327062749</v>
      </c>
      <c r="BT125" s="37">
        <f t="shared" ref="BT125" si="736">SUM(BT124)</f>
        <v>167993.45477761561</v>
      </c>
      <c r="BU125" s="37">
        <f t="shared" ref="BU125" si="737">SUM(BU124)</f>
        <v>57331.333387273589</v>
      </c>
      <c r="BV125" s="37">
        <f t="shared" ref="BV125" si="738">SUM(BV124)</f>
        <v>23982.525816358895</v>
      </c>
      <c r="BW125" s="156">
        <f t="shared" ref="BW125" si="739">SUM(BW124)</f>
        <v>29320.726144436616</v>
      </c>
      <c r="BX125" s="37">
        <f t="shared" ref="BX125" si="740">SUM(BX124)</f>
        <v>29542.528731086164</v>
      </c>
      <c r="BY125" s="37">
        <f t="shared" ref="BY125" si="741">SUM(BY124)</f>
        <v>60420.530046694308</v>
      </c>
      <c r="BZ125" s="37">
        <f t="shared" ref="BZ125" si="742">SUM(BZ124)</f>
        <v>31635.266641927512</v>
      </c>
      <c r="CA125" s="37">
        <f t="shared" ref="CA125" si="743">SUM(CA124)</f>
        <v>157991.94513157316</v>
      </c>
      <c r="CB125" s="37">
        <f t="shared" ref="CB125" si="744">SUM(CB124)</f>
        <v>260501.55684602031</v>
      </c>
      <c r="CC125" s="37">
        <f t="shared" ref="CC125" si="745">SUM(CC124)</f>
        <v>184917.68305595865</v>
      </c>
      <c r="CD125" s="37">
        <f t="shared" ref="CD125" si="746">SUM(CD124)</f>
        <v>131810.97884095318</v>
      </c>
      <c r="CE125" s="37">
        <f t="shared" ref="CE125" si="747">SUM(CE124)</f>
        <v>50349.790477202747</v>
      </c>
      <c r="CF125" s="37">
        <f t="shared" ref="CF125" si="748">SUM(CF124)</f>
        <v>193968.03772930751</v>
      </c>
      <c r="CG125" s="37">
        <f t="shared" ref="CG125" si="749">SUM(CG124)</f>
        <v>67032.074958032827</v>
      </c>
      <c r="CH125" s="37">
        <f t="shared" ref="CH125" si="750">SUM(CH124)</f>
        <v>28779.030979630679</v>
      </c>
      <c r="CI125" s="156">
        <f t="shared" ref="CI125" si="751">SUM(CI124)</f>
        <v>35349.123691110944</v>
      </c>
      <c r="CJ125" s="37">
        <f t="shared" ref="CJ125" si="752">SUM(CJ124)</f>
        <v>34515.225683155375</v>
      </c>
      <c r="CK125" s="37">
        <f t="shared" ref="CK125" si="753">SUM(CK124)</f>
        <v>72518.91961005771</v>
      </c>
      <c r="CL125" s="37">
        <f t="shared" ref="CL125" si="754">SUM(CL124)</f>
        <v>37090.903111883184</v>
      </c>
      <c r="CM125" s="37">
        <f t="shared" ref="CM125" si="755">SUM(CM124)</f>
        <v>192606.81509913938</v>
      </c>
      <c r="CN125" s="37">
        <f t="shared" ref="CN125" si="756">SUM(CN124)</f>
        <v>318772.49105538201</v>
      </c>
      <c r="CO125" s="37">
        <f t="shared" ref="CO125" si="757">SUM(CO124)</f>
        <v>225746.1848522292</v>
      </c>
      <c r="CP125" s="37">
        <f t="shared" ref="CP125" si="758">SUM(CP124)</f>
        <v>165180.59252010961</v>
      </c>
      <c r="CQ125" s="37">
        <f t="shared" ref="CQ125" si="759">SUM(CQ124)</f>
        <v>64920.668380109077</v>
      </c>
      <c r="CR125" s="37">
        <f t="shared" ref="CR125" si="760">SUM(CR124)</f>
        <v>241681.58807500722</v>
      </c>
      <c r="CS125" s="37">
        <f t="shared" ref="CS125" si="761">SUM(CS124)</f>
        <v>85452.710818053805</v>
      </c>
      <c r="CT125" s="37">
        <f t="shared" ref="CT125" si="762">SUM(CT124)</f>
        <v>38372.041306174229</v>
      </c>
      <c r="CU125" s="156">
        <f t="shared" ref="CU125" si="763">SUM(CU124)</f>
        <v>46584.657195524574</v>
      </c>
      <c r="CV125" s="37">
        <f t="shared" ref="CV125" si="764">SUM(CV124)</f>
        <v>39546.653231490374</v>
      </c>
      <c r="CW125" s="37">
        <f t="shared" ref="CW125" si="765">SUM(CW124)</f>
        <v>87051.270640118295</v>
      </c>
      <c r="CX125" s="37">
        <f t="shared" ref="CX125" si="766">SUM(CX124)</f>
        <v>42766.25001740014</v>
      </c>
      <c r="CY125" s="37">
        <f t="shared" ref="CY125" si="767">SUM(CY124)</f>
        <v>237161.14000147034</v>
      </c>
      <c r="CZ125" s="37">
        <f t="shared" ref="CZ125" si="768">SUM(CZ124)</f>
        <v>394868.23494677368</v>
      </c>
      <c r="DA125" s="37">
        <f t="shared" ref="DA125" si="769">SUM(DA124)</f>
        <v>278585.35219283262</v>
      </c>
      <c r="DB125" s="37">
        <f t="shared" ref="DB125" si="770">SUM(DB124)</f>
        <v>201679.23548686525</v>
      </c>
      <c r="DC125" s="37">
        <f t="shared" ref="DC125" si="771">SUM(DC124)</f>
        <v>76354.330311864585</v>
      </c>
      <c r="DD125" s="37">
        <f t="shared" ref="DD125" si="772">SUM(DD124)</f>
        <v>297305.47993048729</v>
      </c>
      <c r="DE125" s="37">
        <f t="shared" ref="DE125" si="773">SUM(DE124)</f>
        <v>102019.38335929546</v>
      </c>
      <c r="DF125" s="37">
        <f t="shared" ref="DF125" si="774">SUM(DF124)</f>
        <v>43168.54646944601</v>
      </c>
      <c r="DG125" s="37">
        <f t="shared" ref="DG125" si="775">SUM(DG124)</f>
        <v>53023.685536666417</v>
      </c>
    </row>
    <row r="126" spans="1:111" x14ac:dyDescent="0.25">
      <c r="A126" s="45"/>
      <c r="B126" s="42"/>
      <c r="C126" s="43" t="s">
        <v>466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62">
        <f t="shared" ref="P126:AA126" si="776">IFERROR((AVERAGE(K125:P125)/AVERAGE(K34:P34))*30.433, 0)</f>
        <v>0</v>
      </c>
      <c r="Q126" s="462">
        <f t="shared" si="776"/>
        <v>0</v>
      </c>
      <c r="R126" s="462">
        <f t="shared" si="776"/>
        <v>0</v>
      </c>
      <c r="S126" s="462">
        <f t="shared" si="776"/>
        <v>0</v>
      </c>
      <c r="T126" s="462">
        <f t="shared" si="776"/>
        <v>0</v>
      </c>
      <c r="U126" s="462">
        <f t="shared" si="776"/>
        <v>-38.977167745732778</v>
      </c>
      <c r="V126" s="462">
        <f t="shared" si="776"/>
        <v>-42.625005149330583</v>
      </c>
      <c r="W126" s="462">
        <f t="shared" si="776"/>
        <v>-8.269090010035292</v>
      </c>
      <c r="X126" s="462">
        <f t="shared" si="776"/>
        <v>-7.5824930332120521</v>
      </c>
      <c r="Y126" s="462">
        <f t="shared" si="776"/>
        <v>3.8858892303066686</v>
      </c>
      <c r="Z126" s="462">
        <f t="shared" si="776"/>
        <v>1.7499817319303337</v>
      </c>
      <c r="AA126" s="462">
        <f t="shared" si="776"/>
        <v>17.074754531126182</v>
      </c>
      <c r="AB126" s="462">
        <f t="shared" ref="AB126:AS126" si="777">IFERROR((AVERAGE(W125:AB125)/AVERAGE(W28:AB28))*30.433, 0)</f>
        <v>5.611195036960944</v>
      </c>
      <c r="AC126" s="462">
        <f t="shared" si="777"/>
        <v>5.6182263301569693</v>
      </c>
      <c r="AD126" s="462">
        <f t="shared" si="777"/>
        <v>4.4202611050131049</v>
      </c>
      <c r="AE126" s="462">
        <f t="shared" si="777"/>
        <v>5.6211837775396765</v>
      </c>
      <c r="AF126" s="462">
        <f t="shared" si="777"/>
        <v>7.8002282673663839</v>
      </c>
      <c r="AG126" s="462">
        <f t="shared" si="777"/>
        <v>7.4664450613276196</v>
      </c>
      <c r="AH126" s="462">
        <f t="shared" si="777"/>
        <v>8.2927918913281644</v>
      </c>
      <c r="AI126" s="462">
        <f t="shared" si="777"/>
        <v>11.185594394512606</v>
      </c>
      <c r="AJ126" s="462">
        <f t="shared" si="777"/>
        <v>21.330036759068804</v>
      </c>
      <c r="AK126" s="462">
        <f t="shared" si="777"/>
        <v>34.839965965811508</v>
      </c>
      <c r="AL126" s="462">
        <f t="shared" si="777"/>
        <v>49.338103211106919</v>
      </c>
      <c r="AM126" s="462">
        <f t="shared" si="777"/>
        <v>46.519549508701566</v>
      </c>
      <c r="AN126" s="462">
        <f t="shared" si="777"/>
        <v>43.220954888861122</v>
      </c>
      <c r="AO126" s="462">
        <f t="shared" si="777"/>
        <v>48.432540708114793</v>
      </c>
      <c r="AP126" s="462">
        <f t="shared" si="777"/>
        <v>54.605663573426611</v>
      </c>
      <c r="AQ126" s="462">
        <f t="shared" si="777"/>
        <v>43.569181161336346</v>
      </c>
      <c r="AR126" s="462">
        <f t="shared" si="777"/>
        <v>33.958304856553028</v>
      </c>
      <c r="AS126" s="463">
        <f t="shared" si="777"/>
        <v>27.646492535113453</v>
      </c>
      <c r="AT126" s="754">
        <f>+AS126</f>
        <v>27.646492535113453</v>
      </c>
      <c r="AU126" s="462">
        <f t="shared" ref="AU126" si="778">AT126</f>
        <v>27.646492535113453</v>
      </c>
      <c r="AV126" s="462">
        <f t="shared" ref="AV126" si="779">AU126</f>
        <v>27.646492535113453</v>
      </c>
      <c r="AW126" s="462">
        <f t="shared" ref="AW126" si="780">AV126</f>
        <v>27.646492535113453</v>
      </c>
      <c r="AX126" s="462">
        <f t="shared" ref="AX126" si="781">AW126</f>
        <v>27.646492535113453</v>
      </c>
      <c r="AY126" s="463">
        <f t="shared" ref="AY126" si="782">AX126</f>
        <v>27.646492535113453</v>
      </c>
      <c r="AZ126" s="462">
        <f t="shared" ref="AZ126" si="783">AY126</f>
        <v>27.646492535113453</v>
      </c>
      <c r="BA126" s="462">
        <f t="shared" ref="BA126" si="784">AZ126</f>
        <v>27.646492535113453</v>
      </c>
      <c r="BB126" s="462">
        <f t="shared" ref="BB126" si="785">BA126</f>
        <v>27.646492535113453</v>
      </c>
      <c r="BC126" s="462">
        <f t="shared" ref="BC126" si="786">BB126</f>
        <v>27.646492535113453</v>
      </c>
      <c r="BD126" s="462">
        <f t="shared" ref="BD126" si="787">BC126</f>
        <v>27.646492535113453</v>
      </c>
      <c r="BE126" s="462">
        <f t="shared" ref="BE126" si="788">BD126</f>
        <v>27.646492535113453</v>
      </c>
      <c r="BF126" s="462">
        <f t="shared" ref="BF126" si="789">BE126</f>
        <v>27.646492535113453</v>
      </c>
      <c r="BG126" s="462">
        <f t="shared" ref="BG126" si="790">BF126</f>
        <v>27.646492535113453</v>
      </c>
      <c r="BH126" s="462">
        <f t="shared" ref="BH126" si="791">BG126</f>
        <v>27.646492535113453</v>
      </c>
      <c r="BI126" s="462">
        <f t="shared" ref="BI126" si="792">BH126</f>
        <v>27.646492535113453</v>
      </c>
      <c r="BJ126" s="462">
        <f t="shared" ref="BJ126" si="793">BI126</f>
        <v>27.646492535113453</v>
      </c>
      <c r="BK126" s="463">
        <f t="shared" ref="BK126" si="794">BJ126</f>
        <v>27.646492535113453</v>
      </c>
      <c r="BL126" s="462">
        <f t="shared" ref="BL126" si="795">BK126</f>
        <v>27.646492535113453</v>
      </c>
      <c r="BM126" s="462">
        <f t="shared" ref="BM126" si="796">BL126</f>
        <v>27.646492535113453</v>
      </c>
      <c r="BN126" s="462">
        <f t="shared" ref="BN126" si="797">BM126</f>
        <v>27.646492535113453</v>
      </c>
      <c r="BO126" s="462">
        <f t="shared" ref="BO126" si="798">BN126</f>
        <v>27.646492535113453</v>
      </c>
      <c r="BP126" s="462">
        <f t="shared" ref="BP126" si="799">BO126</f>
        <v>27.646492535113453</v>
      </c>
      <c r="BQ126" s="462">
        <f t="shared" ref="BQ126" si="800">BP126</f>
        <v>27.646492535113453</v>
      </c>
      <c r="BR126" s="462">
        <f t="shared" ref="BR126" si="801">BQ126</f>
        <v>27.646492535113453</v>
      </c>
      <c r="BS126" s="462">
        <f t="shared" ref="BS126" si="802">BR126</f>
        <v>27.646492535113453</v>
      </c>
      <c r="BT126" s="462">
        <f t="shared" ref="BT126" si="803">BS126</f>
        <v>27.646492535113453</v>
      </c>
      <c r="BU126" s="462">
        <f t="shared" ref="BU126" si="804">BT126</f>
        <v>27.646492535113453</v>
      </c>
      <c r="BV126" s="462">
        <f t="shared" ref="BV126" si="805">BU126</f>
        <v>27.646492535113453</v>
      </c>
      <c r="BW126" s="463">
        <f t="shared" ref="BW126" si="806">BV126</f>
        <v>27.646492535113453</v>
      </c>
      <c r="BX126" s="462">
        <f t="shared" ref="BX126" si="807">BW126</f>
        <v>27.646492535113453</v>
      </c>
      <c r="BY126" s="462">
        <f t="shared" ref="BY126" si="808">BX126</f>
        <v>27.646492535113453</v>
      </c>
      <c r="BZ126" s="462">
        <f t="shared" ref="BZ126" si="809">BY126</f>
        <v>27.646492535113453</v>
      </c>
      <c r="CA126" s="462">
        <f t="shared" ref="CA126" si="810">BZ126</f>
        <v>27.646492535113453</v>
      </c>
      <c r="CB126" s="462">
        <f t="shared" ref="CB126" si="811">CA126</f>
        <v>27.646492535113453</v>
      </c>
      <c r="CC126" s="462">
        <f t="shared" ref="CC126" si="812">CB126</f>
        <v>27.646492535113453</v>
      </c>
      <c r="CD126" s="462">
        <f t="shared" ref="CD126" si="813">CC126</f>
        <v>27.646492535113453</v>
      </c>
      <c r="CE126" s="462">
        <f t="shared" ref="CE126" si="814">CD126</f>
        <v>27.646492535113453</v>
      </c>
      <c r="CF126" s="462">
        <f t="shared" ref="CF126" si="815">CE126</f>
        <v>27.646492535113453</v>
      </c>
      <c r="CG126" s="462">
        <f t="shared" ref="CG126" si="816">CF126</f>
        <v>27.646492535113453</v>
      </c>
      <c r="CH126" s="462">
        <f t="shared" ref="CH126" si="817">CG126</f>
        <v>27.646492535113453</v>
      </c>
      <c r="CI126" s="463">
        <f t="shared" ref="CI126" si="818">CH126</f>
        <v>27.646492535113453</v>
      </c>
      <c r="CJ126" s="462">
        <f t="shared" ref="CJ126" si="819">CI126</f>
        <v>27.646492535113453</v>
      </c>
      <c r="CK126" s="462">
        <f t="shared" ref="CK126" si="820">CJ126</f>
        <v>27.646492535113453</v>
      </c>
      <c r="CL126" s="462">
        <f t="shared" ref="CL126" si="821">CK126</f>
        <v>27.646492535113453</v>
      </c>
      <c r="CM126" s="462">
        <f t="shared" ref="CM126" si="822">CL126</f>
        <v>27.646492535113453</v>
      </c>
      <c r="CN126" s="462">
        <f t="shared" ref="CN126" si="823">CM126</f>
        <v>27.646492535113453</v>
      </c>
      <c r="CO126" s="462">
        <f t="shared" ref="CO126" si="824">CN126</f>
        <v>27.646492535113453</v>
      </c>
      <c r="CP126" s="462">
        <f t="shared" ref="CP126" si="825">CO126</f>
        <v>27.646492535113453</v>
      </c>
      <c r="CQ126" s="462">
        <f t="shared" ref="CQ126" si="826">CP126</f>
        <v>27.646492535113453</v>
      </c>
      <c r="CR126" s="462">
        <f t="shared" ref="CR126" si="827">CQ126</f>
        <v>27.646492535113453</v>
      </c>
      <c r="CS126" s="462">
        <f t="shared" ref="CS126" si="828">CR126</f>
        <v>27.646492535113453</v>
      </c>
      <c r="CT126" s="462">
        <f t="shared" ref="CT126" si="829">CS126</f>
        <v>27.646492535113453</v>
      </c>
      <c r="CU126" s="463">
        <f t="shared" ref="CU126" si="830">CT126</f>
        <v>27.646492535113453</v>
      </c>
      <c r="CV126" s="462">
        <f t="shared" ref="CV126" si="831">CU126</f>
        <v>27.646492535113453</v>
      </c>
      <c r="CW126" s="462">
        <f t="shared" ref="CW126" si="832">CV126</f>
        <v>27.646492535113453</v>
      </c>
      <c r="CX126" s="462">
        <f t="shared" ref="CX126" si="833">CW126</f>
        <v>27.646492535113453</v>
      </c>
      <c r="CY126" s="462">
        <f t="shared" ref="CY126" si="834">CX126</f>
        <v>27.646492535113453</v>
      </c>
      <c r="CZ126" s="462">
        <f t="shared" ref="CZ126" si="835">CY126</f>
        <v>27.646492535113453</v>
      </c>
      <c r="DA126" s="462">
        <f t="shared" ref="DA126" si="836">CZ126</f>
        <v>27.646492535113453</v>
      </c>
      <c r="DB126" s="462">
        <f t="shared" ref="DB126" si="837">DA126</f>
        <v>27.646492535113453</v>
      </c>
      <c r="DC126" s="462">
        <f t="shared" ref="DC126" si="838">DB126</f>
        <v>27.646492535113453</v>
      </c>
      <c r="DD126" s="462">
        <f t="shared" ref="DD126" si="839">DC126</f>
        <v>27.646492535113453</v>
      </c>
      <c r="DE126" s="462">
        <f t="shared" ref="DE126" si="840">DD126</f>
        <v>27.646492535113453</v>
      </c>
      <c r="DF126" s="462">
        <f t="shared" ref="DF126" si="841">DE126</f>
        <v>27.646492535113453</v>
      </c>
      <c r="DG126" s="462">
        <f t="shared" ref="DG126" si="842">DF126</f>
        <v>27.646492535113453</v>
      </c>
    </row>
    <row r="127" spans="1:111" s="39" customFormat="1" x14ac:dyDescent="0.25">
      <c r="AS127" s="157"/>
      <c r="AY127" s="157"/>
      <c r="BK127" s="157"/>
      <c r="BW127" s="157"/>
      <c r="CI127" s="157"/>
      <c r="CU127" s="157"/>
    </row>
    <row r="128" spans="1:111" s="39" customFormat="1" x14ac:dyDescent="0.25">
      <c r="B128" s="39" t="s">
        <v>255</v>
      </c>
      <c r="AS128" s="157"/>
      <c r="AY128" s="157"/>
      <c r="BK128" s="157"/>
      <c r="BW128" s="157"/>
      <c r="CI128" s="157"/>
      <c r="CU128" s="157"/>
    </row>
    <row r="129" spans="1:111" s="15" customFormat="1" hidden="1" x14ac:dyDescent="0.25">
      <c r="A129"/>
      <c r="B129" s="1" t="s">
        <v>321</v>
      </c>
      <c r="C129" s="1"/>
      <c r="D129" s="2"/>
      <c r="E129" s="2"/>
      <c r="F129" s="2"/>
      <c r="G129" s="2"/>
      <c r="H129" s="2"/>
      <c r="I129" s="2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>
        <v>0</v>
      </c>
      <c r="AC129" s="91">
        <v>0</v>
      </c>
      <c r="AD129" s="91">
        <v>0</v>
      </c>
      <c r="AE129" s="91">
        <v>0</v>
      </c>
      <c r="AF129" s="91">
        <v>0</v>
      </c>
      <c r="AG129" s="91">
        <v>0</v>
      </c>
      <c r="AH129" s="91">
        <v>0</v>
      </c>
      <c r="AI129" s="91">
        <v>0</v>
      </c>
      <c r="AJ129" s="91">
        <v>0</v>
      </c>
      <c r="AK129" s="91">
        <v>0</v>
      </c>
      <c r="AL129" s="91">
        <v>0</v>
      </c>
      <c r="AM129" s="91">
        <v>0</v>
      </c>
      <c r="AN129" s="91">
        <v>0</v>
      </c>
      <c r="AO129" s="91">
        <v>0</v>
      </c>
      <c r="AP129" s="91">
        <v>0</v>
      </c>
      <c r="AQ129" s="91">
        <v>0</v>
      </c>
      <c r="AR129" s="91">
        <v>0</v>
      </c>
      <c r="AS129" s="155">
        <v>0</v>
      </c>
      <c r="AT129" s="194"/>
      <c r="AU129" s="9"/>
      <c r="AV129" s="9"/>
      <c r="AW129" s="9"/>
      <c r="AX129" s="9"/>
      <c r="AY129" s="164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164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164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164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164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</row>
    <row r="130" spans="1:111" s="15" customFormat="1" x14ac:dyDescent="0.25">
      <c r="A130"/>
      <c r="B130" s="1" t="s">
        <v>494</v>
      </c>
      <c r="C130" s="1"/>
      <c r="D130" s="2"/>
      <c r="E130" s="2"/>
      <c r="F130" s="2"/>
      <c r="G130" s="2"/>
      <c r="H130" s="2"/>
      <c r="I130" s="2"/>
      <c r="J130" s="91"/>
      <c r="K130" s="91"/>
      <c r="L130" s="91"/>
      <c r="M130" s="91"/>
      <c r="N130" s="91"/>
      <c r="O130" s="91"/>
      <c r="P130" s="91">
        <v>32.49</v>
      </c>
      <c r="Q130" s="91">
        <v>30.05</v>
      </c>
      <c r="R130" s="91">
        <v>140.63999999999999</v>
      </c>
      <c r="S130" s="91">
        <v>73</v>
      </c>
      <c r="T130" s="91">
        <v>1796.97</v>
      </c>
      <c r="U130" s="91">
        <v>2060.5500000000002</v>
      </c>
      <c r="V130" s="91">
        <v>2984.17</v>
      </c>
      <c r="W130" s="91">
        <v>4074.71</v>
      </c>
      <c r="X130" s="91">
        <v>4462.3900000000003</v>
      </c>
      <c r="Y130" s="91">
        <v>4738</v>
      </c>
      <c r="Z130" s="91">
        <v>2380.16</v>
      </c>
      <c r="AA130" s="91">
        <v>0</v>
      </c>
      <c r="AB130" s="91"/>
      <c r="AC130" s="91">
        <v>0</v>
      </c>
      <c r="AD130" s="91">
        <v>0</v>
      </c>
      <c r="AE130" s="91">
        <v>0</v>
      </c>
      <c r="AF130" s="91">
        <v>0</v>
      </c>
      <c r="AG130" s="91">
        <v>0</v>
      </c>
      <c r="AH130" s="91">
        <v>0</v>
      </c>
      <c r="AI130" s="91">
        <v>0</v>
      </c>
      <c r="AJ130" s="91">
        <v>468.73</v>
      </c>
      <c r="AK130" s="91">
        <v>0</v>
      </c>
      <c r="AL130" s="91">
        <v>85</v>
      </c>
      <c r="AM130" s="91">
        <v>0</v>
      </c>
      <c r="AN130" s="91">
        <v>1000</v>
      </c>
      <c r="AO130" s="91">
        <v>646.11</v>
      </c>
      <c r="AP130" s="91">
        <v>1005.37</v>
      </c>
      <c r="AQ130" s="91">
        <v>951.29</v>
      </c>
      <c r="AR130" s="91">
        <v>365.96</v>
      </c>
      <c r="AS130" s="155">
        <v>531.5</v>
      </c>
      <c r="AT130" s="194">
        <v>0</v>
      </c>
      <c r="AU130" s="9"/>
      <c r="AV130" s="9"/>
      <c r="AW130" s="9"/>
      <c r="AX130" s="9"/>
      <c r="AY130" s="164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164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164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164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164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</row>
    <row r="131" spans="1:111" s="15" customFormat="1" x14ac:dyDescent="0.25">
      <c r="A131"/>
      <c r="B131" s="1" t="s">
        <v>495</v>
      </c>
      <c r="C131" s="1"/>
      <c r="D131" s="2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91">
        <v>0</v>
      </c>
      <c r="K131" s="91">
        <v>0</v>
      </c>
      <c r="L131" s="91">
        <v>0</v>
      </c>
      <c r="M131" s="91">
        <v>0</v>
      </c>
      <c r="N131" s="91">
        <v>0</v>
      </c>
      <c r="O131" s="91">
        <v>0</v>
      </c>
      <c r="P131" s="91"/>
      <c r="Q131" s="91">
        <v>0</v>
      </c>
      <c r="R131" s="91">
        <v>0</v>
      </c>
      <c r="S131" s="91">
        <v>0</v>
      </c>
      <c r="T131" s="91">
        <v>0</v>
      </c>
      <c r="U131" s="91"/>
      <c r="V131" s="91">
        <v>0</v>
      </c>
      <c r="W131" s="91">
        <v>0</v>
      </c>
      <c r="X131" s="91">
        <v>0</v>
      </c>
      <c r="Y131" s="91">
        <v>0</v>
      </c>
      <c r="Z131" s="91">
        <v>0</v>
      </c>
      <c r="AA131" s="91">
        <v>249.98</v>
      </c>
      <c r="AB131" s="91">
        <v>1453.95</v>
      </c>
      <c r="AC131" s="91">
        <v>799.57</v>
      </c>
      <c r="AD131" s="91">
        <v>825.46</v>
      </c>
      <c r="AE131" s="91">
        <v>187.25</v>
      </c>
      <c r="AF131" s="91">
        <v>161.15</v>
      </c>
      <c r="AG131" s="91">
        <v>191.15</v>
      </c>
      <c r="AH131" s="91">
        <v>740.15</v>
      </c>
      <c r="AI131" s="91">
        <v>170.15</v>
      </c>
      <c r="AJ131" s="91">
        <v>489.04</v>
      </c>
      <c r="AK131" s="91">
        <v>966.65</v>
      </c>
      <c r="AL131" s="91">
        <v>3275.05</v>
      </c>
      <c r="AM131" s="91">
        <v>2068.5500000000002</v>
      </c>
      <c r="AN131" s="91">
        <v>4200.04</v>
      </c>
      <c r="AO131" s="91">
        <v>821.25</v>
      </c>
      <c r="AP131" s="91">
        <v>1810.9</v>
      </c>
      <c r="AQ131" s="91">
        <v>2200.39</v>
      </c>
      <c r="AR131" s="91">
        <v>2541.7600000000002</v>
      </c>
      <c r="AS131" s="155">
        <v>2272.9899999999998</v>
      </c>
      <c r="AT131" s="194">
        <f t="shared" ref="AT131" si="843">+(AT79/30.4333)*AT134</f>
        <v>4943.0557974324174</v>
      </c>
      <c r="AU131" s="9">
        <f t="shared" ref="AU131:BU131" si="844">+(AU79/30.4333)*AU134</f>
        <v>4420.6017750293277</v>
      </c>
      <c r="AV131" s="9">
        <f t="shared" si="844"/>
        <v>4277.6662405982925</v>
      </c>
      <c r="AW131" s="9">
        <f t="shared" si="844"/>
        <v>4389.0573812238581</v>
      </c>
      <c r="AX131" s="9">
        <f t="shared" si="844"/>
        <v>4646.7307193107554</v>
      </c>
      <c r="AY131" s="164">
        <f t="shared" si="844"/>
        <v>5249.4307222680418</v>
      </c>
      <c r="AZ131" s="9">
        <f t="shared" si="844"/>
        <v>10330.873171821659</v>
      </c>
      <c r="BA131" s="9">
        <f t="shared" si="844"/>
        <v>8727.0378992748083</v>
      </c>
      <c r="BB131" s="9">
        <f t="shared" si="844"/>
        <v>9343.1393407878895</v>
      </c>
      <c r="BC131" s="9">
        <f t="shared" si="844"/>
        <v>8943.9056066874127</v>
      </c>
      <c r="BD131" s="9">
        <f t="shared" si="844"/>
        <v>9870.2757341464803</v>
      </c>
      <c r="BE131" s="9">
        <f t="shared" si="844"/>
        <v>9335.6623336936864</v>
      </c>
      <c r="BF131" s="9">
        <f t="shared" si="844"/>
        <v>8975.9428816460932</v>
      </c>
      <c r="BG131" s="9">
        <f t="shared" si="844"/>
        <v>8448.5600477108983</v>
      </c>
      <c r="BH131" s="9">
        <f t="shared" si="844"/>
        <v>8305.6245132798631</v>
      </c>
      <c r="BI131" s="9">
        <f t="shared" si="844"/>
        <v>8417.0156539054296</v>
      </c>
      <c r="BJ131" s="9">
        <f t="shared" si="844"/>
        <v>8674.6889919923269</v>
      </c>
      <c r="BK131" s="164">
        <f t="shared" si="844"/>
        <v>9372.268616942627</v>
      </c>
      <c r="BL131" s="9">
        <f t="shared" si="844"/>
        <v>12458.971854021749</v>
      </c>
      <c r="BM131" s="9">
        <f t="shared" si="844"/>
        <v>10773.811191195175</v>
      </c>
      <c r="BN131" s="9">
        <f t="shared" si="844"/>
        <v>11444.129559561405</v>
      </c>
      <c r="BO131" s="9">
        <f t="shared" si="844"/>
        <v>10963.570435181204</v>
      </c>
      <c r="BP131" s="9">
        <f t="shared" si="844"/>
        <v>11889.940562640268</v>
      </c>
      <c r="BQ131" s="9">
        <f t="shared" si="844"/>
        <v>11355.327162187474</v>
      </c>
      <c r="BR131" s="9">
        <f t="shared" si="844"/>
        <v>11001.029402825197</v>
      </c>
      <c r="BS131" s="9">
        <f t="shared" si="844"/>
        <v>10468.224876204687</v>
      </c>
      <c r="BT131" s="9">
        <f t="shared" si="844"/>
        <v>10325.289341773652</v>
      </c>
      <c r="BU131" s="9">
        <f t="shared" si="844"/>
        <v>10436.680482399217</v>
      </c>
      <c r="BV131" s="9">
        <f t="shared" ref="BV131:CS131" si="845">+(BV79/30.4333)*BV134</f>
        <v>10694.353820486116</v>
      </c>
      <c r="BW131" s="164">
        <f t="shared" si="845"/>
        <v>11496.301029628732</v>
      </c>
      <c r="BX131" s="9">
        <f t="shared" si="845"/>
        <v>16120.637041702676</v>
      </c>
      <c r="BY131" s="9">
        <f t="shared" si="845"/>
        <v>14346.018449568401</v>
      </c>
      <c r="BZ131" s="9">
        <f t="shared" si="845"/>
        <v>15075.975437473098</v>
      </c>
      <c r="CA131" s="9">
        <f t="shared" si="845"/>
        <v>14505.958383785195</v>
      </c>
      <c r="CB131" s="9">
        <f t="shared" si="845"/>
        <v>15432.328511244263</v>
      </c>
      <c r="CC131" s="9">
        <f t="shared" si="845"/>
        <v>14897.715110791469</v>
      </c>
      <c r="CD131" s="9">
        <f t="shared" si="845"/>
        <v>14549.381213383038</v>
      </c>
      <c r="CE131" s="9">
        <f t="shared" si="845"/>
        <v>14010.612824808681</v>
      </c>
      <c r="CF131" s="9">
        <f t="shared" si="845"/>
        <v>13867.677290377645</v>
      </c>
      <c r="CG131" s="9">
        <f t="shared" si="845"/>
        <v>13979.068431003212</v>
      </c>
      <c r="CH131" s="9">
        <f t="shared" si="845"/>
        <v>14236.741769090109</v>
      </c>
      <c r="CI131" s="164">
        <f t="shared" si="845"/>
        <v>15153.493320844273</v>
      </c>
      <c r="CJ131" s="9">
        <f t="shared" si="845"/>
        <v>18167.033324362212</v>
      </c>
      <c r="CK131" s="9">
        <f t="shared" si="845"/>
        <v>16294.01100998947</v>
      </c>
      <c r="CL131" s="9">
        <f t="shared" si="845"/>
        <v>17089.570479386479</v>
      </c>
      <c r="CM131" s="9">
        <f t="shared" si="845"/>
        <v>16421.149703460113</v>
      </c>
      <c r="CN131" s="9">
        <f t="shared" si="845"/>
        <v>17347.519830919173</v>
      </c>
      <c r="CO131" s="9">
        <f t="shared" si="845"/>
        <v>16812.906430466384</v>
      </c>
      <c r="CP131" s="9">
        <f t="shared" si="845"/>
        <v>16471.132781207187</v>
      </c>
      <c r="CQ131" s="9">
        <f t="shared" si="845"/>
        <v>15925.804144483593</v>
      </c>
      <c r="CR131" s="9">
        <f t="shared" si="845"/>
        <v>15782.868610052559</v>
      </c>
      <c r="CS131" s="9">
        <f t="shared" si="845"/>
        <v>15894.259750678124</v>
      </c>
      <c r="CT131" s="9">
        <f t="shared" ref="CT131:DG131" si="846">+(CT79/30.4333)*CT134</f>
        <v>16151.933088765021</v>
      </c>
      <c r="CU131" s="164">
        <f t="shared" si="846"/>
        <v>17194.969417391887</v>
      </c>
      <c r="CV131" s="9">
        <f t="shared" si="846"/>
        <v>21332.678678234963</v>
      </c>
      <c r="CW131" s="9">
        <f t="shared" si="846"/>
        <v>19351.412269399905</v>
      </c>
      <c r="CX131" s="9">
        <f t="shared" si="846"/>
        <v>20219.13446843846</v>
      </c>
      <c r="CY131" s="9">
        <f t="shared" si="846"/>
        <v>19442.469598049771</v>
      </c>
      <c r="CZ131" s="9">
        <f t="shared" si="846"/>
        <v>20368.839725508835</v>
      </c>
      <c r="DA131" s="9">
        <f t="shared" si="846"/>
        <v>19834.226325056046</v>
      </c>
      <c r="DB131" s="9">
        <f t="shared" si="846"/>
        <v>19499.668948760998</v>
      </c>
      <c r="DC131" s="9">
        <f t="shared" si="846"/>
        <v>18947.124039073256</v>
      </c>
      <c r="DD131" s="9">
        <f t="shared" si="846"/>
        <v>18804.188504642221</v>
      </c>
      <c r="DE131" s="9">
        <f t="shared" si="846"/>
        <v>18915.579645267786</v>
      </c>
      <c r="DF131" s="9">
        <f t="shared" si="846"/>
        <v>19173.252983354683</v>
      </c>
      <c r="DG131" s="9">
        <f t="shared" si="846"/>
        <v>20355.202566541524</v>
      </c>
    </row>
    <row r="132" spans="1:111" s="15" customFormat="1" x14ac:dyDescent="0.25">
      <c r="A132"/>
      <c r="B132" s="1" t="s">
        <v>496</v>
      </c>
      <c r="C132" s="1"/>
      <c r="D132" s="2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91">
        <v>0</v>
      </c>
      <c r="K132" s="91">
        <v>0</v>
      </c>
      <c r="L132" s="91">
        <v>0</v>
      </c>
      <c r="M132" s="91">
        <v>0</v>
      </c>
      <c r="N132" s="91">
        <v>0</v>
      </c>
      <c r="O132" s="91">
        <v>0</v>
      </c>
      <c r="P132" s="91"/>
      <c r="Q132" s="91">
        <v>0</v>
      </c>
      <c r="R132" s="91">
        <v>0</v>
      </c>
      <c r="S132" s="91">
        <v>0</v>
      </c>
      <c r="T132" s="91">
        <v>0</v>
      </c>
      <c r="U132" s="91"/>
      <c r="V132" s="91">
        <v>0</v>
      </c>
      <c r="W132" s="91">
        <v>0</v>
      </c>
      <c r="X132" s="91">
        <v>991</v>
      </c>
      <c r="Y132" s="91">
        <v>3885.59</v>
      </c>
      <c r="Z132" s="91">
        <v>1518.43</v>
      </c>
      <c r="AA132" s="91">
        <v>-31.65</v>
      </c>
      <c r="AB132" s="91">
        <v>68.349999999999994</v>
      </c>
      <c r="AC132" s="91">
        <v>0</v>
      </c>
      <c r="AD132" s="91">
        <v>72</v>
      </c>
      <c r="AE132" s="91">
        <v>0</v>
      </c>
      <c r="AF132" s="91">
        <v>1366.33</v>
      </c>
      <c r="AG132" s="91">
        <v>0</v>
      </c>
      <c r="AH132" s="91">
        <v>249.37</v>
      </c>
      <c r="AI132" s="91">
        <v>2345.91</v>
      </c>
      <c r="AJ132" s="91">
        <v>3604.51</v>
      </c>
      <c r="AK132" s="91">
        <v>5141.8</v>
      </c>
      <c r="AL132" s="91">
        <v>12.4</v>
      </c>
      <c r="AM132" s="91">
        <v>1111.8399999999999</v>
      </c>
      <c r="AN132" s="91">
        <v>1684.36</v>
      </c>
      <c r="AO132" s="91">
        <v>1806.47</v>
      </c>
      <c r="AP132" s="91">
        <v>3394.47</v>
      </c>
      <c r="AQ132" s="91">
        <v>5600.72</v>
      </c>
      <c r="AR132" s="91">
        <v>6379.46</v>
      </c>
      <c r="AS132" s="155">
        <v>5977.72</v>
      </c>
      <c r="AT132" s="194">
        <f>+(AT80/30.4333)*AT135</f>
        <v>0</v>
      </c>
      <c r="AU132" s="9">
        <f t="shared" ref="AU132:CP132" si="847">+AT132</f>
        <v>0</v>
      </c>
      <c r="AV132" s="9">
        <f t="shared" si="847"/>
        <v>0</v>
      </c>
      <c r="AW132" s="9">
        <f t="shared" si="847"/>
        <v>0</v>
      </c>
      <c r="AX132" s="9">
        <f t="shared" si="847"/>
        <v>0</v>
      </c>
      <c r="AY132" s="164">
        <f t="shared" si="847"/>
        <v>0</v>
      </c>
      <c r="AZ132" s="9">
        <f t="shared" si="847"/>
        <v>0</v>
      </c>
      <c r="BA132" s="9">
        <f t="shared" si="847"/>
        <v>0</v>
      </c>
      <c r="BB132" s="9">
        <f t="shared" si="847"/>
        <v>0</v>
      </c>
      <c r="BC132" s="9">
        <f t="shared" si="847"/>
        <v>0</v>
      </c>
      <c r="BD132" s="9">
        <f t="shared" si="847"/>
        <v>0</v>
      </c>
      <c r="BE132" s="9">
        <f t="shared" si="847"/>
        <v>0</v>
      </c>
      <c r="BF132" s="9">
        <f t="shared" si="847"/>
        <v>0</v>
      </c>
      <c r="BG132" s="9">
        <f t="shared" si="847"/>
        <v>0</v>
      </c>
      <c r="BH132" s="9">
        <f t="shared" si="847"/>
        <v>0</v>
      </c>
      <c r="BI132" s="9">
        <f t="shared" si="847"/>
        <v>0</v>
      </c>
      <c r="BJ132" s="9">
        <f t="shared" si="847"/>
        <v>0</v>
      </c>
      <c r="BK132" s="164">
        <f t="shared" si="847"/>
        <v>0</v>
      </c>
      <c r="BL132" s="9">
        <f t="shared" si="847"/>
        <v>0</v>
      </c>
      <c r="BM132" s="9">
        <f t="shared" si="847"/>
        <v>0</v>
      </c>
      <c r="BN132" s="9">
        <f t="shared" si="847"/>
        <v>0</v>
      </c>
      <c r="BO132" s="9">
        <f t="shared" si="847"/>
        <v>0</v>
      </c>
      <c r="BP132" s="9">
        <f t="shared" si="847"/>
        <v>0</v>
      </c>
      <c r="BQ132" s="9">
        <f t="shared" si="847"/>
        <v>0</v>
      </c>
      <c r="BR132" s="9">
        <f t="shared" si="847"/>
        <v>0</v>
      </c>
      <c r="BS132" s="9">
        <f t="shared" si="847"/>
        <v>0</v>
      </c>
      <c r="BT132" s="9">
        <f t="shared" si="847"/>
        <v>0</v>
      </c>
      <c r="BU132" s="9">
        <f t="shared" si="847"/>
        <v>0</v>
      </c>
      <c r="BV132" s="9">
        <f t="shared" si="847"/>
        <v>0</v>
      </c>
      <c r="BW132" s="164">
        <f t="shared" si="847"/>
        <v>0</v>
      </c>
      <c r="BX132" s="9">
        <f t="shared" si="847"/>
        <v>0</v>
      </c>
      <c r="BY132" s="9">
        <f t="shared" si="847"/>
        <v>0</v>
      </c>
      <c r="BZ132" s="9">
        <f t="shared" si="847"/>
        <v>0</v>
      </c>
      <c r="CA132" s="9">
        <f t="shared" si="847"/>
        <v>0</v>
      </c>
      <c r="CB132" s="9">
        <f t="shared" si="847"/>
        <v>0</v>
      </c>
      <c r="CC132" s="9">
        <f t="shared" si="847"/>
        <v>0</v>
      </c>
      <c r="CD132" s="9">
        <f t="shared" si="847"/>
        <v>0</v>
      </c>
      <c r="CE132" s="9">
        <f t="shared" si="847"/>
        <v>0</v>
      </c>
      <c r="CF132" s="9">
        <f t="shared" si="847"/>
        <v>0</v>
      </c>
      <c r="CG132" s="9">
        <f t="shared" si="847"/>
        <v>0</v>
      </c>
      <c r="CH132" s="9">
        <f t="shared" si="847"/>
        <v>0</v>
      </c>
      <c r="CI132" s="164">
        <f t="shared" si="847"/>
        <v>0</v>
      </c>
      <c r="CJ132" s="9">
        <f t="shared" si="847"/>
        <v>0</v>
      </c>
      <c r="CK132" s="9">
        <f t="shared" si="847"/>
        <v>0</v>
      </c>
      <c r="CL132" s="9">
        <f t="shared" si="847"/>
        <v>0</v>
      </c>
      <c r="CM132" s="9">
        <f t="shared" si="847"/>
        <v>0</v>
      </c>
      <c r="CN132" s="9">
        <f t="shared" si="847"/>
        <v>0</v>
      </c>
      <c r="CO132" s="9">
        <f t="shared" si="847"/>
        <v>0</v>
      </c>
      <c r="CP132" s="9">
        <f t="shared" si="847"/>
        <v>0</v>
      </c>
      <c r="CQ132" s="9">
        <f t="shared" ref="CQ132:DG132" si="848">+CP132</f>
        <v>0</v>
      </c>
      <c r="CR132" s="9">
        <f t="shared" si="848"/>
        <v>0</v>
      </c>
      <c r="CS132" s="9">
        <f t="shared" si="848"/>
        <v>0</v>
      </c>
      <c r="CT132" s="9">
        <f t="shared" si="848"/>
        <v>0</v>
      </c>
      <c r="CU132" s="164">
        <f t="shared" si="848"/>
        <v>0</v>
      </c>
      <c r="CV132" s="9">
        <f t="shared" si="848"/>
        <v>0</v>
      </c>
      <c r="CW132" s="9">
        <f t="shared" si="848"/>
        <v>0</v>
      </c>
      <c r="CX132" s="9">
        <f t="shared" si="848"/>
        <v>0</v>
      </c>
      <c r="CY132" s="9">
        <f t="shared" si="848"/>
        <v>0</v>
      </c>
      <c r="CZ132" s="9">
        <f t="shared" si="848"/>
        <v>0</v>
      </c>
      <c r="DA132" s="9">
        <f t="shared" si="848"/>
        <v>0</v>
      </c>
      <c r="DB132" s="9">
        <f t="shared" si="848"/>
        <v>0</v>
      </c>
      <c r="DC132" s="9">
        <f t="shared" si="848"/>
        <v>0</v>
      </c>
      <c r="DD132" s="9">
        <f t="shared" si="848"/>
        <v>0</v>
      </c>
      <c r="DE132" s="9">
        <f t="shared" si="848"/>
        <v>0</v>
      </c>
      <c r="DF132" s="9">
        <f t="shared" si="848"/>
        <v>0</v>
      </c>
      <c r="DG132" s="9">
        <f t="shared" si="848"/>
        <v>0</v>
      </c>
    </row>
    <row r="133" spans="1:111" s="37" customFormat="1" x14ac:dyDescent="0.25">
      <c r="B133" s="37" t="s">
        <v>256</v>
      </c>
      <c r="E133" s="37">
        <f t="shared" ref="E133:O133" si="849">SUM(E131:E132)</f>
        <v>0</v>
      </c>
      <c r="F133" s="37">
        <f t="shared" si="849"/>
        <v>0</v>
      </c>
      <c r="G133" s="37">
        <f t="shared" si="849"/>
        <v>0</v>
      </c>
      <c r="H133" s="37">
        <f t="shared" si="849"/>
        <v>0</v>
      </c>
      <c r="I133" s="37">
        <f t="shared" si="849"/>
        <v>0</v>
      </c>
      <c r="J133" s="37">
        <f t="shared" si="849"/>
        <v>0</v>
      </c>
      <c r="K133" s="37">
        <f t="shared" si="849"/>
        <v>0</v>
      </c>
      <c r="L133" s="37">
        <f t="shared" si="849"/>
        <v>0</v>
      </c>
      <c r="M133" s="37">
        <f t="shared" si="849"/>
        <v>0</v>
      </c>
      <c r="N133" s="37">
        <f t="shared" si="849"/>
        <v>0</v>
      </c>
      <c r="O133" s="37">
        <f t="shared" si="849"/>
        <v>0</v>
      </c>
      <c r="P133" s="37">
        <f>SUM(P130:P132)</f>
        <v>32.49</v>
      </c>
      <c r="Q133" s="37">
        <f t="shared" ref="Q133:CB133" si="850">SUM(Q130:Q132)</f>
        <v>30.05</v>
      </c>
      <c r="R133" s="37">
        <f t="shared" si="850"/>
        <v>140.63999999999999</v>
      </c>
      <c r="S133" s="37">
        <f t="shared" si="850"/>
        <v>73</v>
      </c>
      <c r="T133" s="37">
        <f t="shared" si="850"/>
        <v>1796.97</v>
      </c>
      <c r="U133" s="37">
        <f t="shared" si="850"/>
        <v>2060.5500000000002</v>
      </c>
      <c r="V133" s="37">
        <f t="shared" si="850"/>
        <v>2984.17</v>
      </c>
      <c r="W133" s="37">
        <f t="shared" si="850"/>
        <v>4074.71</v>
      </c>
      <c r="X133" s="37">
        <f t="shared" si="850"/>
        <v>5453.39</v>
      </c>
      <c r="Y133" s="37">
        <f t="shared" si="850"/>
        <v>8623.59</v>
      </c>
      <c r="Z133" s="37">
        <f t="shared" si="850"/>
        <v>3898.59</v>
      </c>
      <c r="AA133" s="37">
        <f t="shared" si="850"/>
        <v>218.32999999999998</v>
      </c>
      <c r="AB133" s="37">
        <f t="shared" si="850"/>
        <v>1522.3</v>
      </c>
      <c r="AC133" s="37">
        <f t="shared" si="850"/>
        <v>799.57</v>
      </c>
      <c r="AD133" s="37">
        <f t="shared" si="850"/>
        <v>897.46</v>
      </c>
      <c r="AE133" s="37">
        <f t="shared" si="850"/>
        <v>187.25</v>
      </c>
      <c r="AF133" s="37">
        <f t="shared" ref="AF133:AG133" si="851">SUM(AF130:AF132)</f>
        <v>1527.48</v>
      </c>
      <c r="AG133" s="37">
        <f t="shared" si="851"/>
        <v>191.15</v>
      </c>
      <c r="AH133" s="37">
        <f t="shared" ref="AH133:AI133" si="852">SUM(AH130:AH132)</f>
        <v>989.52</v>
      </c>
      <c r="AI133" s="37">
        <f t="shared" si="852"/>
        <v>2516.06</v>
      </c>
      <c r="AJ133" s="37">
        <f t="shared" ref="AJ133:AK133" si="853">SUM(AJ130:AJ132)</f>
        <v>4562.2800000000007</v>
      </c>
      <c r="AK133" s="37">
        <f t="shared" si="853"/>
        <v>6108.45</v>
      </c>
      <c r="AL133" s="37">
        <f t="shared" ref="AL133:AM133" si="854">SUM(AL130:AL132)</f>
        <v>3372.4500000000003</v>
      </c>
      <c r="AM133" s="37">
        <f t="shared" si="854"/>
        <v>3180.3900000000003</v>
      </c>
      <c r="AN133" s="37">
        <f t="shared" ref="AN133" si="855">SUM(AN130:AN132)</f>
        <v>6884.4</v>
      </c>
      <c r="AO133" s="37">
        <f t="shared" ref="AO133:AP133" si="856">SUM(AO130:AO132)</f>
        <v>3273.83</v>
      </c>
      <c r="AP133" s="37">
        <f t="shared" si="856"/>
        <v>6210.74</v>
      </c>
      <c r="AQ133" s="37">
        <f t="shared" ref="AQ133:AR133" si="857">SUM(AQ130:AQ132)</f>
        <v>8752.4</v>
      </c>
      <c r="AR133" s="37">
        <f t="shared" si="857"/>
        <v>9287.18</v>
      </c>
      <c r="AS133" s="156">
        <f t="shared" ref="AS133" si="858">SUM(AS130:AS132)</f>
        <v>8782.2099999999991</v>
      </c>
      <c r="AT133" s="37">
        <f t="shared" ref="AT133" si="859">SUM(AT130:AT132)</f>
        <v>4943.0557974324174</v>
      </c>
      <c r="AU133" s="37">
        <f t="shared" si="850"/>
        <v>4420.6017750293277</v>
      </c>
      <c r="AV133" s="37">
        <f t="shared" si="850"/>
        <v>4277.6662405982925</v>
      </c>
      <c r="AW133" s="37">
        <f t="shared" si="850"/>
        <v>4389.0573812238581</v>
      </c>
      <c r="AX133" s="37">
        <f t="shared" si="850"/>
        <v>4646.7307193107554</v>
      </c>
      <c r="AY133" s="156">
        <f t="shared" si="850"/>
        <v>5249.4307222680418</v>
      </c>
      <c r="AZ133" s="37">
        <f t="shared" si="850"/>
        <v>10330.873171821659</v>
      </c>
      <c r="BA133" s="37">
        <f t="shared" si="850"/>
        <v>8727.0378992748083</v>
      </c>
      <c r="BB133" s="37">
        <f t="shared" si="850"/>
        <v>9343.1393407878895</v>
      </c>
      <c r="BC133" s="37">
        <f t="shared" si="850"/>
        <v>8943.9056066874127</v>
      </c>
      <c r="BD133" s="37">
        <f t="shared" si="850"/>
        <v>9870.2757341464803</v>
      </c>
      <c r="BE133" s="37">
        <f t="shared" si="850"/>
        <v>9335.6623336936864</v>
      </c>
      <c r="BF133" s="37">
        <f t="shared" si="850"/>
        <v>8975.9428816460932</v>
      </c>
      <c r="BG133" s="37">
        <f t="shared" si="850"/>
        <v>8448.5600477108983</v>
      </c>
      <c r="BH133" s="37">
        <f t="shared" si="850"/>
        <v>8305.6245132798631</v>
      </c>
      <c r="BI133" s="37">
        <f t="shared" si="850"/>
        <v>8417.0156539054296</v>
      </c>
      <c r="BJ133" s="37">
        <f t="shared" si="850"/>
        <v>8674.6889919923269</v>
      </c>
      <c r="BK133" s="156">
        <f t="shared" si="850"/>
        <v>9372.268616942627</v>
      </c>
      <c r="BL133" s="37">
        <f t="shared" si="850"/>
        <v>12458.971854021749</v>
      </c>
      <c r="BM133" s="37">
        <f t="shared" si="850"/>
        <v>10773.811191195175</v>
      </c>
      <c r="BN133" s="37">
        <f t="shared" si="850"/>
        <v>11444.129559561405</v>
      </c>
      <c r="BO133" s="37">
        <f t="shared" si="850"/>
        <v>10963.570435181204</v>
      </c>
      <c r="BP133" s="37">
        <f t="shared" si="850"/>
        <v>11889.940562640268</v>
      </c>
      <c r="BQ133" s="37">
        <f t="shared" si="850"/>
        <v>11355.327162187474</v>
      </c>
      <c r="BR133" s="37">
        <f t="shared" si="850"/>
        <v>11001.029402825197</v>
      </c>
      <c r="BS133" s="37">
        <f t="shared" si="850"/>
        <v>10468.224876204687</v>
      </c>
      <c r="BT133" s="37">
        <f t="shared" si="850"/>
        <v>10325.289341773652</v>
      </c>
      <c r="BU133" s="37">
        <f t="shared" si="850"/>
        <v>10436.680482399217</v>
      </c>
      <c r="BV133" s="37">
        <f t="shared" si="850"/>
        <v>10694.353820486116</v>
      </c>
      <c r="BW133" s="156">
        <f t="shared" si="850"/>
        <v>11496.301029628732</v>
      </c>
      <c r="BX133" s="37">
        <f t="shared" si="850"/>
        <v>16120.637041702676</v>
      </c>
      <c r="BY133" s="37">
        <f t="shared" si="850"/>
        <v>14346.018449568401</v>
      </c>
      <c r="BZ133" s="37">
        <f t="shared" si="850"/>
        <v>15075.975437473098</v>
      </c>
      <c r="CA133" s="37">
        <f t="shared" si="850"/>
        <v>14505.958383785195</v>
      </c>
      <c r="CB133" s="37">
        <f t="shared" si="850"/>
        <v>15432.328511244263</v>
      </c>
      <c r="CC133" s="37">
        <f t="shared" ref="CC133:DG133" si="860">SUM(CC130:CC132)</f>
        <v>14897.715110791469</v>
      </c>
      <c r="CD133" s="37">
        <f t="shared" si="860"/>
        <v>14549.381213383038</v>
      </c>
      <c r="CE133" s="37">
        <f t="shared" si="860"/>
        <v>14010.612824808681</v>
      </c>
      <c r="CF133" s="37">
        <f t="shared" si="860"/>
        <v>13867.677290377645</v>
      </c>
      <c r="CG133" s="37">
        <f t="shared" si="860"/>
        <v>13979.068431003212</v>
      </c>
      <c r="CH133" s="37">
        <f t="shared" si="860"/>
        <v>14236.741769090109</v>
      </c>
      <c r="CI133" s="156">
        <f t="shared" si="860"/>
        <v>15153.493320844273</v>
      </c>
      <c r="CJ133" s="37">
        <f t="shared" si="860"/>
        <v>18167.033324362212</v>
      </c>
      <c r="CK133" s="37">
        <f t="shared" si="860"/>
        <v>16294.01100998947</v>
      </c>
      <c r="CL133" s="37">
        <f t="shared" si="860"/>
        <v>17089.570479386479</v>
      </c>
      <c r="CM133" s="37">
        <f t="shared" si="860"/>
        <v>16421.149703460113</v>
      </c>
      <c r="CN133" s="37">
        <f t="shared" si="860"/>
        <v>17347.519830919173</v>
      </c>
      <c r="CO133" s="37">
        <f t="shared" si="860"/>
        <v>16812.906430466384</v>
      </c>
      <c r="CP133" s="37">
        <f t="shared" si="860"/>
        <v>16471.132781207187</v>
      </c>
      <c r="CQ133" s="37">
        <f t="shared" si="860"/>
        <v>15925.804144483593</v>
      </c>
      <c r="CR133" s="37">
        <f t="shared" si="860"/>
        <v>15782.868610052559</v>
      </c>
      <c r="CS133" s="37">
        <f t="shared" si="860"/>
        <v>15894.259750678124</v>
      </c>
      <c r="CT133" s="37">
        <f t="shared" si="860"/>
        <v>16151.933088765021</v>
      </c>
      <c r="CU133" s="156">
        <f t="shared" si="860"/>
        <v>17194.969417391887</v>
      </c>
      <c r="CV133" s="37">
        <f t="shared" si="860"/>
        <v>21332.678678234963</v>
      </c>
      <c r="CW133" s="37">
        <f t="shared" si="860"/>
        <v>19351.412269399905</v>
      </c>
      <c r="CX133" s="37">
        <f t="shared" si="860"/>
        <v>20219.13446843846</v>
      </c>
      <c r="CY133" s="37">
        <f t="shared" si="860"/>
        <v>19442.469598049771</v>
      </c>
      <c r="CZ133" s="37">
        <f t="shared" si="860"/>
        <v>20368.839725508835</v>
      </c>
      <c r="DA133" s="37">
        <f t="shared" si="860"/>
        <v>19834.226325056046</v>
      </c>
      <c r="DB133" s="37">
        <f t="shared" si="860"/>
        <v>19499.668948760998</v>
      </c>
      <c r="DC133" s="37">
        <f t="shared" si="860"/>
        <v>18947.124039073256</v>
      </c>
      <c r="DD133" s="37">
        <f t="shared" si="860"/>
        <v>18804.188504642221</v>
      </c>
      <c r="DE133" s="37">
        <f t="shared" si="860"/>
        <v>18915.579645267786</v>
      </c>
      <c r="DF133" s="37">
        <f t="shared" si="860"/>
        <v>19173.252983354683</v>
      </c>
      <c r="DG133" s="37">
        <f t="shared" si="860"/>
        <v>20355.202566541524</v>
      </c>
    </row>
    <row r="134" spans="1:111" x14ac:dyDescent="0.25">
      <c r="A134" s="45"/>
      <c r="B134" s="42"/>
      <c r="C134" s="43" t="s">
        <v>453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62">
        <f t="shared" ref="P134:T134" si="861">IFERROR((AVERAGE(K133:P133)/AVERAGE(K79:P79))*30.433, 0)</f>
        <v>0.13639404498334332</v>
      </c>
      <c r="Q134" s="462">
        <f t="shared" si="861"/>
        <v>0.25365125747481521</v>
      </c>
      <c r="R134" s="462">
        <f t="shared" si="861"/>
        <v>0.86495192066931414</v>
      </c>
      <c r="S134" s="462">
        <f t="shared" si="861"/>
        <v>1.1229856289665308</v>
      </c>
      <c r="T134" s="462">
        <f t="shared" si="861"/>
        <v>6.7678110388001373</v>
      </c>
      <c r="U134" s="462">
        <f t="shared" ref="U134:AS134" si="862">IFERROR((AVERAGE(P133:U133)/AVERAGE(P79:U79))*30.433, 0)</f>
        <v>18.32528639976227</v>
      </c>
      <c r="V134" s="462">
        <f t="shared" si="862"/>
        <v>32.913278537237616</v>
      </c>
      <c r="W134" s="462">
        <f t="shared" si="862"/>
        <v>44.736366908451188</v>
      </c>
      <c r="X134" s="462">
        <f t="shared" si="862"/>
        <v>60.613523369478308</v>
      </c>
      <c r="Y134" s="462">
        <f t="shared" si="862"/>
        <v>91.786035528278276</v>
      </c>
      <c r="Z134" s="462">
        <f t="shared" si="862"/>
        <v>90.576096114238624</v>
      </c>
      <c r="AA134" s="462">
        <f t="shared" si="862"/>
        <v>70.286338495166504</v>
      </c>
      <c r="AB134" s="462">
        <f t="shared" si="862"/>
        <v>64.505701403032376</v>
      </c>
      <c r="AC134" s="462">
        <f t="shared" si="862"/>
        <v>38.399296193997621</v>
      </c>
      <c r="AD134" s="462">
        <f t="shared" si="862"/>
        <v>31.008113004290781</v>
      </c>
      <c r="AE134" s="462">
        <f t="shared" si="862"/>
        <v>11.717087808557634</v>
      </c>
      <c r="AF134" s="462">
        <f t="shared" si="862"/>
        <v>7.1393531834003765</v>
      </c>
      <c r="AG134" s="462">
        <f t="shared" si="862"/>
        <v>6.1176777230978949</v>
      </c>
      <c r="AH134" s="462">
        <f t="shared" si="862"/>
        <v>5.2031606641929331</v>
      </c>
      <c r="AI134" s="462">
        <f t="shared" si="862"/>
        <v>7.6554220248817995</v>
      </c>
      <c r="AJ134" s="462">
        <f t="shared" si="862"/>
        <v>11.799023731704626</v>
      </c>
      <c r="AK134" s="462">
        <f t="shared" si="862"/>
        <v>19.222253840829026</v>
      </c>
      <c r="AL134" s="462">
        <f t="shared" si="862"/>
        <v>24.231843175318183</v>
      </c>
      <c r="AM134" s="462">
        <f t="shared" si="862"/>
        <v>28.372890393024097</v>
      </c>
      <c r="AN134" s="462">
        <f t="shared" si="862"/>
        <v>17.28770409200034</v>
      </c>
      <c r="AO134" s="462">
        <f t="shared" si="862"/>
        <v>15.133605020524461</v>
      </c>
      <c r="AP134" s="462">
        <f t="shared" si="862"/>
        <v>14.141993367903517</v>
      </c>
      <c r="AQ134" s="462">
        <f t="shared" si="862"/>
        <v>14.174236885200941</v>
      </c>
      <c r="AR134" s="462">
        <f t="shared" si="862"/>
        <v>15.438874945357353</v>
      </c>
      <c r="AS134" s="463">
        <f t="shared" si="862"/>
        <v>17.440083651936678</v>
      </c>
      <c r="AT134" s="754">
        <v>15</v>
      </c>
      <c r="AU134" s="462">
        <f t="shared" ref="AU134" si="863">AT134</f>
        <v>15</v>
      </c>
      <c r="AV134" s="462">
        <f t="shared" ref="AV134" si="864">AU134</f>
        <v>15</v>
      </c>
      <c r="AW134" s="462">
        <f t="shared" ref="AW134" si="865">AV134</f>
        <v>15</v>
      </c>
      <c r="AX134" s="462">
        <f t="shared" ref="AX134" si="866">AW134</f>
        <v>15</v>
      </c>
      <c r="AY134" s="463">
        <f t="shared" ref="AY134" si="867">AX134</f>
        <v>15</v>
      </c>
      <c r="AZ134" s="462">
        <f t="shared" ref="AZ134" si="868">AY134</f>
        <v>15</v>
      </c>
      <c r="BA134" s="462">
        <f t="shared" ref="BA134" si="869">AZ134</f>
        <v>15</v>
      </c>
      <c r="BB134" s="462">
        <f t="shared" ref="BB134" si="870">BA134</f>
        <v>15</v>
      </c>
      <c r="BC134" s="462">
        <f t="shared" ref="BC134" si="871">BB134</f>
        <v>15</v>
      </c>
      <c r="BD134" s="462">
        <f t="shared" ref="BD134" si="872">BC134</f>
        <v>15</v>
      </c>
      <c r="BE134" s="462">
        <f t="shared" ref="BE134" si="873">BD134</f>
        <v>15</v>
      </c>
      <c r="BF134" s="462">
        <f t="shared" ref="BF134" si="874">BE134</f>
        <v>15</v>
      </c>
      <c r="BG134" s="462">
        <f t="shared" ref="BG134" si="875">BF134</f>
        <v>15</v>
      </c>
      <c r="BH134" s="462">
        <f t="shared" ref="BH134" si="876">BG134</f>
        <v>15</v>
      </c>
      <c r="BI134" s="462">
        <f t="shared" ref="BI134" si="877">BH134</f>
        <v>15</v>
      </c>
      <c r="BJ134" s="462">
        <f t="shared" ref="BJ134" si="878">BI134</f>
        <v>15</v>
      </c>
      <c r="BK134" s="463">
        <f t="shared" ref="BK134" si="879">BJ134</f>
        <v>15</v>
      </c>
      <c r="BL134" s="462">
        <f t="shared" ref="BL134" si="880">BK134</f>
        <v>15</v>
      </c>
      <c r="BM134" s="462">
        <f t="shared" ref="BM134" si="881">BL134</f>
        <v>15</v>
      </c>
      <c r="BN134" s="462">
        <f t="shared" ref="BN134" si="882">BM134</f>
        <v>15</v>
      </c>
      <c r="BO134" s="462">
        <f t="shared" ref="BO134" si="883">BN134</f>
        <v>15</v>
      </c>
      <c r="BP134" s="462">
        <f t="shared" ref="BP134" si="884">BO134</f>
        <v>15</v>
      </c>
      <c r="BQ134" s="462">
        <f t="shared" ref="BQ134" si="885">BP134</f>
        <v>15</v>
      </c>
      <c r="BR134" s="462">
        <f t="shared" ref="BR134" si="886">BQ134</f>
        <v>15</v>
      </c>
      <c r="BS134" s="462">
        <f t="shared" ref="BS134" si="887">BR134</f>
        <v>15</v>
      </c>
      <c r="BT134" s="462">
        <f t="shared" ref="BT134" si="888">BS134</f>
        <v>15</v>
      </c>
      <c r="BU134" s="462">
        <f t="shared" ref="BU134" si="889">BT134</f>
        <v>15</v>
      </c>
      <c r="BV134" s="462">
        <f t="shared" ref="BV134" si="890">BU134</f>
        <v>15</v>
      </c>
      <c r="BW134" s="463">
        <f t="shared" ref="BW134" si="891">BV134</f>
        <v>15</v>
      </c>
      <c r="BX134" s="462">
        <f t="shared" ref="BX134" si="892">BW134</f>
        <v>15</v>
      </c>
      <c r="BY134" s="462">
        <f t="shared" ref="BY134" si="893">BX134</f>
        <v>15</v>
      </c>
      <c r="BZ134" s="462">
        <f t="shared" ref="BZ134" si="894">BY134</f>
        <v>15</v>
      </c>
      <c r="CA134" s="462">
        <f t="shared" ref="CA134" si="895">BZ134</f>
        <v>15</v>
      </c>
      <c r="CB134" s="462">
        <f t="shared" ref="CB134" si="896">CA134</f>
        <v>15</v>
      </c>
      <c r="CC134" s="462">
        <f t="shared" ref="CC134" si="897">CB134</f>
        <v>15</v>
      </c>
      <c r="CD134" s="462">
        <f t="shared" ref="CD134" si="898">CC134</f>
        <v>15</v>
      </c>
      <c r="CE134" s="462">
        <f t="shared" ref="CE134" si="899">CD134</f>
        <v>15</v>
      </c>
      <c r="CF134" s="462">
        <f t="shared" ref="CF134" si="900">CE134</f>
        <v>15</v>
      </c>
      <c r="CG134" s="462">
        <f t="shared" ref="CG134" si="901">CF134</f>
        <v>15</v>
      </c>
      <c r="CH134" s="462">
        <f t="shared" ref="CH134" si="902">CG134</f>
        <v>15</v>
      </c>
      <c r="CI134" s="463">
        <f t="shared" ref="CI134" si="903">CH134</f>
        <v>15</v>
      </c>
      <c r="CJ134" s="462">
        <f t="shared" ref="CJ134" si="904">CI134</f>
        <v>15</v>
      </c>
      <c r="CK134" s="462">
        <f t="shared" ref="CK134" si="905">CJ134</f>
        <v>15</v>
      </c>
      <c r="CL134" s="462">
        <f t="shared" ref="CL134" si="906">CK134</f>
        <v>15</v>
      </c>
      <c r="CM134" s="462">
        <f t="shared" ref="CM134" si="907">CL134</f>
        <v>15</v>
      </c>
      <c r="CN134" s="462">
        <f t="shared" ref="CN134" si="908">CM134</f>
        <v>15</v>
      </c>
      <c r="CO134" s="462">
        <f t="shared" ref="CO134" si="909">CN134</f>
        <v>15</v>
      </c>
      <c r="CP134" s="462">
        <f t="shared" ref="CP134" si="910">CO134</f>
        <v>15</v>
      </c>
      <c r="CQ134" s="462">
        <f t="shared" ref="CQ134" si="911">CP134</f>
        <v>15</v>
      </c>
      <c r="CR134" s="462">
        <f t="shared" ref="CR134" si="912">CQ134</f>
        <v>15</v>
      </c>
      <c r="CS134" s="462">
        <f t="shared" ref="CS134" si="913">CR134</f>
        <v>15</v>
      </c>
      <c r="CT134" s="462">
        <f t="shared" ref="CT134" si="914">CS134</f>
        <v>15</v>
      </c>
      <c r="CU134" s="463">
        <f t="shared" ref="CU134" si="915">CT134</f>
        <v>15</v>
      </c>
      <c r="CV134" s="462">
        <f t="shared" ref="CV134" si="916">CU134</f>
        <v>15</v>
      </c>
      <c r="CW134" s="462">
        <f t="shared" ref="CW134" si="917">CV134</f>
        <v>15</v>
      </c>
      <c r="CX134" s="462">
        <f t="shared" ref="CX134" si="918">CW134</f>
        <v>15</v>
      </c>
      <c r="CY134" s="462">
        <f t="shared" ref="CY134" si="919">CX134</f>
        <v>15</v>
      </c>
      <c r="CZ134" s="462">
        <f t="shared" ref="CZ134" si="920">CY134</f>
        <v>15</v>
      </c>
      <c r="DA134" s="462">
        <f t="shared" ref="DA134" si="921">CZ134</f>
        <v>15</v>
      </c>
      <c r="DB134" s="462">
        <f t="shared" ref="DB134" si="922">DA134</f>
        <v>15</v>
      </c>
      <c r="DC134" s="462">
        <f t="shared" ref="DC134" si="923">DB134</f>
        <v>15</v>
      </c>
      <c r="DD134" s="462">
        <f t="shared" ref="DD134" si="924">DC134</f>
        <v>15</v>
      </c>
      <c r="DE134" s="462">
        <f t="shared" ref="DE134" si="925">DD134</f>
        <v>15</v>
      </c>
      <c r="DF134" s="462">
        <f t="shared" ref="DF134" si="926">DE134</f>
        <v>15</v>
      </c>
      <c r="DG134" s="462">
        <f t="shared" ref="DG134" si="927">DF134</f>
        <v>15</v>
      </c>
    </row>
    <row r="135" spans="1:111" s="39" customFormat="1" x14ac:dyDescent="0.25">
      <c r="AS135" s="157"/>
      <c r="AY135" s="157"/>
      <c r="BK135" s="157"/>
      <c r="BW135" s="157"/>
      <c r="CI135" s="157"/>
      <c r="CU135" s="157"/>
    </row>
    <row r="136" spans="1:111" s="15" customFormat="1" x14ac:dyDescent="0.25">
      <c r="A136"/>
      <c r="B136" s="1" t="s">
        <v>257</v>
      </c>
      <c r="C136" s="1"/>
      <c r="D136" s="2"/>
      <c r="E136" s="2"/>
      <c r="F136" s="2"/>
      <c r="G136" s="2"/>
      <c r="H136" s="2"/>
      <c r="I136" s="2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155"/>
      <c r="AT136" s="194"/>
      <c r="AU136" s="9"/>
      <c r="AV136" s="9"/>
      <c r="AW136" s="9"/>
      <c r="AX136" s="9"/>
      <c r="AY136" s="164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164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164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164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164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</row>
    <row r="137" spans="1:111" s="15" customFormat="1" x14ac:dyDescent="0.25">
      <c r="A137"/>
      <c r="B137" s="1" t="s">
        <v>464</v>
      </c>
      <c r="C137" s="1"/>
      <c r="D137" s="2"/>
      <c r="E137" s="2"/>
      <c r="F137" s="2"/>
      <c r="G137" s="2"/>
      <c r="H137" s="2"/>
      <c r="I137" s="2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>
        <v>0</v>
      </c>
      <c r="AD137" s="91">
        <v>0</v>
      </c>
      <c r="AE137" s="91">
        <v>14766</v>
      </c>
      <c r="AF137" s="91">
        <v>25694.639999999999</v>
      </c>
      <c r="AG137" s="91">
        <v>14766</v>
      </c>
      <c r="AH137" s="91">
        <v>16266</v>
      </c>
      <c r="AI137" s="91">
        <v>0</v>
      </c>
      <c r="AJ137" s="91">
        <v>0</v>
      </c>
      <c r="AK137" s="91">
        <v>0</v>
      </c>
      <c r="AL137" s="91">
        <v>0</v>
      </c>
      <c r="AM137" s="91">
        <v>29061.72</v>
      </c>
      <c r="AN137" s="91">
        <v>20473.86</v>
      </c>
      <c r="AO137" s="91">
        <v>0</v>
      </c>
      <c r="AP137" s="91">
        <v>0</v>
      </c>
      <c r="AQ137" s="91">
        <v>4100.5</v>
      </c>
      <c r="AR137" s="91">
        <v>0</v>
      </c>
      <c r="AS137" s="155">
        <v>0</v>
      </c>
      <c r="AT137" s="194">
        <f>+AS137-AT12+'Contractor Revenue Build'!Y39</f>
        <v>0</v>
      </c>
      <c r="AU137" s="9">
        <f>+AT137-AU12+'Contractor Revenue Build'!Z39</f>
        <v>1400</v>
      </c>
      <c r="AV137" s="9">
        <f>+AU137-AV12+'Contractor Revenue Build'!AA39</f>
        <v>200</v>
      </c>
      <c r="AW137" s="9">
        <f>+AV137-AW12+'Contractor Revenue Build'!AB39</f>
        <v>200</v>
      </c>
      <c r="AX137" s="9">
        <f>+AW137-AX12+'Contractor Revenue Build'!AC39</f>
        <v>1600</v>
      </c>
      <c r="AY137" s="164">
        <f>+AX137-AY12+'Contractor Revenue Build'!AD39</f>
        <v>400</v>
      </c>
      <c r="AZ137" s="9">
        <f>+AY137-AZ12+'Contractor Revenue Build'!AE39</f>
        <v>400</v>
      </c>
      <c r="BA137" s="9">
        <f>+AZ137-BA12+'Contractor Revenue Build'!AF39</f>
        <v>4600</v>
      </c>
      <c r="BB137" s="9">
        <f>+BA137-BB12+'Contractor Revenue Build'!AG39</f>
        <v>1000.0000000000018</v>
      </c>
      <c r="BC137" s="9">
        <f>+BB137-BC12+'Contractor Revenue Build'!AH39</f>
        <v>1000</v>
      </c>
      <c r="BD137" s="9">
        <f>+BC137-BD12+'Contractor Revenue Build'!AI39</f>
        <v>5200</v>
      </c>
      <c r="BE137" s="9">
        <f>+BD137-BE12+'Contractor Revenue Build'!AJ39</f>
        <v>1600.0000000000018</v>
      </c>
      <c r="BF137" s="9">
        <f>+BE137-BF12+'Contractor Revenue Build'!AK39</f>
        <v>1600</v>
      </c>
      <c r="BG137" s="9">
        <f>+BF137-BG12+'Contractor Revenue Build'!AL39</f>
        <v>7200</v>
      </c>
      <c r="BH137" s="9">
        <f>+BG137-BH12+'Contractor Revenue Build'!AM39</f>
        <v>2400</v>
      </c>
      <c r="BI137" s="9">
        <f>+BH137-BI12+'Contractor Revenue Build'!AN39</f>
        <v>2400</v>
      </c>
      <c r="BJ137" s="9">
        <f>+BI137-BJ12+'Contractor Revenue Build'!AO39</f>
        <v>8000</v>
      </c>
      <c r="BK137" s="164">
        <f>+BJ137-BK12+'Contractor Revenue Build'!AP39</f>
        <v>3200</v>
      </c>
      <c r="BL137" s="9">
        <f>+BK137-BL12+'Contractor Revenue Build'!AQ39</f>
        <v>3200</v>
      </c>
      <c r="BM137" s="9">
        <f>+BL137-BM12+'Contractor Revenue Build'!AR39</f>
        <v>10200</v>
      </c>
      <c r="BN137" s="9">
        <f>+BM137-BN12+'Contractor Revenue Build'!AS39</f>
        <v>4200</v>
      </c>
      <c r="BO137" s="9">
        <f>+BN137-BO12+'Contractor Revenue Build'!AT39</f>
        <v>4200</v>
      </c>
      <c r="BP137" s="9">
        <f>+BO137-BP12+'Contractor Revenue Build'!AU39</f>
        <v>11200</v>
      </c>
      <c r="BQ137" s="9">
        <f>+BP137-BQ12+'Contractor Revenue Build'!AV39</f>
        <v>5200</v>
      </c>
      <c r="BR137" s="9">
        <f>+BQ137-BR12+'Contractor Revenue Build'!AW39</f>
        <v>5200</v>
      </c>
      <c r="BS137" s="9">
        <f>+BR137-BS12+'Contractor Revenue Build'!AX39</f>
        <v>12200</v>
      </c>
      <c r="BT137" s="9">
        <f>+BS137-BT12+'Contractor Revenue Build'!AY39</f>
        <v>6200</v>
      </c>
      <c r="BU137" s="9">
        <f>+BT137-BU12+'Contractor Revenue Build'!AZ39</f>
        <v>6200</v>
      </c>
      <c r="BV137" s="9">
        <f>+BU137-BV12+'Contractor Revenue Build'!BA39</f>
        <v>13200</v>
      </c>
      <c r="BW137" s="164">
        <f>+BV137-BW12+'Contractor Revenue Build'!BB39</f>
        <v>7200</v>
      </c>
      <c r="BX137" s="9">
        <f>+BW137-BX12+'Contractor Revenue Build'!BC39</f>
        <v>7200</v>
      </c>
      <c r="BY137" s="9">
        <f>+BX137-BY12+'Contractor Revenue Build'!BD39</f>
        <v>15600</v>
      </c>
      <c r="BZ137" s="9">
        <f>+BY137-BZ12+'Contractor Revenue Build'!BE39</f>
        <v>8400.0000000000036</v>
      </c>
      <c r="CA137" s="9">
        <f>+BZ137-CA12+'Contractor Revenue Build'!BF39</f>
        <v>8400.0000000000036</v>
      </c>
      <c r="CB137" s="9">
        <f>+CA137-CB12+'Contractor Revenue Build'!BG39</f>
        <v>16800.000000000004</v>
      </c>
      <c r="CC137" s="9">
        <f>+CB137-CC12+'Contractor Revenue Build'!BH39</f>
        <v>9600.0000000000073</v>
      </c>
      <c r="CD137" s="9">
        <f>+CC137-CD12+'Contractor Revenue Build'!BI39</f>
        <v>9600.0000000000073</v>
      </c>
      <c r="CE137" s="9">
        <f>+CD137-CE12+'Contractor Revenue Build'!BJ39</f>
        <v>18000.000000000007</v>
      </c>
      <c r="CF137" s="9">
        <f>+CE137-CF12+'Contractor Revenue Build'!BK39</f>
        <v>10800.000000000011</v>
      </c>
      <c r="CG137" s="9">
        <f>+CF137-CG12+'Contractor Revenue Build'!BL39</f>
        <v>10800.000000000011</v>
      </c>
      <c r="CH137" s="9">
        <f>+CG137-CH12+'Contractor Revenue Build'!BM39</f>
        <v>19200.000000000011</v>
      </c>
      <c r="CI137" s="164">
        <f>+CH137-CI12+'Contractor Revenue Build'!BN39</f>
        <v>12000.000000000015</v>
      </c>
      <c r="CJ137" s="9">
        <f>+CI137-CJ12+'Contractor Revenue Build'!BO39</f>
        <v>12000.000000000015</v>
      </c>
      <c r="CK137" s="9">
        <f>+CJ137-CK12+'Contractor Revenue Build'!BP39</f>
        <v>21800.000000000015</v>
      </c>
      <c r="CL137" s="9">
        <f>+CK137-CL12+'Contractor Revenue Build'!BQ39</f>
        <v>13400.000000000015</v>
      </c>
      <c r="CM137" s="9">
        <f>+CL137-CM12+'Contractor Revenue Build'!BR39</f>
        <v>13400.000000000015</v>
      </c>
      <c r="CN137" s="9">
        <f>+CM137-CN12+'Contractor Revenue Build'!BS39</f>
        <v>23200.000000000015</v>
      </c>
      <c r="CO137" s="9">
        <f>+CN137-CO12+'Contractor Revenue Build'!BT39</f>
        <v>14800.000000000015</v>
      </c>
      <c r="CP137" s="9">
        <f>+CO137-CP12+'Contractor Revenue Build'!BU39</f>
        <v>14800.000000000015</v>
      </c>
      <c r="CQ137" s="9">
        <f>+CP137-CQ12+'Contractor Revenue Build'!BV39</f>
        <v>26000.000000000015</v>
      </c>
      <c r="CR137" s="9">
        <f>+CQ137-CR12+'Contractor Revenue Build'!BW39</f>
        <v>16400.000000000015</v>
      </c>
      <c r="CS137" s="9">
        <f>+CR137-CS12+'Contractor Revenue Build'!BX39</f>
        <v>16400.000000000015</v>
      </c>
      <c r="CT137" s="9">
        <f>+CS137-CT12+'Contractor Revenue Build'!BY39</f>
        <v>27600.000000000015</v>
      </c>
      <c r="CU137" s="164">
        <f>+CT137-CU12+'Contractor Revenue Build'!BZ39</f>
        <v>18000.000000000015</v>
      </c>
      <c r="CV137" s="9">
        <f>+CU137-CV12+'Contractor Revenue Build'!CA39</f>
        <v>18000.000000000015</v>
      </c>
      <c r="CW137" s="9">
        <f>+CV137-CW12+'Contractor Revenue Build'!CB39</f>
        <v>29200.000000000015</v>
      </c>
      <c r="CX137" s="9">
        <f>+CW137-CX12+'Contractor Revenue Build'!CC39</f>
        <v>19600.000000000015</v>
      </c>
      <c r="CY137" s="9">
        <f>+CX137-CY12+'Contractor Revenue Build'!CD39</f>
        <v>19600.000000000015</v>
      </c>
      <c r="CZ137" s="9">
        <f>+CY137-CZ12+'Contractor Revenue Build'!CE39</f>
        <v>30800.000000000015</v>
      </c>
      <c r="DA137" s="9">
        <f>+CZ137-DA12+'Contractor Revenue Build'!CF39</f>
        <v>21200.000000000015</v>
      </c>
      <c r="DB137" s="9">
        <f>+DA137-DB12+'Contractor Revenue Build'!CG39</f>
        <v>21200.000000000015</v>
      </c>
      <c r="DC137" s="9">
        <f>+DB137-DC12+'Contractor Revenue Build'!CH39</f>
        <v>33800.000000000015</v>
      </c>
      <c r="DD137" s="9">
        <f>+DC137-DD12+'Contractor Revenue Build'!CI39</f>
        <v>23000.000000000015</v>
      </c>
      <c r="DE137" s="9">
        <f>+DD137-DE12+'Contractor Revenue Build'!CJ39</f>
        <v>23000.000000000015</v>
      </c>
      <c r="DF137" s="9">
        <f>+DE137-DF12+'Contractor Revenue Build'!CK39</f>
        <v>35600.000000000015</v>
      </c>
      <c r="DG137" s="9">
        <f>+DF137-DG12+'Contractor Revenue Build'!CL39</f>
        <v>24800.000000000015</v>
      </c>
    </row>
    <row r="138" spans="1:111" s="15" customFormat="1" x14ac:dyDescent="0.25">
      <c r="A138"/>
      <c r="B138" s="1" t="s">
        <v>465</v>
      </c>
      <c r="C138" s="1"/>
      <c r="D138" s="2"/>
      <c r="E138" s="2"/>
      <c r="F138" s="2"/>
      <c r="G138" s="2"/>
      <c r="H138" s="2"/>
      <c r="I138" s="2"/>
      <c r="J138" s="91"/>
      <c r="K138" s="91"/>
      <c r="L138" s="91"/>
      <c r="M138" s="91"/>
      <c r="N138" s="91"/>
      <c r="O138" s="91"/>
      <c r="P138" s="91"/>
      <c r="Q138" s="91">
        <v>0</v>
      </c>
      <c r="R138" s="91">
        <v>0</v>
      </c>
      <c r="S138" s="91">
        <v>0</v>
      </c>
      <c r="T138" s="91">
        <v>0</v>
      </c>
      <c r="U138" s="91">
        <v>0</v>
      </c>
      <c r="V138" s="91">
        <v>0</v>
      </c>
      <c r="W138" s="91">
        <v>0</v>
      </c>
      <c r="X138" s="91">
        <v>0</v>
      </c>
      <c r="Y138" s="91">
        <v>0</v>
      </c>
      <c r="Z138" s="91">
        <v>0</v>
      </c>
      <c r="AA138" s="91">
        <v>0</v>
      </c>
      <c r="AB138" s="91">
        <v>0</v>
      </c>
      <c r="AC138" s="91">
        <v>0</v>
      </c>
      <c r="AD138" s="91">
        <v>0</v>
      </c>
      <c r="AE138" s="91">
        <v>0</v>
      </c>
      <c r="AF138" s="91">
        <v>0</v>
      </c>
      <c r="AG138" s="91">
        <v>0</v>
      </c>
      <c r="AH138" s="91">
        <v>0</v>
      </c>
      <c r="AI138" s="91">
        <v>0</v>
      </c>
      <c r="AJ138" s="91">
        <v>0</v>
      </c>
      <c r="AK138" s="91">
        <v>0</v>
      </c>
      <c r="AL138" s="91">
        <v>0</v>
      </c>
      <c r="AM138" s="91">
        <v>0</v>
      </c>
      <c r="AN138" s="91"/>
      <c r="AO138" s="91">
        <v>0</v>
      </c>
      <c r="AP138" s="91">
        <v>0</v>
      </c>
      <c r="AQ138" s="91">
        <v>0</v>
      </c>
      <c r="AR138" s="91">
        <v>90000</v>
      </c>
      <c r="AS138" s="155">
        <v>0</v>
      </c>
      <c r="AT138" s="194">
        <f>+AS138+'Home Builder Revenue Build'!AI71-'Home Builder Revenue Build'!AI72</f>
        <v>0</v>
      </c>
      <c r="AU138" s="9">
        <f>+AT138+'Home Builder Revenue Build'!AJ71-'Home Builder Revenue Build'!AJ72</f>
        <v>0</v>
      </c>
      <c r="AV138" s="9">
        <f>+AU138+'Home Builder Revenue Build'!AK71-'Home Builder Revenue Build'!AK72</f>
        <v>0</v>
      </c>
      <c r="AW138" s="9">
        <f>+AV138+'Home Builder Revenue Build'!AL71-'Home Builder Revenue Build'!AL72</f>
        <v>0</v>
      </c>
      <c r="AX138" s="9">
        <f>+AW138+'Home Builder Revenue Build'!AM71-'Home Builder Revenue Build'!AM72</f>
        <v>125000</v>
      </c>
      <c r="AY138" s="164">
        <f>+AX138+'Home Builder Revenue Build'!AN71-'Home Builder Revenue Build'!AN72</f>
        <v>117466.28353705496</v>
      </c>
      <c r="AZ138" s="9">
        <f>+AY138+'Home Builder Revenue Build'!AO71-'Home Builder Revenue Build'!AO72</f>
        <v>116388.77141198395</v>
      </c>
      <c r="BA138" s="9">
        <f>+AZ138+'Home Builder Revenue Build'!AP71-'Home Builder Revenue Build'!AP72</f>
        <v>71733.631517742266</v>
      </c>
      <c r="BB138" s="9">
        <f>+BA138+'Home Builder Revenue Build'!AQ71-'Home Builder Revenue Build'!AQ72</f>
        <v>317702.6719604705</v>
      </c>
      <c r="BC138" s="9">
        <f>+BB138+'Home Builder Revenue Build'!AR71-'Home Builder Revenue Build'!AR72</f>
        <v>447846.55964833987</v>
      </c>
      <c r="BD138" s="9">
        <f>+BC138+'Home Builder Revenue Build'!AS71-'Home Builder Revenue Build'!AS72</f>
        <v>308320.27725637431</v>
      </c>
      <c r="BE138" s="9">
        <f>+BD138+'Home Builder Revenue Build'!AT71-'Home Builder Revenue Build'!AT72</f>
        <v>87964.303078637575</v>
      </c>
      <c r="BF138" s="9">
        <f>+BE138+'Home Builder Revenue Build'!AU71-'Home Builder Revenue Build'!AU72</f>
        <v>130056.96837644704</v>
      </c>
      <c r="BG138" s="9">
        <f>+BF138+'Home Builder Revenue Build'!AV71-'Home Builder Revenue Build'!AV72</f>
        <v>99614.501635299894</v>
      </c>
      <c r="BH138" s="9">
        <f>+BG138+'Home Builder Revenue Build'!AW71-'Home Builder Revenue Build'!AW72</f>
        <v>53985.90713466634</v>
      </c>
      <c r="BI138" s="9">
        <f>+BH138+'Home Builder Revenue Build'!AX71-'Home Builder Revenue Build'!AX72</f>
        <v>6.5483618527650833E-11</v>
      </c>
      <c r="BJ138" s="9">
        <f>+BI138+'Home Builder Revenue Build'!AY71-'Home Builder Revenue Build'!AY72</f>
        <v>215000.00000000006</v>
      </c>
      <c r="BK138" s="164">
        <f>+BJ138+'Home Builder Revenue Build'!AZ71-'Home Builder Revenue Build'!AZ72</f>
        <v>202042.00768373458</v>
      </c>
      <c r="BL138" s="9">
        <f>+BK138+'Home Builder Revenue Build'!BA71-'Home Builder Revenue Build'!BA72</f>
        <v>200188.68682861244</v>
      </c>
      <c r="BM138" s="9">
        <f>+BL138+'Home Builder Revenue Build'!BB71-'Home Builder Revenue Build'!BB72</f>
        <v>123381.84621051673</v>
      </c>
      <c r="BN138" s="9">
        <f>+BM138+'Home Builder Revenue Build'!BC71-'Home Builder Revenue Build'!BC72</f>
        <v>546448.59577200923</v>
      </c>
      <c r="BO138" s="9">
        <f>+BN138+'Home Builder Revenue Build'!BD71-'Home Builder Revenue Build'!BD72</f>
        <v>770296.08259514463</v>
      </c>
      <c r="BP138" s="9">
        <f>+BO138+'Home Builder Revenue Build'!BE71-'Home Builder Revenue Build'!BE72</f>
        <v>530310.87688096392</v>
      </c>
      <c r="BQ138" s="9">
        <f>+BP138+'Home Builder Revenue Build'!BF71-'Home Builder Revenue Build'!BF72</f>
        <v>151298.60129525675</v>
      </c>
      <c r="BR138" s="9">
        <f>+BQ138+'Home Builder Revenue Build'!BG71-'Home Builder Revenue Build'!BG72</f>
        <v>223697.98560748901</v>
      </c>
      <c r="BS138" s="9">
        <f>+BR138+'Home Builder Revenue Build'!BH71-'Home Builder Revenue Build'!BH72</f>
        <v>171336.94281271592</v>
      </c>
      <c r="BT138" s="9">
        <f>+BS138+'Home Builder Revenue Build'!BI71-'Home Builder Revenue Build'!BI72</f>
        <v>92855.760271626234</v>
      </c>
      <c r="BU138" s="9">
        <f>+BT138+'Home Builder Revenue Build'!BJ71-'Home Builder Revenue Build'!BJ72</f>
        <v>2.3283064365386963E-10</v>
      </c>
      <c r="BV138" s="9">
        <f>+BU138+'Home Builder Revenue Build'!BK71-'Home Builder Revenue Build'!BK72</f>
        <v>295000.00000000023</v>
      </c>
      <c r="BW138" s="164">
        <f>+BV138+'Home Builder Revenue Build'!BL71-'Home Builder Revenue Build'!BL72</f>
        <v>277220.42914744996</v>
      </c>
      <c r="BX138" s="9">
        <f>+BW138+'Home Builder Revenue Build'!BM71-'Home Builder Revenue Build'!BM72</f>
        <v>274677.5005322824</v>
      </c>
      <c r="BY138" s="9">
        <f>+BX138+'Home Builder Revenue Build'!BN71-'Home Builder Revenue Build'!BN72</f>
        <v>169291.370381872</v>
      </c>
      <c r="BZ138" s="9">
        <f>+BY138+'Home Builder Revenue Build'!BO71-'Home Builder Revenue Build'!BO72</f>
        <v>749778.30582671042</v>
      </c>
      <c r="CA138" s="9">
        <f>+BZ138+'Home Builder Revenue Build'!BP71-'Home Builder Revenue Build'!BP72</f>
        <v>1056917.8807700821</v>
      </c>
      <c r="CB138" s="9">
        <f>+CA138+'Home Builder Revenue Build'!BQ71-'Home Builder Revenue Build'!BQ72</f>
        <v>727635.85432504339</v>
      </c>
      <c r="CC138" s="9">
        <f>+CB138+'Home Builder Revenue Build'!BR71-'Home Builder Revenue Build'!BR72</f>
        <v>207595.75526558468</v>
      </c>
      <c r="CD138" s="9">
        <f>+CC138+'Home Builder Revenue Build'!BS71-'Home Builder Revenue Build'!BS72</f>
        <v>306934.44536841498</v>
      </c>
      <c r="CE138" s="9">
        <f>+CD138+'Home Builder Revenue Build'!BT71-'Home Builder Revenue Build'!BT72</f>
        <v>235090.22385930771</v>
      </c>
      <c r="CF138" s="9">
        <f>+CE138+'Home Builder Revenue Build'!BU71-'Home Builder Revenue Build'!BU72</f>
        <v>127406.74083781254</v>
      </c>
      <c r="CG138" s="9">
        <f>+CF138+'Home Builder Revenue Build'!BV71-'Home Builder Revenue Build'!BV72</f>
        <v>1.3096723705530167E-10</v>
      </c>
      <c r="CH138" s="9">
        <f>+CG138+'Home Builder Revenue Build'!BW71-'Home Builder Revenue Build'!BW72</f>
        <v>340000.00000000012</v>
      </c>
      <c r="CI138" s="164">
        <f>+CH138+'Home Builder Revenue Build'!BX71-'Home Builder Revenue Build'!BX72</f>
        <v>319508.2912207896</v>
      </c>
      <c r="CJ138" s="9">
        <f>+CI138+'Home Builder Revenue Build'!BY71-'Home Builder Revenue Build'!BY72</f>
        <v>316577.45824059646</v>
      </c>
      <c r="CK138" s="9">
        <f>+CJ138+'Home Builder Revenue Build'!BZ71-'Home Builder Revenue Build'!BZ72</f>
        <v>195115.47772825905</v>
      </c>
      <c r="CL138" s="9">
        <f>+CK138+'Home Builder Revenue Build'!CA71-'Home Builder Revenue Build'!CA72</f>
        <v>864151.26773247973</v>
      </c>
      <c r="CM138" s="9">
        <f>+CL138+'Home Builder Revenue Build'!CB71-'Home Builder Revenue Build'!CB72</f>
        <v>1218142.6422434843</v>
      </c>
      <c r="CN138" s="9">
        <f>+CM138+'Home Builder Revenue Build'!CC71-'Home Builder Revenue Build'!CC72</f>
        <v>838631.15413733793</v>
      </c>
      <c r="CO138" s="9">
        <f>+CN138+'Home Builder Revenue Build'!CD71-'Home Builder Revenue Build'!CD72</f>
        <v>239262.90437389398</v>
      </c>
      <c r="CP138" s="9">
        <f>+CO138+'Home Builder Revenue Build'!CE71-'Home Builder Revenue Build'!CE72</f>
        <v>353754.9539839357</v>
      </c>
      <c r="CQ138" s="9">
        <f>+CP138+'Home Builder Revenue Build'!CF71-'Home Builder Revenue Build'!CF72</f>
        <v>270951.44444801548</v>
      </c>
      <c r="CR138" s="9">
        <f>+CQ138+'Home Builder Revenue Build'!CG71-'Home Builder Revenue Build'!CG72</f>
        <v>146841.66740629217</v>
      </c>
      <c r="CS138" s="9">
        <f>+CR138+'Home Builder Revenue Build'!CH71-'Home Builder Revenue Build'!CH72</f>
        <v>0</v>
      </c>
      <c r="CT138" s="9">
        <f>+CS138+'Home Builder Revenue Build'!CI71-'Home Builder Revenue Build'!CI72</f>
        <v>450000</v>
      </c>
      <c r="CU138" s="164">
        <f>+CT138+'Home Builder Revenue Build'!CJ71-'Home Builder Revenue Build'!CJ72</f>
        <v>422878.62073339784</v>
      </c>
      <c r="CV138" s="9">
        <f>+CU138+'Home Builder Revenue Build'!CK71-'Home Builder Revenue Build'!CK72</f>
        <v>418999.57708314218</v>
      </c>
      <c r="CW138" s="9">
        <f>+CV138+'Home Builder Revenue Build'!CL71-'Home Builder Revenue Build'!CL72</f>
        <v>258241.07346387208</v>
      </c>
      <c r="CX138" s="9">
        <f>+CW138+'Home Builder Revenue Build'!CM71-'Home Builder Revenue Build'!CM72</f>
        <v>1143729.6190576935</v>
      </c>
      <c r="CY138" s="9">
        <f>+CX138+'Home Builder Revenue Build'!CN71-'Home Builder Revenue Build'!CN72</f>
        <v>1612247.6147340233</v>
      </c>
      <c r="CZ138" s="9">
        <f>+CY138+'Home Builder Revenue Build'!CO71-'Home Builder Revenue Build'!CO72</f>
        <v>1109952.9981229473</v>
      </c>
      <c r="DA138" s="9">
        <f>+CZ138+'Home Builder Revenue Build'!CP71-'Home Builder Revenue Build'!CP72</f>
        <v>316671.49108309508</v>
      </c>
      <c r="DB138" s="9">
        <f>+DA138+'Home Builder Revenue Build'!CQ71-'Home Builder Revenue Build'!CQ72</f>
        <v>468205.08615520911</v>
      </c>
      <c r="DC138" s="9">
        <f>+DB138+'Home Builder Revenue Build'!CR71-'Home Builder Revenue Build'!CR72</f>
        <v>358612.20588707936</v>
      </c>
      <c r="DD138" s="9">
        <f>+DC138+'Home Builder Revenue Build'!CS71-'Home Builder Revenue Build'!CS72</f>
        <v>194349.26568479859</v>
      </c>
      <c r="DE138" s="9">
        <f>+DD138+'Home Builder Revenue Build'!CT71-'Home Builder Revenue Build'!CT72</f>
        <v>0</v>
      </c>
      <c r="DF138" s="9">
        <f>+DE138+'Home Builder Revenue Build'!CU71-'Home Builder Revenue Build'!CU72</f>
        <v>490000</v>
      </c>
      <c r="DG138" s="9">
        <f>+DF138+'Home Builder Revenue Build'!CV71-'Home Builder Revenue Build'!CV72</f>
        <v>460467.83146525547</v>
      </c>
    </row>
    <row r="139" spans="1:111" s="15" customFormat="1" x14ac:dyDescent="0.25">
      <c r="A139"/>
      <c r="B139" s="1" t="s">
        <v>322</v>
      </c>
      <c r="C139" s="1"/>
      <c r="D139" s="2"/>
      <c r="E139" s="2"/>
      <c r="F139" s="2"/>
      <c r="G139" s="2"/>
      <c r="H139" s="2"/>
      <c r="I139" s="2"/>
      <c r="J139" s="91"/>
      <c r="K139" s="91"/>
      <c r="L139" s="91"/>
      <c r="M139" s="91"/>
      <c r="N139" s="91"/>
      <c r="O139" s="91"/>
      <c r="P139" s="91"/>
      <c r="Q139" s="91">
        <v>0</v>
      </c>
      <c r="R139" s="91">
        <v>0</v>
      </c>
      <c r="S139" s="91">
        <v>0</v>
      </c>
      <c r="T139" s="91">
        <v>75000</v>
      </c>
      <c r="U139" s="91">
        <v>75000</v>
      </c>
      <c r="V139" s="91">
        <v>75000</v>
      </c>
      <c r="W139" s="91">
        <v>75000</v>
      </c>
      <c r="X139" s="91">
        <v>75000</v>
      </c>
      <c r="Y139" s="91">
        <v>75000</v>
      </c>
      <c r="Z139" s="91">
        <v>75000</v>
      </c>
      <c r="AA139" s="91">
        <v>75000</v>
      </c>
      <c r="AB139" s="91">
        <v>75000</v>
      </c>
      <c r="AC139" s="91">
        <v>75000</v>
      </c>
      <c r="AD139" s="91">
        <v>75000</v>
      </c>
      <c r="AE139" s="91">
        <v>75000</v>
      </c>
      <c r="AF139" s="91">
        <v>0</v>
      </c>
      <c r="AG139" s="91">
        <v>0</v>
      </c>
      <c r="AH139" s="91">
        <v>0</v>
      </c>
      <c r="AI139" s="91">
        <v>0</v>
      </c>
      <c r="AJ139" s="91">
        <v>0</v>
      </c>
      <c r="AK139" s="91">
        <v>0</v>
      </c>
      <c r="AL139" s="91">
        <v>0</v>
      </c>
      <c r="AM139" s="91">
        <v>0</v>
      </c>
      <c r="AN139" s="91">
        <v>0</v>
      </c>
      <c r="AO139" s="91">
        <v>0</v>
      </c>
      <c r="AP139" s="91">
        <v>0</v>
      </c>
      <c r="AQ139" s="91">
        <v>0</v>
      </c>
      <c r="AR139" s="91">
        <v>0</v>
      </c>
      <c r="AS139" s="155">
        <v>0</v>
      </c>
      <c r="AT139" s="194">
        <v>0</v>
      </c>
      <c r="AU139" s="9"/>
      <c r="AV139" s="9"/>
      <c r="AW139" s="9"/>
      <c r="AX139" s="9"/>
      <c r="AY139" s="164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164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164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164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164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</row>
    <row r="140" spans="1:111" s="15" customFormat="1" hidden="1" x14ac:dyDescent="0.25">
      <c r="A140"/>
      <c r="B140" s="1" t="s">
        <v>323</v>
      </c>
      <c r="C140" s="1"/>
      <c r="D140" s="2"/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91">
        <v>0</v>
      </c>
      <c r="K140" s="91">
        <v>0</v>
      </c>
      <c r="L140" s="91">
        <v>0</v>
      </c>
      <c r="M140" s="91">
        <v>0</v>
      </c>
      <c r="N140" s="91">
        <v>0</v>
      </c>
      <c r="O140" s="91">
        <v>0</v>
      </c>
      <c r="P140" s="91">
        <v>0</v>
      </c>
      <c r="Q140" s="91">
        <v>0</v>
      </c>
      <c r="R140" s="91">
        <v>0</v>
      </c>
      <c r="S140" s="91">
        <v>0</v>
      </c>
      <c r="T140" s="91">
        <v>0</v>
      </c>
      <c r="U140" s="91">
        <v>0</v>
      </c>
      <c r="V140" s="91">
        <v>0</v>
      </c>
      <c r="W140" s="91">
        <v>0</v>
      </c>
      <c r="X140" s="91">
        <v>0</v>
      </c>
      <c r="Y140" s="91">
        <v>0</v>
      </c>
      <c r="Z140" s="91">
        <v>0</v>
      </c>
      <c r="AA140" s="91">
        <v>0</v>
      </c>
      <c r="AB140" s="91">
        <v>0</v>
      </c>
      <c r="AC140" s="91">
        <v>0</v>
      </c>
      <c r="AD140" s="91">
        <v>0</v>
      </c>
      <c r="AE140" s="91">
        <v>0</v>
      </c>
      <c r="AF140" s="91">
        <v>0</v>
      </c>
      <c r="AG140" s="91">
        <v>0</v>
      </c>
      <c r="AH140" s="91">
        <v>0</v>
      </c>
      <c r="AI140" s="91">
        <v>0</v>
      </c>
      <c r="AJ140" s="91">
        <v>0</v>
      </c>
      <c r="AK140" s="91">
        <v>0</v>
      </c>
      <c r="AL140" s="91">
        <v>0</v>
      </c>
      <c r="AM140" s="91">
        <v>0</v>
      </c>
      <c r="AN140" s="91">
        <v>0</v>
      </c>
      <c r="AO140" s="91">
        <v>0</v>
      </c>
      <c r="AP140" s="91">
        <v>0</v>
      </c>
      <c r="AQ140" s="91">
        <v>0</v>
      </c>
      <c r="AR140" s="91">
        <v>0</v>
      </c>
      <c r="AS140" s="155">
        <v>0</v>
      </c>
      <c r="AT140" s="194">
        <v>0</v>
      </c>
      <c r="AU140" s="9">
        <v>0</v>
      </c>
      <c r="AV140" s="9">
        <v>0</v>
      </c>
      <c r="AW140" s="9">
        <v>0</v>
      </c>
      <c r="AX140" s="9">
        <v>0</v>
      </c>
      <c r="AY140" s="164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164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9">
        <v>0</v>
      </c>
      <c r="BS140" s="9">
        <v>0</v>
      </c>
      <c r="BT140" s="9">
        <v>0</v>
      </c>
      <c r="BU140" s="9">
        <v>0</v>
      </c>
      <c r="BV140" s="9">
        <v>0</v>
      </c>
      <c r="BW140" s="164">
        <v>0</v>
      </c>
      <c r="BX140" s="9">
        <v>0</v>
      </c>
      <c r="BY140" s="9">
        <v>0</v>
      </c>
      <c r="BZ140" s="9">
        <v>0</v>
      </c>
      <c r="CA140" s="9">
        <v>0</v>
      </c>
      <c r="CB140" s="9">
        <v>0</v>
      </c>
      <c r="CC140" s="9">
        <v>0</v>
      </c>
      <c r="CD140" s="9">
        <v>0</v>
      </c>
      <c r="CE140" s="9">
        <v>0</v>
      </c>
      <c r="CF140" s="9">
        <v>0</v>
      </c>
      <c r="CG140" s="9">
        <v>0</v>
      </c>
      <c r="CH140" s="9">
        <v>0</v>
      </c>
      <c r="CI140" s="164">
        <v>0</v>
      </c>
      <c r="CJ140" s="9">
        <v>0</v>
      </c>
      <c r="CK140" s="9">
        <v>0</v>
      </c>
      <c r="CL140" s="9">
        <v>0</v>
      </c>
      <c r="CM140" s="9">
        <v>0</v>
      </c>
      <c r="CN140" s="9">
        <v>0</v>
      </c>
      <c r="CO140" s="9">
        <v>0</v>
      </c>
      <c r="CP140" s="9">
        <v>0</v>
      </c>
      <c r="CQ140" s="9">
        <v>0</v>
      </c>
      <c r="CR140" s="9">
        <v>0</v>
      </c>
      <c r="CS140" s="9">
        <v>0</v>
      </c>
      <c r="CT140" s="9">
        <v>0</v>
      </c>
      <c r="CU140" s="164">
        <v>0</v>
      </c>
      <c r="CV140" s="9">
        <v>0</v>
      </c>
      <c r="CW140" s="9">
        <v>0</v>
      </c>
      <c r="CX140" s="9">
        <v>0</v>
      </c>
      <c r="CY140" s="9">
        <v>0</v>
      </c>
      <c r="CZ140" s="9">
        <v>0</v>
      </c>
      <c r="DA140" s="9">
        <v>0</v>
      </c>
      <c r="DB140" s="9">
        <v>0</v>
      </c>
      <c r="DC140" s="9">
        <v>0</v>
      </c>
      <c r="DD140" s="9">
        <v>0</v>
      </c>
      <c r="DE140" s="9">
        <v>0</v>
      </c>
      <c r="DF140" s="9">
        <v>0</v>
      </c>
      <c r="DG140" s="9">
        <v>0</v>
      </c>
    </row>
    <row r="141" spans="1:111" s="15" customFormat="1" hidden="1" x14ac:dyDescent="0.25">
      <c r="A141"/>
      <c r="B141" s="1" t="s">
        <v>337</v>
      </c>
      <c r="C141" s="1"/>
      <c r="D141" s="2"/>
      <c r="E141" s="2"/>
      <c r="F141" s="2"/>
      <c r="G141" s="2"/>
      <c r="H141" s="2"/>
      <c r="I141" s="2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155"/>
      <c r="AT141" s="194">
        <v>0</v>
      </c>
      <c r="AU141" s="9">
        <v>0</v>
      </c>
      <c r="AV141" s="9">
        <v>0</v>
      </c>
      <c r="AW141" s="9">
        <v>0</v>
      </c>
      <c r="AX141" s="9">
        <v>0</v>
      </c>
      <c r="AY141" s="164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164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9">
        <v>0</v>
      </c>
      <c r="BS141" s="9">
        <v>0</v>
      </c>
      <c r="BT141" s="9">
        <v>0</v>
      </c>
      <c r="BU141" s="9">
        <v>0</v>
      </c>
      <c r="BV141" s="9">
        <v>0</v>
      </c>
      <c r="BW141" s="164">
        <v>0</v>
      </c>
      <c r="BX141" s="9">
        <v>0</v>
      </c>
      <c r="BY141" s="9">
        <v>0</v>
      </c>
      <c r="BZ141" s="9">
        <v>0</v>
      </c>
      <c r="CA141" s="9">
        <v>0</v>
      </c>
      <c r="CB141" s="9">
        <v>0</v>
      </c>
      <c r="CC141" s="9">
        <v>0</v>
      </c>
      <c r="CD141" s="9">
        <v>0</v>
      </c>
      <c r="CE141" s="9">
        <v>0</v>
      </c>
      <c r="CF141" s="9">
        <v>0</v>
      </c>
      <c r="CG141" s="9">
        <v>0</v>
      </c>
      <c r="CH141" s="9">
        <v>0</v>
      </c>
      <c r="CI141" s="164">
        <v>0</v>
      </c>
      <c r="CJ141" s="9">
        <v>0</v>
      </c>
      <c r="CK141" s="9">
        <v>0</v>
      </c>
      <c r="CL141" s="9">
        <v>0</v>
      </c>
      <c r="CM141" s="9">
        <v>0</v>
      </c>
      <c r="CN141" s="9">
        <v>0</v>
      </c>
      <c r="CO141" s="9">
        <v>0</v>
      </c>
      <c r="CP141" s="9">
        <v>0</v>
      </c>
      <c r="CQ141" s="9">
        <v>0</v>
      </c>
      <c r="CR141" s="9">
        <v>0</v>
      </c>
      <c r="CS141" s="9">
        <v>0</v>
      </c>
      <c r="CT141" s="9">
        <v>0</v>
      </c>
      <c r="CU141" s="164">
        <v>0</v>
      </c>
      <c r="CV141" s="9">
        <v>0</v>
      </c>
      <c r="CW141" s="9">
        <v>0</v>
      </c>
      <c r="CX141" s="9">
        <v>0</v>
      </c>
      <c r="CY141" s="9">
        <v>0</v>
      </c>
      <c r="CZ141" s="9">
        <v>0</v>
      </c>
      <c r="DA141" s="9">
        <v>0</v>
      </c>
      <c r="DB141" s="9">
        <v>0</v>
      </c>
      <c r="DC141" s="9">
        <v>0</v>
      </c>
      <c r="DD141" s="9">
        <v>0</v>
      </c>
      <c r="DE141" s="9">
        <v>0</v>
      </c>
      <c r="DF141" s="9">
        <v>0</v>
      </c>
      <c r="DG141" s="9">
        <v>0</v>
      </c>
    </row>
    <row r="142" spans="1:111" s="15" customFormat="1" hidden="1" x14ac:dyDescent="0.25">
      <c r="A142"/>
      <c r="B142" s="1" t="s">
        <v>338</v>
      </c>
      <c r="C142" s="1"/>
      <c r="D142" s="2"/>
      <c r="E142" s="2"/>
      <c r="F142" s="2"/>
      <c r="G142" s="2"/>
      <c r="H142" s="2"/>
      <c r="I142" s="2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155"/>
      <c r="AT142" s="194"/>
      <c r="AU142" s="9"/>
      <c r="AV142" s="9"/>
      <c r="AW142" s="9"/>
      <c r="AX142" s="9"/>
      <c r="AY142" s="164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164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164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164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164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</row>
    <row r="143" spans="1:111" s="37" customFormat="1" x14ac:dyDescent="0.25">
      <c r="B143" s="37" t="s">
        <v>477</v>
      </c>
      <c r="P143" s="37">
        <v>0</v>
      </c>
      <c r="Q143" s="37">
        <v>0</v>
      </c>
      <c r="R143" s="37">
        <v>0</v>
      </c>
      <c r="S143" s="37">
        <v>0</v>
      </c>
      <c r="T143" s="37">
        <f t="shared" ref="T143:AA143" si="928">SUM(T138:T140)</f>
        <v>75000</v>
      </c>
      <c r="U143" s="37">
        <f t="shared" si="928"/>
        <v>75000</v>
      </c>
      <c r="V143" s="37">
        <f t="shared" si="928"/>
        <v>75000</v>
      </c>
      <c r="W143" s="37">
        <f t="shared" si="928"/>
        <v>75000</v>
      </c>
      <c r="X143" s="37">
        <f t="shared" si="928"/>
        <v>75000</v>
      </c>
      <c r="Y143" s="37">
        <f t="shared" si="928"/>
        <v>75000</v>
      </c>
      <c r="Z143" s="37">
        <f t="shared" si="928"/>
        <v>75000</v>
      </c>
      <c r="AA143" s="37">
        <f t="shared" si="928"/>
        <v>75000</v>
      </c>
      <c r="AB143" s="37">
        <f>SUM(AB137:AB142)</f>
        <v>75000</v>
      </c>
      <c r="AC143" s="37">
        <f t="shared" ref="AC143:AF143" si="929">SUM(AC137:AC142)</f>
        <v>75000</v>
      </c>
      <c r="AD143" s="37">
        <f t="shared" si="929"/>
        <v>75000</v>
      </c>
      <c r="AE143" s="37">
        <f t="shared" si="929"/>
        <v>89766</v>
      </c>
      <c r="AF143" s="37">
        <f t="shared" si="929"/>
        <v>25694.639999999999</v>
      </c>
      <c r="AG143" s="37">
        <f t="shared" ref="AG143:AH143" si="930">SUM(AG137:AG142)</f>
        <v>14766</v>
      </c>
      <c r="AH143" s="37">
        <f t="shared" si="930"/>
        <v>16266</v>
      </c>
      <c r="AI143" s="37">
        <f t="shared" ref="AI143:AJ143" si="931">SUM(AI137:AI142)</f>
        <v>0</v>
      </c>
      <c r="AJ143" s="37">
        <f t="shared" si="931"/>
        <v>0</v>
      </c>
      <c r="AK143" s="37">
        <f t="shared" ref="AK143:AL143" si="932">SUM(AK137:AK142)</f>
        <v>0</v>
      </c>
      <c r="AL143" s="37">
        <f t="shared" si="932"/>
        <v>0</v>
      </c>
      <c r="AM143" s="37">
        <f t="shared" ref="AM143:AN143" si="933">SUM(AM137:AM142)</f>
        <v>29061.72</v>
      </c>
      <c r="AN143" s="37">
        <f t="shared" si="933"/>
        <v>20473.86</v>
      </c>
      <c r="AO143" s="37">
        <f t="shared" ref="AO143:AP143" si="934">SUM(AO137:AO142)</f>
        <v>0</v>
      </c>
      <c r="AP143" s="37">
        <f t="shared" si="934"/>
        <v>0</v>
      </c>
      <c r="AQ143" s="37">
        <f t="shared" ref="AQ143:AR143" si="935">SUM(AQ137:AQ142)</f>
        <v>4100.5</v>
      </c>
      <c r="AR143" s="37">
        <f t="shared" si="935"/>
        <v>90000</v>
      </c>
      <c r="AS143" s="156">
        <f t="shared" ref="AS143" si="936">SUM(AS137:AS142)</f>
        <v>0</v>
      </c>
      <c r="AT143" s="37">
        <f>SUM(AT137:AT142)</f>
        <v>0</v>
      </c>
      <c r="AU143" s="37">
        <f t="shared" ref="AU143:CV143" si="937">SUM(AU137:AU142)</f>
        <v>1400</v>
      </c>
      <c r="AV143" s="37">
        <f t="shared" si="937"/>
        <v>200</v>
      </c>
      <c r="AW143" s="37">
        <f t="shared" si="937"/>
        <v>200</v>
      </c>
      <c r="AX143" s="37">
        <f t="shared" si="937"/>
        <v>126600</v>
      </c>
      <c r="AY143" s="156">
        <f t="shared" si="937"/>
        <v>117866.28353705496</v>
      </c>
      <c r="AZ143" s="37">
        <f t="shared" si="937"/>
        <v>116788.77141198395</v>
      </c>
      <c r="BA143" s="37">
        <f t="shared" si="937"/>
        <v>76333.631517742266</v>
      </c>
      <c r="BB143" s="37">
        <f t="shared" si="937"/>
        <v>318702.6719604705</v>
      </c>
      <c r="BC143" s="37">
        <f t="shared" si="937"/>
        <v>448846.55964833987</v>
      </c>
      <c r="BD143" s="37">
        <f t="shared" si="937"/>
        <v>313520.27725637431</v>
      </c>
      <c r="BE143" s="37">
        <f t="shared" si="937"/>
        <v>89564.303078637575</v>
      </c>
      <c r="BF143" s="37">
        <f t="shared" si="937"/>
        <v>131656.96837644704</v>
      </c>
      <c r="BG143" s="37">
        <f t="shared" si="937"/>
        <v>106814.50163529989</v>
      </c>
      <c r="BH143" s="37">
        <f t="shared" si="937"/>
        <v>56385.90713466634</v>
      </c>
      <c r="BI143" s="37">
        <f t="shared" si="937"/>
        <v>2400.0000000000655</v>
      </c>
      <c r="BJ143" s="37">
        <f t="shared" si="937"/>
        <v>223000.00000000006</v>
      </c>
      <c r="BK143" s="156">
        <f t="shared" si="937"/>
        <v>205242.00768373458</v>
      </c>
      <c r="BL143" s="37">
        <f t="shared" si="937"/>
        <v>203388.68682861244</v>
      </c>
      <c r="BM143" s="37">
        <f t="shared" si="937"/>
        <v>133581.84621051673</v>
      </c>
      <c r="BN143" s="37">
        <f t="shared" si="937"/>
        <v>550648.59577200923</v>
      </c>
      <c r="BO143" s="37">
        <f t="shared" si="937"/>
        <v>774496.08259514463</v>
      </c>
      <c r="BP143" s="37">
        <f t="shared" si="937"/>
        <v>541510.87688096392</v>
      </c>
      <c r="BQ143" s="37">
        <f t="shared" si="937"/>
        <v>156498.60129525675</v>
      </c>
      <c r="BR143" s="37">
        <f t="shared" si="937"/>
        <v>228897.98560748901</v>
      </c>
      <c r="BS143" s="37">
        <f t="shared" si="937"/>
        <v>183536.94281271592</v>
      </c>
      <c r="BT143" s="37">
        <f t="shared" si="937"/>
        <v>99055.760271626234</v>
      </c>
      <c r="BU143" s="37">
        <f t="shared" si="937"/>
        <v>6200.0000000002328</v>
      </c>
      <c r="BV143" s="37">
        <f t="shared" si="937"/>
        <v>308200.00000000023</v>
      </c>
      <c r="BW143" s="156">
        <f t="shared" si="937"/>
        <v>284420.42914744996</v>
      </c>
      <c r="BX143" s="37">
        <f t="shared" si="937"/>
        <v>281877.5005322824</v>
      </c>
      <c r="BY143" s="37">
        <f t="shared" si="937"/>
        <v>184891.370381872</v>
      </c>
      <c r="BZ143" s="37">
        <f t="shared" si="937"/>
        <v>758178.30582671042</v>
      </c>
      <c r="CA143" s="37">
        <f t="shared" si="937"/>
        <v>1065317.8807700821</v>
      </c>
      <c r="CB143" s="37">
        <f t="shared" si="937"/>
        <v>744435.85432504339</v>
      </c>
      <c r="CC143" s="37">
        <f t="shared" si="937"/>
        <v>217195.75526558468</v>
      </c>
      <c r="CD143" s="37">
        <f t="shared" si="937"/>
        <v>316534.44536841498</v>
      </c>
      <c r="CE143" s="37">
        <f t="shared" si="937"/>
        <v>253090.22385930771</v>
      </c>
      <c r="CF143" s="37">
        <f t="shared" si="937"/>
        <v>138206.74083781254</v>
      </c>
      <c r="CG143" s="37">
        <f t="shared" si="937"/>
        <v>10800.000000000142</v>
      </c>
      <c r="CH143" s="37">
        <f t="shared" si="937"/>
        <v>359200.00000000012</v>
      </c>
      <c r="CI143" s="156">
        <f t="shared" si="937"/>
        <v>331508.2912207896</v>
      </c>
      <c r="CJ143" s="37">
        <f t="shared" si="937"/>
        <v>328577.45824059646</v>
      </c>
      <c r="CK143" s="37">
        <f t="shared" si="937"/>
        <v>216915.47772825905</v>
      </c>
      <c r="CL143" s="37">
        <f t="shared" si="937"/>
        <v>877551.26773247973</v>
      </c>
      <c r="CM143" s="37">
        <f t="shared" si="937"/>
        <v>1231542.6422434843</v>
      </c>
      <c r="CN143" s="37">
        <f t="shared" si="937"/>
        <v>861831.15413733793</v>
      </c>
      <c r="CO143" s="37">
        <f t="shared" si="937"/>
        <v>254062.90437389398</v>
      </c>
      <c r="CP143" s="37">
        <f t="shared" si="937"/>
        <v>368554.9539839357</v>
      </c>
      <c r="CQ143" s="37">
        <f t="shared" si="937"/>
        <v>296951.44444801548</v>
      </c>
      <c r="CR143" s="37">
        <f t="shared" si="937"/>
        <v>163241.66740629217</v>
      </c>
      <c r="CS143" s="37">
        <f t="shared" si="937"/>
        <v>16400.000000000015</v>
      </c>
      <c r="CT143" s="37">
        <f t="shared" si="937"/>
        <v>477600</v>
      </c>
      <c r="CU143" s="156">
        <f t="shared" si="937"/>
        <v>440878.62073339784</v>
      </c>
      <c r="CV143" s="37">
        <f t="shared" si="937"/>
        <v>436999.57708314218</v>
      </c>
      <c r="CW143" s="37">
        <f t="shared" ref="CW143:DG143" si="938">SUM(CW137:CW142)</f>
        <v>287441.07346387208</v>
      </c>
      <c r="CX143" s="37">
        <f t="shared" si="938"/>
        <v>1163329.6190576935</v>
      </c>
      <c r="CY143" s="37">
        <f t="shared" si="938"/>
        <v>1631847.6147340233</v>
      </c>
      <c r="CZ143" s="37">
        <f t="shared" si="938"/>
        <v>1140752.9981229473</v>
      </c>
      <c r="DA143" s="37">
        <f t="shared" si="938"/>
        <v>337871.49108309508</v>
      </c>
      <c r="DB143" s="37">
        <f t="shared" si="938"/>
        <v>489405.08615520911</v>
      </c>
      <c r="DC143" s="37">
        <f t="shared" si="938"/>
        <v>392412.20588707936</v>
      </c>
      <c r="DD143" s="37">
        <f t="shared" si="938"/>
        <v>217349.26568479859</v>
      </c>
      <c r="DE143" s="37">
        <f t="shared" si="938"/>
        <v>23000.000000000015</v>
      </c>
      <c r="DF143" s="37">
        <f t="shared" si="938"/>
        <v>525600</v>
      </c>
      <c r="DG143" s="37">
        <f t="shared" si="938"/>
        <v>485267.83146525547</v>
      </c>
    </row>
    <row r="144" spans="1:111" s="251" customFormat="1" x14ac:dyDescent="0.25">
      <c r="B144" s="251" t="s">
        <v>283</v>
      </c>
      <c r="T144" s="251">
        <v>75000</v>
      </c>
      <c r="Y144" s="251">
        <v>150000</v>
      </c>
      <c r="Z144" s="251">
        <v>187500</v>
      </c>
      <c r="AA144" s="251">
        <v>112500</v>
      </c>
      <c r="AB144" s="251">
        <v>0</v>
      </c>
      <c r="AC144" s="251">
        <v>112500</v>
      </c>
      <c r="AD144" s="251">
        <v>112500</v>
      </c>
      <c r="AE144" s="251">
        <v>14766</v>
      </c>
      <c r="AF144" s="251">
        <f>5464.32+1995</f>
        <v>7459.32</v>
      </c>
      <c r="AG144" s="251">
        <v>10928.64</v>
      </c>
      <c r="AH144" s="251">
        <v>700</v>
      </c>
      <c r="AI144" s="251">
        <f>29366+700+1065</f>
        <v>31131</v>
      </c>
      <c r="AJ144" s="251">
        <f>19632.99+3200+26177.31</f>
        <v>49010.3</v>
      </c>
      <c r="AK144" s="251">
        <f>5500+14766+700+2272.5+1515</f>
        <v>24753.5</v>
      </c>
      <c r="AL144" s="251">
        <f>19632.99+3485</f>
        <v>23117.99</v>
      </c>
      <c r="AM144" s="251">
        <f>41363.58+10000</f>
        <v>51363.58</v>
      </c>
      <c r="AN144" s="251">
        <f>55151.44+15800</f>
        <v>70951.44</v>
      </c>
      <c r="AO144" s="251">
        <v>0</v>
      </c>
      <c r="AP144" s="251">
        <v>0</v>
      </c>
      <c r="AQ144" s="251">
        <v>14662.2</v>
      </c>
      <c r="AR144" s="251">
        <f>90000</f>
        <v>90000</v>
      </c>
      <c r="AS144" s="252">
        <v>0</v>
      </c>
      <c r="AT144" s="332">
        <f>+'Home Builder Revenue Build'!AI71+'Contractor Revenue Build'!Y39</f>
        <v>6600</v>
      </c>
      <c r="AU144" s="332">
        <f>+'Home Builder Revenue Build'!AJ71+'Contractor Revenue Build'!Z39</f>
        <v>8000</v>
      </c>
      <c r="AV144" s="332">
        <f>+'Home Builder Revenue Build'!AK71+'Contractor Revenue Build'!AA39</f>
        <v>5400</v>
      </c>
      <c r="AW144" s="332">
        <f>+'Home Builder Revenue Build'!AL71+'Contractor Revenue Build'!AB39</f>
        <v>6600</v>
      </c>
      <c r="AX144" s="332">
        <f>+'Home Builder Revenue Build'!AM71+'Contractor Revenue Build'!AC39</f>
        <v>133000</v>
      </c>
      <c r="AY144" s="349">
        <f>+'Home Builder Revenue Build'!AN71+'Contractor Revenue Build'!AD39</f>
        <v>5400</v>
      </c>
      <c r="AZ144" s="332">
        <f>+'Home Builder Revenue Build'!AO71+'Contractor Revenue Build'!AE39</f>
        <v>19800</v>
      </c>
      <c r="BA144" s="332">
        <f>+'Home Builder Revenue Build'!AP71+'Contractor Revenue Build'!AF39</f>
        <v>24000</v>
      </c>
      <c r="BB144" s="332">
        <f>+'Home Builder Revenue Build'!AQ71+'Contractor Revenue Build'!AG39</f>
        <v>266200</v>
      </c>
      <c r="BC144" s="332">
        <f>+'Home Builder Revenue Build'!AR71+'Contractor Revenue Build'!AH39</f>
        <v>332300</v>
      </c>
      <c r="BD144" s="332">
        <f>+'Home Builder Revenue Build'!AS71+'Contractor Revenue Build'!AI39</f>
        <v>211500</v>
      </c>
      <c r="BE144" s="332">
        <f>+'Home Builder Revenue Build'!AT71+'Contractor Revenue Build'!AJ39</f>
        <v>16200.000000000002</v>
      </c>
      <c r="BF144" s="332">
        <f>+'Home Builder Revenue Build'!AU71+'Contractor Revenue Build'!AK39</f>
        <v>213900</v>
      </c>
      <c r="BG144" s="332">
        <f>+'Home Builder Revenue Build'!AV71+'Contractor Revenue Build'!AL39</f>
        <v>32000</v>
      </c>
      <c r="BH144" s="332">
        <f>+'Home Builder Revenue Build'!AW71+'Contractor Revenue Build'!AM39</f>
        <v>209100</v>
      </c>
      <c r="BI144" s="332">
        <f>+'Home Builder Revenue Build'!AX71+'Contractor Revenue Build'!AN39</f>
        <v>26400</v>
      </c>
      <c r="BJ144" s="332">
        <f>+'Home Builder Revenue Build'!AY71+'Contractor Revenue Build'!AO39</f>
        <v>247000</v>
      </c>
      <c r="BK144" s="349">
        <f>+'Home Builder Revenue Build'!AZ71+'Contractor Revenue Build'!AP39</f>
        <v>21600</v>
      </c>
      <c r="BL144" s="332">
        <f>+'Home Builder Revenue Build'!BA71+'Contractor Revenue Build'!AQ39</f>
        <v>33000</v>
      </c>
      <c r="BM144" s="332">
        <f>+'Home Builder Revenue Build'!BB71+'Contractor Revenue Build'!AR39</f>
        <v>40000</v>
      </c>
      <c r="BN144" s="332">
        <f>+'Home Builder Revenue Build'!BC71+'Contractor Revenue Build'!AS39</f>
        <v>457000</v>
      </c>
      <c r="BO144" s="332">
        <f>+'Home Builder Revenue Build'!BD71+'Contractor Revenue Build'!AT39</f>
        <v>570500</v>
      </c>
      <c r="BP144" s="332">
        <f>+'Home Builder Revenue Build'!BE71+'Contractor Revenue Build'!AU39</f>
        <v>362500</v>
      </c>
      <c r="BQ144" s="332">
        <f>+'Home Builder Revenue Build'!BF71+'Contractor Revenue Build'!AV39</f>
        <v>27000</v>
      </c>
      <c r="BR144" s="332">
        <f>+'Home Builder Revenue Build'!BG71+'Contractor Revenue Build'!AW39</f>
        <v>355500</v>
      </c>
      <c r="BS144" s="332">
        <f>+'Home Builder Revenue Build'!BH71+'Contractor Revenue Build'!AX39</f>
        <v>40000</v>
      </c>
      <c r="BT144" s="332">
        <f>+'Home Builder Revenue Build'!BI71+'Contractor Revenue Build'!AY39</f>
        <v>349500</v>
      </c>
      <c r="BU144" s="332">
        <f>+'Home Builder Revenue Build'!BJ71+'Contractor Revenue Build'!AZ39</f>
        <v>33000</v>
      </c>
      <c r="BV144" s="332">
        <f>+'Home Builder Revenue Build'!BK71+'Contractor Revenue Build'!BA39</f>
        <v>335000</v>
      </c>
      <c r="BW144" s="349">
        <f>+'Home Builder Revenue Build'!BL71+'Contractor Revenue Build'!BB39</f>
        <v>27000</v>
      </c>
      <c r="BX144" s="332">
        <f>+'Home Builder Revenue Build'!BM71+'Contractor Revenue Build'!BC39</f>
        <v>39600</v>
      </c>
      <c r="BY144" s="332">
        <f>+'Home Builder Revenue Build'!BN71+'Contractor Revenue Build'!BD39</f>
        <v>48000</v>
      </c>
      <c r="BZ144" s="332">
        <f>+'Home Builder Revenue Build'!BO71+'Contractor Revenue Build'!BE39</f>
        <v>622400</v>
      </c>
      <c r="CA144" s="332">
        <f>+'Home Builder Revenue Build'!BP71+'Contractor Revenue Build'!BF39</f>
        <v>777100</v>
      </c>
      <c r="CB144" s="332">
        <f>+'Home Builder Revenue Build'!BQ71+'Contractor Revenue Build'!BG39</f>
        <v>490500</v>
      </c>
      <c r="CC144" s="332">
        <f>+'Home Builder Revenue Build'!BR71+'Contractor Revenue Build'!BH39</f>
        <v>32400.000000000004</v>
      </c>
      <c r="CD144" s="332">
        <f>+'Home Builder Revenue Build'!BS71+'Contractor Revenue Build'!BI39</f>
        <v>482100</v>
      </c>
      <c r="CE144" s="332">
        <f>+'Home Builder Revenue Build'!BT71+'Contractor Revenue Build'!BJ39</f>
        <v>48000</v>
      </c>
      <c r="CF144" s="332">
        <f>+'Home Builder Revenue Build'!BU71+'Contractor Revenue Build'!BK39</f>
        <v>474900</v>
      </c>
      <c r="CG144" s="332">
        <f>+'Home Builder Revenue Build'!BV71+'Contractor Revenue Build'!BL39</f>
        <v>39600</v>
      </c>
      <c r="CH144" s="332">
        <f>+'Home Builder Revenue Build'!BW71+'Contractor Revenue Build'!BM39</f>
        <v>388000</v>
      </c>
      <c r="CI144" s="349">
        <f>+'Home Builder Revenue Build'!BX71+'Contractor Revenue Build'!BN39</f>
        <v>32400.000000000004</v>
      </c>
      <c r="CJ144" s="332">
        <f>+'Home Builder Revenue Build'!BY71+'Contractor Revenue Build'!BO39</f>
        <v>46200</v>
      </c>
      <c r="CK144" s="332">
        <f>+'Home Builder Revenue Build'!BZ71+'Contractor Revenue Build'!BP39</f>
        <v>56000</v>
      </c>
      <c r="CL144" s="332">
        <f>+'Home Builder Revenue Build'!CA71+'Contractor Revenue Build'!BQ39</f>
        <v>717800</v>
      </c>
      <c r="CM144" s="332">
        <f>+'Home Builder Revenue Build'!CB71+'Contractor Revenue Build'!BR39</f>
        <v>896200</v>
      </c>
      <c r="CN144" s="332">
        <f>+'Home Builder Revenue Build'!CC71+'Contractor Revenue Build'!BS39</f>
        <v>566000</v>
      </c>
      <c r="CO144" s="332">
        <f>+'Home Builder Revenue Build'!CD71+'Contractor Revenue Build'!BT39</f>
        <v>37800</v>
      </c>
      <c r="CP144" s="332">
        <f>+'Home Builder Revenue Build'!CE71+'Contractor Revenue Build'!BU39</f>
        <v>562800</v>
      </c>
      <c r="CQ144" s="332">
        <f>+'Home Builder Revenue Build'!CF71+'Contractor Revenue Build'!BV39</f>
        <v>64000</v>
      </c>
      <c r="CR144" s="332">
        <f>+'Home Builder Revenue Build'!CG71+'Contractor Revenue Build'!BW39</f>
        <v>553200</v>
      </c>
      <c r="CS144" s="332">
        <f>+'Home Builder Revenue Build'!CH71+'Contractor Revenue Build'!BX39</f>
        <v>52800</v>
      </c>
      <c r="CT144" s="332">
        <f>+'Home Builder Revenue Build'!CI71+'Contractor Revenue Build'!BY39</f>
        <v>514000</v>
      </c>
      <c r="CU144" s="349">
        <f>+'Home Builder Revenue Build'!CJ71+'Contractor Revenue Build'!BZ39</f>
        <v>43200</v>
      </c>
      <c r="CV144" s="332">
        <f>+'Home Builder Revenue Build'!CK71+'Contractor Revenue Build'!CA39</f>
        <v>52800</v>
      </c>
      <c r="CW144" s="332">
        <f>+'Home Builder Revenue Build'!CL71+'Contractor Revenue Build'!CB39</f>
        <v>64000</v>
      </c>
      <c r="CX144" s="332">
        <f>+'Home Builder Revenue Build'!CM71+'Contractor Revenue Build'!CC39</f>
        <v>943200</v>
      </c>
      <c r="CY144" s="332">
        <f>+'Home Builder Revenue Build'!CN71+'Contractor Revenue Build'!CD39</f>
        <v>1177800</v>
      </c>
      <c r="CZ144" s="332">
        <f>+'Home Builder Revenue Build'!CO71+'Contractor Revenue Build'!CE39</f>
        <v>739000</v>
      </c>
      <c r="DA144" s="332">
        <f>+'Home Builder Revenue Build'!CP71+'Contractor Revenue Build'!CF39</f>
        <v>43200</v>
      </c>
      <c r="DB144" s="332">
        <f>+'Home Builder Revenue Build'!CQ71+'Contractor Revenue Build'!CG39</f>
        <v>734400</v>
      </c>
      <c r="DC144" s="332">
        <f>+'Home Builder Revenue Build'!CR71+'Contractor Revenue Build'!CH39</f>
        <v>72000</v>
      </c>
      <c r="DD144" s="332">
        <f>+'Home Builder Revenue Build'!CS71+'Contractor Revenue Build'!CI39</f>
        <v>723600</v>
      </c>
      <c r="DE144" s="332">
        <f>+'Home Builder Revenue Build'!CT71+'Contractor Revenue Build'!CJ39</f>
        <v>59400</v>
      </c>
      <c r="DF144" s="332">
        <f>+'Home Builder Revenue Build'!CU71+'Contractor Revenue Build'!CK39</f>
        <v>562000</v>
      </c>
      <c r="DG144" s="332">
        <f>+'Home Builder Revenue Build'!CV71+'Contractor Revenue Build'!CL39</f>
        <v>48600</v>
      </c>
    </row>
    <row r="145" spans="1:111" s="251" customFormat="1" x14ac:dyDescent="0.25">
      <c r="B145" s="251" t="s">
        <v>277</v>
      </c>
      <c r="E145" s="251">
        <f>+E144+D145</f>
        <v>0</v>
      </c>
      <c r="F145" s="251">
        <f t="shared" ref="F145:S145" si="939">+F144+E145</f>
        <v>0</v>
      </c>
      <c r="G145" s="251">
        <f t="shared" si="939"/>
        <v>0</v>
      </c>
      <c r="H145" s="251">
        <f t="shared" si="939"/>
        <v>0</v>
      </c>
      <c r="I145" s="251">
        <f t="shared" si="939"/>
        <v>0</v>
      </c>
      <c r="J145" s="251">
        <f t="shared" si="939"/>
        <v>0</v>
      </c>
      <c r="K145" s="251">
        <f t="shared" si="939"/>
        <v>0</v>
      </c>
      <c r="L145" s="251">
        <f t="shared" si="939"/>
        <v>0</v>
      </c>
      <c r="M145" s="251">
        <f t="shared" si="939"/>
        <v>0</v>
      </c>
      <c r="N145" s="251">
        <f t="shared" si="939"/>
        <v>0</v>
      </c>
      <c r="O145" s="251">
        <f t="shared" si="939"/>
        <v>0</v>
      </c>
      <c r="P145" s="251">
        <f t="shared" si="939"/>
        <v>0</v>
      </c>
      <c r="Q145" s="251">
        <f t="shared" si="939"/>
        <v>0</v>
      </c>
      <c r="R145" s="251">
        <f t="shared" si="939"/>
        <v>0</v>
      </c>
      <c r="S145" s="251">
        <f t="shared" si="939"/>
        <v>0</v>
      </c>
      <c r="T145" s="251">
        <f t="shared" ref="T145:AE145" si="940">+T144+S145-T11</f>
        <v>75000</v>
      </c>
      <c r="U145" s="251">
        <f t="shared" si="940"/>
        <v>75000</v>
      </c>
      <c r="V145" s="251">
        <f t="shared" si="940"/>
        <v>75000</v>
      </c>
      <c r="W145" s="251">
        <f t="shared" si="940"/>
        <v>47278.603846153848</v>
      </c>
      <c r="X145" s="251">
        <f t="shared" si="940"/>
        <v>45180.773076923077</v>
      </c>
      <c r="Y145" s="251">
        <f t="shared" si="940"/>
        <v>100277.25</v>
      </c>
      <c r="Z145" s="251">
        <f t="shared" si="940"/>
        <v>117568.78846153847</v>
      </c>
      <c r="AA145" s="251">
        <f t="shared" si="940"/>
        <v>75000.001538461453</v>
      </c>
      <c r="AB145" s="251">
        <f t="shared" si="940"/>
        <v>-12244.399282852872</v>
      </c>
      <c r="AC145" s="251">
        <f t="shared" si="940"/>
        <v>81990.120672458841</v>
      </c>
      <c r="AD145" s="251">
        <f t="shared" si="940"/>
        <v>54612.963972078724</v>
      </c>
      <c r="AE145" s="251">
        <f t="shared" si="940"/>
        <v>14765.999691278957</v>
      </c>
      <c r="AF145" s="251">
        <f t="shared" ref="AF145:AN145" si="941">+AF144+AE145-SUM(AF11:AF12)</f>
        <v>14765.999691278957</v>
      </c>
      <c r="AG145" s="251">
        <f t="shared" si="941"/>
        <v>14765.999691278957</v>
      </c>
      <c r="AH145" s="251">
        <f t="shared" si="941"/>
        <v>14765.999691278957</v>
      </c>
      <c r="AI145" s="251">
        <f t="shared" si="941"/>
        <v>-3.0872104252921417E-4</v>
      </c>
      <c r="AJ145" s="251">
        <f t="shared" si="941"/>
        <v>-3.0872104252921417E-4</v>
      </c>
      <c r="AK145" s="251">
        <f t="shared" si="941"/>
        <v>-3.0872104252921417E-4</v>
      </c>
      <c r="AL145" s="251">
        <f t="shared" si="941"/>
        <v>-3.0872104252921417E-4</v>
      </c>
      <c r="AM145" s="251">
        <f t="shared" si="941"/>
        <v>-26089.720308721044</v>
      </c>
      <c r="AN145" s="251">
        <f t="shared" si="941"/>
        <v>-26089.720308721044</v>
      </c>
      <c r="AO145" s="251">
        <f>+AO144+AN145-SUM(AO11:AO12)+AO111</f>
        <v>-3.0872104252921417E-4</v>
      </c>
      <c r="AP145" s="251">
        <f>+AP144+AO145-SUM(AP11:AP12)+AP111</f>
        <v>-3.0872104252921417E-4</v>
      </c>
      <c r="AQ145" s="251">
        <f>+AQ144+AP145-SUM(AQ11:AQ12)+AQ111</f>
        <v>4100.4996912789584</v>
      </c>
      <c r="AR145" s="251">
        <f>+AR144+AQ145-SUM(AR11:AR12)+AR111</f>
        <v>89999.999691278965</v>
      </c>
      <c r="AS145" s="252">
        <f>+AS144+AR145-SUM(AS11:AS12)+AS111</f>
        <v>-3.0872103525325656E-4</v>
      </c>
      <c r="AT145" s="251">
        <f t="shared" ref="AT145:DA145" si="942">+AT144+AS145-SUM(AT11:AT12)+AT111</f>
        <v>434.06987897784774</v>
      </c>
      <c r="AU145" s="251">
        <f t="shared" si="942"/>
        <v>2268.1400666767299</v>
      </c>
      <c r="AV145" s="251">
        <f t="shared" si="942"/>
        <v>1502.2102543756125</v>
      </c>
      <c r="AW145" s="251">
        <f t="shared" si="942"/>
        <v>1936.2804420744958</v>
      </c>
      <c r="AX145" s="251">
        <f t="shared" si="942"/>
        <v>128770.35062977338</v>
      </c>
      <c r="AY145" s="252">
        <f t="shared" si="942"/>
        <v>120470.70435452725</v>
      </c>
      <c r="AZ145" s="251">
        <f t="shared" si="942"/>
        <v>120695.40279255288</v>
      </c>
      <c r="BA145" s="251">
        <f t="shared" si="942"/>
        <v>81542.473461407848</v>
      </c>
      <c r="BB145" s="251">
        <f t="shared" si="942"/>
        <v>325213.72446723265</v>
      </c>
      <c r="BC145" s="251">
        <f t="shared" si="942"/>
        <v>456659.82271819859</v>
      </c>
      <c r="BD145" s="251">
        <f t="shared" si="942"/>
        <v>322635.75088932971</v>
      </c>
      <c r="BE145" s="251">
        <f t="shared" si="942"/>
        <v>99981.987274689629</v>
      </c>
      <c r="BF145" s="251">
        <f t="shared" si="942"/>
        <v>143810.93332329459</v>
      </c>
      <c r="BG145" s="251">
        <f t="shared" si="942"/>
        <v>120704.74733294298</v>
      </c>
      <c r="BH145" s="251">
        <f t="shared" si="942"/>
        <v>72012.433583104954</v>
      </c>
      <c r="BI145" s="251">
        <f t="shared" si="942"/>
        <v>19762.807199234205</v>
      </c>
      <c r="BJ145" s="251">
        <f t="shared" si="942"/>
        <v>242099.08795002973</v>
      </c>
      <c r="BK145" s="252">
        <f t="shared" si="942"/>
        <v>226077.37638455982</v>
      </c>
      <c r="BL145" s="251">
        <f t="shared" si="942"/>
        <v>226394.40646793207</v>
      </c>
      <c r="BM145" s="251">
        <f t="shared" si="942"/>
        <v>158757.91678833074</v>
      </c>
      <c r="BN145" s="251">
        <f t="shared" si="942"/>
        <v>577995.01728831767</v>
      </c>
      <c r="BO145" s="251">
        <f t="shared" si="942"/>
        <v>804012.85504994739</v>
      </c>
      <c r="BP145" s="251">
        <f t="shared" si="942"/>
        <v>573198.00027426099</v>
      </c>
      <c r="BQ145" s="251">
        <f t="shared" si="942"/>
        <v>190356.07562704824</v>
      </c>
      <c r="BR145" s="251">
        <f t="shared" si="942"/>
        <v>264925.81087777496</v>
      </c>
      <c r="BS145" s="251">
        <f t="shared" si="942"/>
        <v>221735.11902149627</v>
      </c>
      <c r="BT145" s="251">
        <f t="shared" si="942"/>
        <v>139424.28741890102</v>
      </c>
      <c r="BU145" s="251">
        <f t="shared" si="942"/>
        <v>48738.878085769429</v>
      </c>
      <c r="BV145" s="251">
        <f t="shared" si="942"/>
        <v>352909.22902426386</v>
      </c>
      <c r="BW145" s="252">
        <f t="shared" si="942"/>
        <v>331300.00911020802</v>
      </c>
      <c r="BX145" s="251">
        <f t="shared" si="942"/>
        <v>331361.50162123377</v>
      </c>
      <c r="BY145" s="251">
        <f t="shared" si="942"/>
        <v>236979.79259701667</v>
      </c>
      <c r="BZ145" s="251">
        <f t="shared" si="942"/>
        <v>812871.1491680484</v>
      </c>
      <c r="CA145" s="251">
        <f t="shared" si="942"/>
        <v>1122615.1452376135</v>
      </c>
      <c r="CB145" s="251">
        <f t="shared" si="942"/>
        <v>804337.53991876799</v>
      </c>
      <c r="CC145" s="251">
        <f t="shared" si="942"/>
        <v>279701.86198550259</v>
      </c>
      <c r="CD145" s="251">
        <f t="shared" si="942"/>
        <v>381644.97321452614</v>
      </c>
      <c r="CE145" s="251">
        <f t="shared" si="942"/>
        <v>320805.17283161217</v>
      </c>
      <c r="CF145" s="251">
        <f t="shared" si="942"/>
        <v>208526.11093631032</v>
      </c>
      <c r="CG145" s="251">
        <f t="shared" si="942"/>
        <v>83723.791224691187</v>
      </c>
      <c r="CH145" s="251">
        <f t="shared" si="942"/>
        <v>434728.21235088451</v>
      </c>
      <c r="CI145" s="252">
        <f t="shared" si="942"/>
        <v>409640.9246978673</v>
      </c>
      <c r="CJ145" s="251">
        <f t="shared" si="942"/>
        <v>409748.58303156635</v>
      </c>
      <c r="CK145" s="251">
        <f t="shared" si="942"/>
        <v>301125.09383312112</v>
      </c>
      <c r="CL145" s="251">
        <f t="shared" si="942"/>
        <v>964799.37515123398</v>
      </c>
      <c r="CM145" s="251">
        <f t="shared" si="942"/>
        <v>1321829.2409761308</v>
      </c>
      <c r="CN145" s="251">
        <f t="shared" si="942"/>
        <v>955156.24418387667</v>
      </c>
      <c r="CO145" s="251">
        <f t="shared" si="942"/>
        <v>350426.4857343249</v>
      </c>
      <c r="CP145" s="251">
        <f t="shared" si="942"/>
        <v>468391.09684595768</v>
      </c>
      <c r="CQ145" s="251">
        <f t="shared" si="942"/>
        <v>400260.14881162852</v>
      </c>
      <c r="CR145" s="251">
        <f t="shared" si="942"/>
        <v>270022.93327149638</v>
      </c>
      <c r="CS145" s="251">
        <f t="shared" si="942"/>
        <v>126653.82736679516</v>
      </c>
      <c r="CT145" s="251">
        <f t="shared" si="942"/>
        <v>591326.38886838628</v>
      </c>
      <c r="CU145" s="252">
        <f t="shared" si="942"/>
        <v>558077.57110337529</v>
      </c>
      <c r="CV145" s="251">
        <f t="shared" si="942"/>
        <v>557671.08895471075</v>
      </c>
      <c r="CW145" s="251">
        <f t="shared" si="942"/>
        <v>411585.1468370317</v>
      </c>
      <c r="CX145" s="251">
        <f t="shared" si="942"/>
        <v>1290946.2539324441</v>
      </c>
      <c r="CY145" s="251">
        <f t="shared" si="942"/>
        <v>1762936.8111103652</v>
      </c>
      <c r="CZ145" s="251">
        <f t="shared" si="942"/>
        <v>1275314.7560008802</v>
      </c>
      <c r="DA145" s="251">
        <f t="shared" si="942"/>
        <v>475905.810462619</v>
      </c>
      <c r="DB145" s="251">
        <f t="shared" ref="DB145:DG145" si="943">+DB144+DA145-SUM(DB11:DB12)+DB111</f>
        <v>631346.0372240229</v>
      </c>
      <c r="DC145" s="251">
        <f t="shared" si="943"/>
        <v>538259.78864518309</v>
      </c>
      <c r="DD145" s="251">
        <f t="shared" si="943"/>
        <v>367103.48013219237</v>
      </c>
      <c r="DE145" s="251">
        <f t="shared" si="943"/>
        <v>176660.84613668371</v>
      </c>
      <c r="DF145" s="251">
        <f t="shared" si="943"/>
        <v>683167.47782597365</v>
      </c>
      <c r="DG145" s="251">
        <f t="shared" si="943"/>
        <v>646741.94098051905</v>
      </c>
    </row>
    <row r="146" spans="1:111" s="39" customFormat="1" x14ac:dyDescent="0.25">
      <c r="AS146" s="157"/>
      <c r="AY146" s="157"/>
      <c r="BK146" s="157"/>
      <c r="BW146" s="157"/>
      <c r="CI146" s="157"/>
      <c r="CU146" s="157"/>
    </row>
    <row r="147" spans="1:111" s="15" customFormat="1" hidden="1" x14ac:dyDescent="0.25">
      <c r="A147"/>
      <c r="B147" s="1" t="s">
        <v>258</v>
      </c>
      <c r="C147" s="1"/>
      <c r="D147" s="2"/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91">
        <v>0</v>
      </c>
      <c r="K147" s="91">
        <v>0</v>
      </c>
      <c r="L147" s="91">
        <v>0</v>
      </c>
      <c r="M147" s="91">
        <v>0</v>
      </c>
      <c r="N147" s="91">
        <v>0</v>
      </c>
      <c r="O147" s="91">
        <v>0</v>
      </c>
      <c r="P147" s="91">
        <v>0</v>
      </c>
      <c r="Q147" s="91">
        <v>0</v>
      </c>
      <c r="R147" s="91">
        <v>0</v>
      </c>
      <c r="S147" s="91">
        <v>0</v>
      </c>
      <c r="T147" s="91">
        <v>0</v>
      </c>
      <c r="U147" s="91">
        <v>0</v>
      </c>
      <c r="V147" s="91">
        <v>0</v>
      </c>
      <c r="W147" s="91">
        <v>0</v>
      </c>
      <c r="X147" s="91">
        <v>0</v>
      </c>
      <c r="Y147" s="91">
        <v>0</v>
      </c>
      <c r="Z147" s="91">
        <v>0</v>
      </c>
      <c r="AA147" s="91">
        <v>0</v>
      </c>
      <c r="AB147" s="91">
        <v>0</v>
      </c>
      <c r="AC147" s="91">
        <v>0</v>
      </c>
      <c r="AD147" s="91">
        <v>0</v>
      </c>
      <c r="AE147" s="91">
        <v>0</v>
      </c>
      <c r="AF147" s="91">
        <v>0</v>
      </c>
      <c r="AG147" s="91">
        <v>0</v>
      </c>
      <c r="AH147" s="91">
        <v>0</v>
      </c>
      <c r="AI147" s="91">
        <v>0</v>
      </c>
      <c r="AJ147" s="91">
        <v>0</v>
      </c>
      <c r="AK147" s="91">
        <v>0</v>
      </c>
      <c r="AL147" s="91">
        <v>0</v>
      </c>
      <c r="AM147" s="91">
        <v>0</v>
      </c>
      <c r="AN147" s="91">
        <v>0</v>
      </c>
      <c r="AO147" s="91">
        <v>0</v>
      </c>
      <c r="AP147" s="91">
        <v>0</v>
      </c>
      <c r="AQ147" s="91">
        <v>0</v>
      </c>
      <c r="AR147" s="91">
        <v>0</v>
      </c>
      <c r="AS147" s="766">
        <v>0</v>
      </c>
      <c r="AT147" s="9"/>
      <c r="AU147" s="9"/>
      <c r="AV147" s="9"/>
      <c r="AW147" s="9"/>
      <c r="AX147" s="9"/>
      <c r="AY147" s="164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164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164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164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164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</row>
    <row r="148" spans="1:111" s="15" customFormat="1" hidden="1" x14ac:dyDescent="0.25">
      <c r="A148"/>
      <c r="B148" s="1" t="s">
        <v>259</v>
      </c>
      <c r="C148" s="1"/>
      <c r="D148" s="2"/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91">
        <v>0</v>
      </c>
      <c r="K148" s="91">
        <v>0</v>
      </c>
      <c r="L148" s="91">
        <v>0</v>
      </c>
      <c r="M148" s="91">
        <v>0</v>
      </c>
      <c r="N148" s="91">
        <v>0</v>
      </c>
      <c r="O148" s="91">
        <v>0</v>
      </c>
      <c r="P148" s="91">
        <v>0</v>
      </c>
      <c r="Q148" s="91">
        <v>0</v>
      </c>
      <c r="R148" s="91">
        <v>0</v>
      </c>
      <c r="S148" s="91">
        <v>0</v>
      </c>
      <c r="T148" s="91">
        <v>0</v>
      </c>
      <c r="U148" s="91">
        <v>0</v>
      </c>
      <c r="V148" s="91">
        <v>0</v>
      </c>
      <c r="W148" s="91">
        <v>0</v>
      </c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766">
        <v>0</v>
      </c>
      <c r="AT148" s="9"/>
      <c r="AU148" s="9"/>
      <c r="AV148" s="9"/>
      <c r="AW148" s="9"/>
      <c r="AX148" s="9"/>
      <c r="AY148" s="164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164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164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164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164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</row>
    <row r="149" spans="1:111" s="15" customFormat="1" hidden="1" x14ac:dyDescent="0.25">
      <c r="A149"/>
      <c r="B149" s="1" t="s">
        <v>260</v>
      </c>
      <c r="C149" s="1"/>
      <c r="D149" s="2"/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91">
        <v>0</v>
      </c>
      <c r="K149" s="91">
        <v>0</v>
      </c>
      <c r="L149" s="91">
        <v>0</v>
      </c>
      <c r="M149" s="91">
        <v>0</v>
      </c>
      <c r="N149" s="91">
        <v>0</v>
      </c>
      <c r="O149" s="91">
        <v>0</v>
      </c>
      <c r="P149" s="91">
        <v>0</v>
      </c>
      <c r="Q149" s="91">
        <v>0</v>
      </c>
      <c r="R149" s="91">
        <v>0</v>
      </c>
      <c r="S149" s="91">
        <v>0</v>
      </c>
      <c r="T149" s="91">
        <v>0</v>
      </c>
      <c r="U149" s="91">
        <v>0</v>
      </c>
      <c r="V149" s="91">
        <v>0</v>
      </c>
      <c r="W149" s="91">
        <v>0</v>
      </c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766">
        <v>0</v>
      </c>
      <c r="AT149" s="9"/>
      <c r="AU149" s="9"/>
      <c r="AV149" s="9"/>
      <c r="AW149" s="9"/>
      <c r="AX149" s="9"/>
      <c r="AY149" s="164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164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164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164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164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</row>
    <row r="150" spans="1:111" s="15" customFormat="1" hidden="1" x14ac:dyDescent="0.25">
      <c r="A150"/>
      <c r="B150" s="1" t="s">
        <v>261</v>
      </c>
      <c r="C150" s="1"/>
      <c r="D150" s="2"/>
      <c r="E150" s="2"/>
      <c r="F150" s="2"/>
      <c r="G150" s="2"/>
      <c r="H150" s="2"/>
      <c r="I150" s="2"/>
      <c r="J150" s="91"/>
      <c r="K150" s="91"/>
      <c r="L150" s="91"/>
      <c r="M150" s="91"/>
      <c r="N150" s="91"/>
      <c r="O150" s="91"/>
      <c r="P150" s="91">
        <v>0</v>
      </c>
      <c r="Q150" s="91">
        <v>0</v>
      </c>
      <c r="R150" s="91">
        <v>0</v>
      </c>
      <c r="S150" s="91">
        <v>0</v>
      </c>
      <c r="T150" s="91">
        <v>0</v>
      </c>
      <c r="U150" s="91">
        <v>0</v>
      </c>
      <c r="V150" s="91">
        <v>0</v>
      </c>
      <c r="W150" s="91">
        <v>0</v>
      </c>
      <c r="X150" s="91">
        <v>0</v>
      </c>
      <c r="Y150" s="91">
        <v>0</v>
      </c>
      <c r="Z150" s="91">
        <v>0</v>
      </c>
      <c r="AA150" s="91">
        <v>0</v>
      </c>
      <c r="AB150" s="91">
        <v>0</v>
      </c>
      <c r="AC150" s="91">
        <v>0</v>
      </c>
      <c r="AD150" s="91">
        <v>0</v>
      </c>
      <c r="AE150" s="91">
        <v>0</v>
      </c>
      <c r="AF150" s="91">
        <v>0</v>
      </c>
      <c r="AG150" s="91">
        <v>0</v>
      </c>
      <c r="AH150" s="91">
        <v>0</v>
      </c>
      <c r="AI150" s="91">
        <v>0</v>
      </c>
      <c r="AJ150" s="91">
        <v>0</v>
      </c>
      <c r="AK150" s="91">
        <v>0</v>
      </c>
      <c r="AL150" s="91">
        <v>0</v>
      </c>
      <c r="AM150" s="91">
        <v>0</v>
      </c>
      <c r="AN150" s="91">
        <v>0</v>
      </c>
      <c r="AO150" s="91">
        <v>0</v>
      </c>
      <c r="AP150" s="91">
        <v>0</v>
      </c>
      <c r="AQ150" s="91">
        <v>0</v>
      </c>
      <c r="AR150" s="91">
        <v>0</v>
      </c>
      <c r="AS150" s="766">
        <f t="shared" ref="AS150" si="944">+AR150</f>
        <v>0</v>
      </c>
      <c r="AT150" s="9"/>
      <c r="AU150" s="9"/>
      <c r="AV150" s="9"/>
      <c r="AW150" s="9"/>
      <c r="AX150" s="9"/>
      <c r="AY150" s="164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164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164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164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164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</row>
    <row r="151" spans="1:111" s="15" customFormat="1" x14ac:dyDescent="0.25">
      <c r="A151"/>
      <c r="B151" s="1" t="s">
        <v>561</v>
      </c>
      <c r="C151" s="1"/>
      <c r="D151" s="2"/>
      <c r="E151" s="2"/>
      <c r="F151" s="2"/>
      <c r="G151" s="2"/>
      <c r="H151" s="2"/>
      <c r="I151" s="2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>
        <v>9668</v>
      </c>
      <c r="AP151" s="91"/>
      <c r="AQ151" s="91"/>
      <c r="AR151" s="91"/>
      <c r="AS151" s="155">
        <v>16942.54</v>
      </c>
      <c r="AT151" s="194"/>
      <c r="AU151" s="9"/>
      <c r="AV151" s="9"/>
      <c r="AW151" s="9"/>
      <c r="AX151" s="9"/>
      <c r="AY151" s="164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164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164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164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164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</row>
    <row r="152" spans="1:111" s="15" customFormat="1" x14ac:dyDescent="0.25">
      <c r="A152"/>
      <c r="B152" s="1" t="s">
        <v>553</v>
      </c>
      <c r="C152" s="1"/>
      <c r="D152" s="2"/>
      <c r="E152" s="2"/>
      <c r="F152" s="2"/>
      <c r="G152" s="2"/>
      <c r="H152" s="2"/>
      <c r="I152" s="2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155"/>
      <c r="AT152" s="194"/>
      <c r="AU152" s="9"/>
      <c r="AV152" s="9"/>
      <c r="AW152" s="9"/>
      <c r="AX152" s="9"/>
      <c r="AY152" s="164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164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164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164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164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</row>
    <row r="153" spans="1:111" s="15" customFormat="1" x14ac:dyDescent="0.25">
      <c r="A153"/>
      <c r="B153" s="1" t="s">
        <v>554</v>
      </c>
      <c r="C153" s="1"/>
      <c r="D153" s="2"/>
      <c r="E153" s="2"/>
      <c r="F153" s="2"/>
      <c r="G153" s="2"/>
      <c r="H153" s="2"/>
      <c r="I153" s="2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>
        <v>2631.37</v>
      </c>
      <c r="AO153" s="91">
        <v>0</v>
      </c>
      <c r="AP153" s="91">
        <v>3000</v>
      </c>
      <c r="AQ153" s="91">
        <v>3000</v>
      </c>
      <c r="AR153" s="91">
        <v>3000</v>
      </c>
      <c r="AS153" s="155">
        <v>6000</v>
      </c>
      <c r="AT153" s="194">
        <v>0</v>
      </c>
      <c r="AU153" s="9">
        <f t="shared" ref="AU153:DB153" si="945">+AT153</f>
        <v>0</v>
      </c>
      <c r="AV153" s="9">
        <f t="shared" si="945"/>
        <v>0</v>
      </c>
      <c r="AW153" s="9">
        <f t="shared" si="945"/>
        <v>0</v>
      </c>
      <c r="AX153" s="9">
        <f t="shared" si="945"/>
        <v>0</v>
      </c>
      <c r="AY153" s="164">
        <f t="shared" si="945"/>
        <v>0</v>
      </c>
      <c r="AZ153" s="9">
        <f t="shared" si="945"/>
        <v>0</v>
      </c>
      <c r="BA153" s="9">
        <f t="shared" si="945"/>
        <v>0</v>
      </c>
      <c r="BB153" s="9">
        <f t="shared" si="945"/>
        <v>0</v>
      </c>
      <c r="BC153" s="9">
        <f t="shared" si="945"/>
        <v>0</v>
      </c>
      <c r="BD153" s="9">
        <f t="shared" si="945"/>
        <v>0</v>
      </c>
      <c r="BE153" s="9">
        <f t="shared" si="945"/>
        <v>0</v>
      </c>
      <c r="BF153" s="9">
        <f t="shared" si="945"/>
        <v>0</v>
      </c>
      <c r="BG153" s="9">
        <f t="shared" si="945"/>
        <v>0</v>
      </c>
      <c r="BH153" s="9">
        <f t="shared" si="945"/>
        <v>0</v>
      </c>
      <c r="BI153" s="9">
        <f t="shared" si="945"/>
        <v>0</v>
      </c>
      <c r="BJ153" s="9">
        <f t="shared" si="945"/>
        <v>0</v>
      </c>
      <c r="BK153" s="164">
        <f t="shared" si="945"/>
        <v>0</v>
      </c>
      <c r="BL153" s="9">
        <f t="shared" si="945"/>
        <v>0</v>
      </c>
      <c r="BM153" s="9">
        <f t="shared" si="945"/>
        <v>0</v>
      </c>
      <c r="BN153" s="9">
        <f t="shared" si="945"/>
        <v>0</v>
      </c>
      <c r="BO153" s="9">
        <f t="shared" si="945"/>
        <v>0</v>
      </c>
      <c r="BP153" s="9">
        <f t="shared" si="945"/>
        <v>0</v>
      </c>
      <c r="BQ153" s="9">
        <f t="shared" si="945"/>
        <v>0</v>
      </c>
      <c r="BR153" s="9">
        <f t="shared" si="945"/>
        <v>0</v>
      </c>
      <c r="BS153" s="9">
        <f t="shared" si="945"/>
        <v>0</v>
      </c>
      <c r="BT153" s="9">
        <f t="shared" si="945"/>
        <v>0</v>
      </c>
      <c r="BU153" s="9">
        <f t="shared" si="945"/>
        <v>0</v>
      </c>
      <c r="BV153" s="9">
        <f t="shared" si="945"/>
        <v>0</v>
      </c>
      <c r="BW153" s="164">
        <f t="shared" si="945"/>
        <v>0</v>
      </c>
      <c r="BX153" s="9">
        <f t="shared" si="945"/>
        <v>0</v>
      </c>
      <c r="BY153" s="9">
        <f t="shared" si="945"/>
        <v>0</v>
      </c>
      <c r="BZ153" s="9">
        <f t="shared" si="945"/>
        <v>0</v>
      </c>
      <c r="CA153" s="9">
        <f t="shared" si="945"/>
        <v>0</v>
      </c>
      <c r="CB153" s="9">
        <f t="shared" si="945"/>
        <v>0</v>
      </c>
      <c r="CC153" s="9">
        <f t="shared" si="945"/>
        <v>0</v>
      </c>
      <c r="CD153" s="9">
        <f t="shared" si="945"/>
        <v>0</v>
      </c>
      <c r="CE153" s="9">
        <f t="shared" si="945"/>
        <v>0</v>
      </c>
      <c r="CF153" s="9">
        <f t="shared" si="945"/>
        <v>0</v>
      </c>
      <c r="CG153" s="9">
        <f t="shared" si="945"/>
        <v>0</v>
      </c>
      <c r="CH153" s="9">
        <f t="shared" si="945"/>
        <v>0</v>
      </c>
      <c r="CI153" s="164">
        <f t="shared" si="945"/>
        <v>0</v>
      </c>
      <c r="CJ153" s="9">
        <f t="shared" si="945"/>
        <v>0</v>
      </c>
      <c r="CK153" s="9">
        <f t="shared" si="945"/>
        <v>0</v>
      </c>
      <c r="CL153" s="9">
        <f t="shared" si="945"/>
        <v>0</v>
      </c>
      <c r="CM153" s="9">
        <f t="shared" si="945"/>
        <v>0</v>
      </c>
      <c r="CN153" s="9">
        <f t="shared" si="945"/>
        <v>0</v>
      </c>
      <c r="CO153" s="9">
        <f t="shared" si="945"/>
        <v>0</v>
      </c>
      <c r="CP153" s="9">
        <f t="shared" si="945"/>
        <v>0</v>
      </c>
      <c r="CQ153" s="9">
        <f t="shared" si="945"/>
        <v>0</v>
      </c>
      <c r="CR153" s="9">
        <f t="shared" si="945"/>
        <v>0</v>
      </c>
      <c r="CS153" s="9">
        <f t="shared" si="945"/>
        <v>0</v>
      </c>
      <c r="CT153" s="9">
        <f t="shared" si="945"/>
        <v>0</v>
      </c>
      <c r="CU153" s="164">
        <f t="shared" si="945"/>
        <v>0</v>
      </c>
      <c r="CV153" s="9">
        <f t="shared" si="945"/>
        <v>0</v>
      </c>
      <c r="CW153" s="9">
        <f t="shared" si="945"/>
        <v>0</v>
      </c>
      <c r="CX153" s="9">
        <f t="shared" si="945"/>
        <v>0</v>
      </c>
      <c r="CY153" s="9">
        <f t="shared" si="945"/>
        <v>0</v>
      </c>
      <c r="CZ153" s="9">
        <f t="shared" si="945"/>
        <v>0</v>
      </c>
      <c r="DA153" s="9">
        <f t="shared" si="945"/>
        <v>0</v>
      </c>
      <c r="DB153" s="9">
        <f t="shared" si="945"/>
        <v>0</v>
      </c>
      <c r="DC153" s="9">
        <f t="shared" ref="DC153:DG153" si="946">+DB153</f>
        <v>0</v>
      </c>
      <c r="DD153" s="9">
        <f t="shared" si="946"/>
        <v>0</v>
      </c>
      <c r="DE153" s="9">
        <f t="shared" si="946"/>
        <v>0</v>
      </c>
      <c r="DF153" s="9">
        <f t="shared" si="946"/>
        <v>0</v>
      </c>
      <c r="DG153" s="9">
        <f t="shared" si="946"/>
        <v>0</v>
      </c>
    </row>
    <row r="154" spans="1:111" s="15" customFormat="1" x14ac:dyDescent="0.25">
      <c r="A154"/>
      <c r="B154" s="1" t="s">
        <v>555</v>
      </c>
      <c r="C154" s="1"/>
      <c r="D154" s="2"/>
      <c r="E154" s="2"/>
      <c r="F154" s="2"/>
      <c r="G154" s="2"/>
      <c r="H154" s="2"/>
      <c r="I154" s="2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>
        <v>692.63</v>
      </c>
      <c r="AO154" s="91">
        <v>0</v>
      </c>
      <c r="AP154" s="91">
        <v>324</v>
      </c>
      <c r="AQ154" s="91">
        <v>324</v>
      </c>
      <c r="AR154" s="91">
        <v>324</v>
      </c>
      <c r="AS154" s="155">
        <v>642</v>
      </c>
      <c r="AT154" s="194">
        <v>0</v>
      </c>
      <c r="AU154" s="9">
        <f t="shared" ref="AU154:DB154" si="947">+AT154</f>
        <v>0</v>
      </c>
      <c r="AV154" s="9">
        <f t="shared" si="947"/>
        <v>0</v>
      </c>
      <c r="AW154" s="9">
        <f t="shared" si="947"/>
        <v>0</v>
      </c>
      <c r="AX154" s="9">
        <f t="shared" si="947"/>
        <v>0</v>
      </c>
      <c r="AY154" s="164">
        <f t="shared" si="947"/>
        <v>0</v>
      </c>
      <c r="AZ154" s="9">
        <f t="shared" si="947"/>
        <v>0</v>
      </c>
      <c r="BA154" s="9">
        <f t="shared" si="947"/>
        <v>0</v>
      </c>
      <c r="BB154" s="9">
        <f t="shared" si="947"/>
        <v>0</v>
      </c>
      <c r="BC154" s="9">
        <f t="shared" si="947"/>
        <v>0</v>
      </c>
      <c r="BD154" s="9">
        <f t="shared" si="947"/>
        <v>0</v>
      </c>
      <c r="BE154" s="9">
        <f t="shared" si="947"/>
        <v>0</v>
      </c>
      <c r="BF154" s="9">
        <f t="shared" si="947"/>
        <v>0</v>
      </c>
      <c r="BG154" s="9">
        <f t="shared" si="947"/>
        <v>0</v>
      </c>
      <c r="BH154" s="9">
        <f t="shared" si="947"/>
        <v>0</v>
      </c>
      <c r="BI154" s="9">
        <f t="shared" si="947"/>
        <v>0</v>
      </c>
      <c r="BJ154" s="9">
        <f t="shared" si="947"/>
        <v>0</v>
      </c>
      <c r="BK154" s="164">
        <f t="shared" si="947"/>
        <v>0</v>
      </c>
      <c r="BL154" s="9">
        <f t="shared" si="947"/>
        <v>0</v>
      </c>
      <c r="BM154" s="9">
        <f t="shared" si="947"/>
        <v>0</v>
      </c>
      <c r="BN154" s="9">
        <f t="shared" si="947"/>
        <v>0</v>
      </c>
      <c r="BO154" s="9">
        <f t="shared" si="947"/>
        <v>0</v>
      </c>
      <c r="BP154" s="9">
        <f t="shared" si="947"/>
        <v>0</v>
      </c>
      <c r="BQ154" s="9">
        <f t="shared" si="947"/>
        <v>0</v>
      </c>
      <c r="BR154" s="9">
        <f t="shared" si="947"/>
        <v>0</v>
      </c>
      <c r="BS154" s="9">
        <f t="shared" si="947"/>
        <v>0</v>
      </c>
      <c r="BT154" s="9">
        <f t="shared" si="947"/>
        <v>0</v>
      </c>
      <c r="BU154" s="9">
        <f t="shared" si="947"/>
        <v>0</v>
      </c>
      <c r="BV154" s="9">
        <f t="shared" si="947"/>
        <v>0</v>
      </c>
      <c r="BW154" s="164">
        <f t="shared" si="947"/>
        <v>0</v>
      </c>
      <c r="BX154" s="9">
        <f t="shared" si="947"/>
        <v>0</v>
      </c>
      <c r="BY154" s="9">
        <f t="shared" si="947"/>
        <v>0</v>
      </c>
      <c r="BZ154" s="9">
        <f t="shared" si="947"/>
        <v>0</v>
      </c>
      <c r="CA154" s="9">
        <f t="shared" si="947"/>
        <v>0</v>
      </c>
      <c r="CB154" s="9">
        <f t="shared" si="947"/>
        <v>0</v>
      </c>
      <c r="CC154" s="9">
        <f t="shared" si="947"/>
        <v>0</v>
      </c>
      <c r="CD154" s="9">
        <f t="shared" si="947"/>
        <v>0</v>
      </c>
      <c r="CE154" s="9">
        <f t="shared" si="947"/>
        <v>0</v>
      </c>
      <c r="CF154" s="9">
        <f t="shared" si="947"/>
        <v>0</v>
      </c>
      <c r="CG154" s="9">
        <f t="shared" si="947"/>
        <v>0</v>
      </c>
      <c r="CH154" s="9">
        <f t="shared" si="947"/>
        <v>0</v>
      </c>
      <c r="CI154" s="164">
        <f t="shared" si="947"/>
        <v>0</v>
      </c>
      <c r="CJ154" s="9">
        <f t="shared" si="947"/>
        <v>0</v>
      </c>
      <c r="CK154" s="9">
        <f t="shared" si="947"/>
        <v>0</v>
      </c>
      <c r="CL154" s="9">
        <f t="shared" si="947"/>
        <v>0</v>
      </c>
      <c r="CM154" s="9">
        <f t="shared" si="947"/>
        <v>0</v>
      </c>
      <c r="CN154" s="9">
        <f t="shared" si="947"/>
        <v>0</v>
      </c>
      <c r="CO154" s="9">
        <f t="shared" si="947"/>
        <v>0</v>
      </c>
      <c r="CP154" s="9">
        <f t="shared" si="947"/>
        <v>0</v>
      </c>
      <c r="CQ154" s="9">
        <f t="shared" si="947"/>
        <v>0</v>
      </c>
      <c r="CR154" s="9">
        <f t="shared" si="947"/>
        <v>0</v>
      </c>
      <c r="CS154" s="9">
        <f t="shared" si="947"/>
        <v>0</v>
      </c>
      <c r="CT154" s="9">
        <f t="shared" si="947"/>
        <v>0</v>
      </c>
      <c r="CU154" s="164">
        <f t="shared" si="947"/>
        <v>0</v>
      </c>
      <c r="CV154" s="9">
        <f t="shared" si="947"/>
        <v>0</v>
      </c>
      <c r="CW154" s="9">
        <f t="shared" si="947"/>
        <v>0</v>
      </c>
      <c r="CX154" s="9">
        <f t="shared" si="947"/>
        <v>0</v>
      </c>
      <c r="CY154" s="9">
        <f t="shared" si="947"/>
        <v>0</v>
      </c>
      <c r="CZ154" s="9">
        <f t="shared" si="947"/>
        <v>0</v>
      </c>
      <c r="DA154" s="9">
        <f t="shared" si="947"/>
        <v>0</v>
      </c>
      <c r="DB154" s="9">
        <f t="shared" si="947"/>
        <v>0</v>
      </c>
      <c r="DC154" s="9">
        <f t="shared" ref="DC154:DG154" si="948">+DB154</f>
        <v>0</v>
      </c>
      <c r="DD154" s="9">
        <f t="shared" si="948"/>
        <v>0</v>
      </c>
      <c r="DE154" s="9">
        <f t="shared" si="948"/>
        <v>0</v>
      </c>
      <c r="DF154" s="9">
        <f t="shared" si="948"/>
        <v>0</v>
      </c>
      <c r="DG154" s="9">
        <f t="shared" si="948"/>
        <v>0</v>
      </c>
    </row>
    <row r="155" spans="1:111" s="15" customFormat="1" x14ac:dyDescent="0.25">
      <c r="A155"/>
      <c r="B155" s="1" t="s">
        <v>567</v>
      </c>
      <c r="C155" s="1"/>
      <c r="D155" s="2"/>
      <c r="E155" s="2"/>
      <c r="F155" s="2"/>
      <c r="G155" s="2"/>
      <c r="H155" s="2"/>
      <c r="I155" s="2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>
        <v>103.6</v>
      </c>
      <c r="AQ155" s="91"/>
      <c r="AR155" s="91"/>
      <c r="AS155" s="155"/>
      <c r="AT155" s="194"/>
      <c r="AU155" s="9"/>
      <c r="AV155" s="9"/>
      <c r="AW155" s="9"/>
      <c r="AX155" s="9"/>
      <c r="AY155" s="164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164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164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164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164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</row>
    <row r="156" spans="1:111" s="37" customFormat="1" x14ac:dyDescent="0.25">
      <c r="B156" s="37" t="s">
        <v>556</v>
      </c>
      <c r="AN156" s="37">
        <f>SUM(AN153:AN154)</f>
        <v>3324</v>
      </c>
      <c r="AO156" s="37">
        <f>SUM(AO153:AO154)</f>
        <v>0</v>
      </c>
      <c r="AP156" s="37">
        <f>SUM(AP153:AP155)</f>
        <v>3427.6</v>
      </c>
      <c r="AQ156" s="37">
        <f t="shared" ref="AQ156:BV156" si="949">SUM(AQ153:AQ154)</f>
        <v>3324</v>
      </c>
      <c r="AR156" s="37">
        <f t="shared" ref="AR156:AS156" si="950">SUM(AR153:AR154)</f>
        <v>3324</v>
      </c>
      <c r="AS156" s="156">
        <f t="shared" si="950"/>
        <v>6642</v>
      </c>
      <c r="AT156" s="37">
        <f t="shared" ref="AT156" si="951">SUM(AT153:AT154)</f>
        <v>0</v>
      </c>
      <c r="AU156" s="37">
        <f t="shared" si="949"/>
        <v>0</v>
      </c>
      <c r="AV156" s="37">
        <f t="shared" si="949"/>
        <v>0</v>
      </c>
      <c r="AW156" s="37">
        <f t="shared" si="949"/>
        <v>0</v>
      </c>
      <c r="AX156" s="37">
        <f t="shared" si="949"/>
        <v>0</v>
      </c>
      <c r="AY156" s="156">
        <f t="shared" si="949"/>
        <v>0</v>
      </c>
      <c r="AZ156" s="37">
        <f t="shared" si="949"/>
        <v>0</v>
      </c>
      <c r="BA156" s="37">
        <f t="shared" si="949"/>
        <v>0</v>
      </c>
      <c r="BB156" s="37">
        <f t="shared" si="949"/>
        <v>0</v>
      </c>
      <c r="BC156" s="37">
        <f t="shared" si="949"/>
        <v>0</v>
      </c>
      <c r="BD156" s="37">
        <f t="shared" si="949"/>
        <v>0</v>
      </c>
      <c r="BE156" s="37">
        <f t="shared" si="949"/>
        <v>0</v>
      </c>
      <c r="BF156" s="37">
        <f t="shared" si="949"/>
        <v>0</v>
      </c>
      <c r="BG156" s="37">
        <f t="shared" si="949"/>
        <v>0</v>
      </c>
      <c r="BH156" s="37">
        <f t="shared" si="949"/>
        <v>0</v>
      </c>
      <c r="BI156" s="37">
        <f t="shared" si="949"/>
        <v>0</v>
      </c>
      <c r="BJ156" s="37">
        <f t="shared" si="949"/>
        <v>0</v>
      </c>
      <c r="BK156" s="156">
        <f t="shared" si="949"/>
        <v>0</v>
      </c>
      <c r="BL156" s="37">
        <f t="shared" si="949"/>
        <v>0</v>
      </c>
      <c r="BM156" s="37">
        <f t="shared" si="949"/>
        <v>0</v>
      </c>
      <c r="BN156" s="37">
        <f t="shared" si="949"/>
        <v>0</v>
      </c>
      <c r="BO156" s="37">
        <f t="shared" si="949"/>
        <v>0</v>
      </c>
      <c r="BP156" s="37">
        <f t="shared" si="949"/>
        <v>0</v>
      </c>
      <c r="BQ156" s="37">
        <f t="shared" si="949"/>
        <v>0</v>
      </c>
      <c r="BR156" s="37">
        <f t="shared" si="949"/>
        <v>0</v>
      </c>
      <c r="BS156" s="37">
        <f t="shared" si="949"/>
        <v>0</v>
      </c>
      <c r="BT156" s="37">
        <f t="shared" si="949"/>
        <v>0</v>
      </c>
      <c r="BU156" s="37">
        <f t="shared" si="949"/>
        <v>0</v>
      </c>
      <c r="BV156" s="37">
        <f t="shared" si="949"/>
        <v>0</v>
      </c>
      <c r="BW156" s="156">
        <f t="shared" ref="BW156:DB156" si="952">SUM(BW153:BW154)</f>
        <v>0</v>
      </c>
      <c r="BX156" s="37">
        <f t="shared" si="952"/>
        <v>0</v>
      </c>
      <c r="BY156" s="37">
        <f t="shared" si="952"/>
        <v>0</v>
      </c>
      <c r="BZ156" s="37">
        <f t="shared" si="952"/>
        <v>0</v>
      </c>
      <c r="CA156" s="37">
        <f t="shared" si="952"/>
        <v>0</v>
      </c>
      <c r="CB156" s="37">
        <f t="shared" si="952"/>
        <v>0</v>
      </c>
      <c r="CC156" s="37">
        <f t="shared" si="952"/>
        <v>0</v>
      </c>
      <c r="CD156" s="37">
        <f t="shared" si="952"/>
        <v>0</v>
      </c>
      <c r="CE156" s="37">
        <f t="shared" si="952"/>
        <v>0</v>
      </c>
      <c r="CF156" s="37">
        <f t="shared" si="952"/>
        <v>0</v>
      </c>
      <c r="CG156" s="37">
        <f t="shared" si="952"/>
        <v>0</v>
      </c>
      <c r="CH156" s="37">
        <f t="shared" si="952"/>
        <v>0</v>
      </c>
      <c r="CI156" s="156">
        <f t="shared" si="952"/>
        <v>0</v>
      </c>
      <c r="CJ156" s="37">
        <f t="shared" si="952"/>
        <v>0</v>
      </c>
      <c r="CK156" s="37">
        <f t="shared" si="952"/>
        <v>0</v>
      </c>
      <c r="CL156" s="37">
        <f t="shared" si="952"/>
        <v>0</v>
      </c>
      <c r="CM156" s="37">
        <f t="shared" si="952"/>
        <v>0</v>
      </c>
      <c r="CN156" s="37">
        <f t="shared" si="952"/>
        <v>0</v>
      </c>
      <c r="CO156" s="37">
        <f t="shared" si="952"/>
        <v>0</v>
      </c>
      <c r="CP156" s="37">
        <f t="shared" si="952"/>
        <v>0</v>
      </c>
      <c r="CQ156" s="37">
        <f t="shared" si="952"/>
        <v>0</v>
      </c>
      <c r="CR156" s="37">
        <f t="shared" si="952"/>
        <v>0</v>
      </c>
      <c r="CS156" s="37">
        <f t="shared" si="952"/>
        <v>0</v>
      </c>
      <c r="CT156" s="37">
        <f t="shared" si="952"/>
        <v>0</v>
      </c>
      <c r="CU156" s="156">
        <f t="shared" si="952"/>
        <v>0</v>
      </c>
      <c r="CV156" s="37">
        <f t="shared" si="952"/>
        <v>0</v>
      </c>
      <c r="CW156" s="37">
        <f t="shared" si="952"/>
        <v>0</v>
      </c>
      <c r="CX156" s="37">
        <f t="shared" si="952"/>
        <v>0</v>
      </c>
      <c r="CY156" s="37">
        <f t="shared" si="952"/>
        <v>0</v>
      </c>
      <c r="CZ156" s="37">
        <f t="shared" si="952"/>
        <v>0</v>
      </c>
      <c r="DA156" s="37">
        <f t="shared" si="952"/>
        <v>0</v>
      </c>
      <c r="DB156" s="37">
        <f t="shared" si="952"/>
        <v>0</v>
      </c>
      <c r="DC156" s="37">
        <f t="shared" ref="DC156:DG156" si="953">SUM(DC153:DC154)</f>
        <v>0</v>
      </c>
      <c r="DD156" s="37">
        <f t="shared" si="953"/>
        <v>0</v>
      </c>
      <c r="DE156" s="37">
        <f t="shared" si="953"/>
        <v>0</v>
      </c>
      <c r="DF156" s="37">
        <f t="shared" si="953"/>
        <v>0</v>
      </c>
      <c r="DG156" s="37">
        <f t="shared" si="953"/>
        <v>0</v>
      </c>
    </row>
    <row r="157" spans="1:111" s="15" customFormat="1" x14ac:dyDescent="0.25">
      <c r="A157"/>
      <c r="B157" s="1"/>
      <c r="C157" s="1"/>
      <c r="D157" s="2"/>
      <c r="E157" s="2"/>
      <c r="F157" s="2"/>
      <c r="G157" s="2"/>
      <c r="H157" s="2"/>
      <c r="I157" s="2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155"/>
      <c r="AT157" s="194"/>
      <c r="AU157" s="9"/>
      <c r="AV157" s="9"/>
      <c r="AW157" s="9"/>
      <c r="AX157" s="9"/>
      <c r="AY157" s="164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164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164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164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164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</row>
    <row r="158" spans="1:111" s="37" customFormat="1" x14ac:dyDescent="0.25">
      <c r="B158" s="37" t="s">
        <v>262</v>
      </c>
      <c r="O158" s="37">
        <f t="shared" ref="O158" si="954">SUM(O148:O150)</f>
        <v>0</v>
      </c>
      <c r="P158" s="37">
        <f t="shared" ref="P158:AC158" si="955">SUM(P148:P150)</f>
        <v>0</v>
      </c>
      <c r="Q158" s="37">
        <f t="shared" si="955"/>
        <v>0</v>
      </c>
      <c r="R158" s="37">
        <f t="shared" si="955"/>
        <v>0</v>
      </c>
      <c r="S158" s="37">
        <f t="shared" si="955"/>
        <v>0</v>
      </c>
      <c r="T158" s="37">
        <f t="shared" si="955"/>
        <v>0</v>
      </c>
      <c r="U158" s="37">
        <f t="shared" si="955"/>
        <v>0</v>
      </c>
      <c r="V158" s="37">
        <f t="shared" si="955"/>
        <v>0</v>
      </c>
      <c r="W158" s="37">
        <f t="shared" si="955"/>
        <v>0</v>
      </c>
      <c r="X158" s="37">
        <f t="shared" si="955"/>
        <v>0</v>
      </c>
      <c r="Y158" s="37">
        <f t="shared" si="955"/>
        <v>0</v>
      </c>
      <c r="Z158" s="37">
        <f t="shared" si="955"/>
        <v>0</v>
      </c>
      <c r="AA158" s="37">
        <f t="shared" si="955"/>
        <v>0</v>
      </c>
      <c r="AB158" s="37">
        <f t="shared" si="955"/>
        <v>0</v>
      </c>
      <c r="AC158" s="37">
        <f t="shared" si="955"/>
        <v>0</v>
      </c>
      <c r="AD158" s="37">
        <f t="shared" ref="AD158:AE158" si="956">SUM(AD148:AD150)</f>
        <v>0</v>
      </c>
      <c r="AE158" s="37">
        <f t="shared" si="956"/>
        <v>0</v>
      </c>
      <c r="AF158" s="37">
        <f t="shared" ref="AF158:AG158" si="957">SUM(AF148:AF150)</f>
        <v>0</v>
      </c>
      <c r="AG158" s="37">
        <f t="shared" si="957"/>
        <v>0</v>
      </c>
      <c r="AH158" s="37">
        <f t="shared" ref="AH158:AI158" si="958">SUM(AH148:AH150)</f>
        <v>0</v>
      </c>
      <c r="AI158" s="37">
        <f t="shared" si="958"/>
        <v>0</v>
      </c>
      <c r="AJ158" s="37">
        <f t="shared" ref="AJ158:AK158" si="959">SUM(AJ148:AJ150)</f>
        <v>0</v>
      </c>
      <c r="AK158" s="37">
        <f t="shared" si="959"/>
        <v>0</v>
      </c>
      <c r="AL158" s="37">
        <f t="shared" ref="AL158:AM158" si="960">SUM(AL148:AL150)</f>
        <v>0</v>
      </c>
      <c r="AM158" s="37">
        <f t="shared" si="960"/>
        <v>0</v>
      </c>
      <c r="AN158" s="37">
        <f t="shared" ref="AN158" si="961">SUM(AN148:AN150)</f>
        <v>0</v>
      </c>
      <c r="AO158" s="37">
        <f t="shared" ref="AO158:AP158" si="962">SUM(AO148:AO150)</f>
        <v>0</v>
      </c>
      <c r="AP158" s="37">
        <f t="shared" si="962"/>
        <v>0</v>
      </c>
      <c r="AQ158" s="37">
        <f t="shared" ref="AQ158:AR158" si="963">SUM(AQ148:AQ150)</f>
        <v>0</v>
      </c>
      <c r="AR158" s="37">
        <f t="shared" si="963"/>
        <v>0</v>
      </c>
      <c r="AS158" s="156">
        <f t="shared" ref="AS158" si="964">SUM(AS148:AS150)</f>
        <v>0</v>
      </c>
      <c r="AT158" s="37">
        <f t="shared" ref="AT158" si="965">SUM(AT148:AT150)</f>
        <v>0</v>
      </c>
      <c r="AU158" s="37">
        <f t="shared" ref="AU158:CB158" si="966">SUM(AU148:AU150)</f>
        <v>0</v>
      </c>
      <c r="AV158" s="37">
        <f t="shared" si="966"/>
        <v>0</v>
      </c>
      <c r="AW158" s="37">
        <f t="shared" si="966"/>
        <v>0</v>
      </c>
      <c r="AX158" s="37">
        <f t="shared" si="966"/>
        <v>0</v>
      </c>
      <c r="AY158" s="156">
        <f t="shared" si="966"/>
        <v>0</v>
      </c>
      <c r="AZ158" s="37">
        <f t="shared" si="966"/>
        <v>0</v>
      </c>
      <c r="BA158" s="37">
        <f t="shared" si="966"/>
        <v>0</v>
      </c>
      <c r="BB158" s="37">
        <f t="shared" si="966"/>
        <v>0</v>
      </c>
      <c r="BC158" s="37">
        <f t="shared" si="966"/>
        <v>0</v>
      </c>
      <c r="BD158" s="37">
        <f t="shared" si="966"/>
        <v>0</v>
      </c>
      <c r="BE158" s="37">
        <f t="shared" si="966"/>
        <v>0</v>
      </c>
      <c r="BF158" s="37">
        <f t="shared" si="966"/>
        <v>0</v>
      </c>
      <c r="BG158" s="37">
        <f t="shared" si="966"/>
        <v>0</v>
      </c>
      <c r="BH158" s="37">
        <f t="shared" si="966"/>
        <v>0</v>
      </c>
      <c r="BI158" s="37">
        <f t="shared" si="966"/>
        <v>0</v>
      </c>
      <c r="BJ158" s="37">
        <f t="shared" si="966"/>
        <v>0</v>
      </c>
      <c r="BK158" s="156">
        <f t="shared" si="966"/>
        <v>0</v>
      </c>
      <c r="BL158" s="37">
        <f t="shared" si="966"/>
        <v>0</v>
      </c>
      <c r="BM158" s="37">
        <f t="shared" si="966"/>
        <v>0</v>
      </c>
      <c r="BN158" s="37">
        <f t="shared" si="966"/>
        <v>0</v>
      </c>
      <c r="BO158" s="37">
        <f t="shared" si="966"/>
        <v>0</v>
      </c>
      <c r="BP158" s="37">
        <f t="shared" si="966"/>
        <v>0</v>
      </c>
      <c r="BQ158" s="37">
        <f t="shared" si="966"/>
        <v>0</v>
      </c>
      <c r="BR158" s="37">
        <f t="shared" si="966"/>
        <v>0</v>
      </c>
      <c r="BS158" s="37">
        <f t="shared" si="966"/>
        <v>0</v>
      </c>
      <c r="BT158" s="37">
        <f t="shared" si="966"/>
        <v>0</v>
      </c>
      <c r="BU158" s="37">
        <f t="shared" si="966"/>
        <v>0</v>
      </c>
      <c r="BV158" s="37">
        <f t="shared" si="966"/>
        <v>0</v>
      </c>
      <c r="BW158" s="156">
        <f t="shared" si="966"/>
        <v>0</v>
      </c>
      <c r="BX158" s="37">
        <f t="shared" si="966"/>
        <v>0</v>
      </c>
      <c r="BY158" s="37">
        <f t="shared" si="966"/>
        <v>0</v>
      </c>
      <c r="BZ158" s="37">
        <f t="shared" si="966"/>
        <v>0</v>
      </c>
      <c r="CA158" s="37">
        <f t="shared" si="966"/>
        <v>0</v>
      </c>
      <c r="CB158" s="37">
        <f t="shared" si="966"/>
        <v>0</v>
      </c>
      <c r="CC158" s="37">
        <f t="shared" ref="CC158:DG158" si="967">SUM(CC148:CC150)</f>
        <v>0</v>
      </c>
      <c r="CD158" s="37">
        <f t="shared" si="967"/>
        <v>0</v>
      </c>
      <c r="CE158" s="37">
        <f t="shared" si="967"/>
        <v>0</v>
      </c>
      <c r="CF158" s="37">
        <f t="shared" si="967"/>
        <v>0</v>
      </c>
      <c r="CG158" s="37">
        <f t="shared" si="967"/>
        <v>0</v>
      </c>
      <c r="CH158" s="37">
        <f t="shared" si="967"/>
        <v>0</v>
      </c>
      <c r="CI158" s="156">
        <f t="shared" si="967"/>
        <v>0</v>
      </c>
      <c r="CJ158" s="37">
        <f t="shared" si="967"/>
        <v>0</v>
      </c>
      <c r="CK158" s="37">
        <f t="shared" si="967"/>
        <v>0</v>
      </c>
      <c r="CL158" s="37">
        <f t="shared" si="967"/>
        <v>0</v>
      </c>
      <c r="CM158" s="37">
        <f t="shared" si="967"/>
        <v>0</v>
      </c>
      <c r="CN158" s="37">
        <f t="shared" si="967"/>
        <v>0</v>
      </c>
      <c r="CO158" s="37">
        <f t="shared" si="967"/>
        <v>0</v>
      </c>
      <c r="CP158" s="37">
        <f t="shared" si="967"/>
        <v>0</v>
      </c>
      <c r="CQ158" s="37">
        <f t="shared" si="967"/>
        <v>0</v>
      </c>
      <c r="CR158" s="37">
        <f t="shared" si="967"/>
        <v>0</v>
      </c>
      <c r="CS158" s="37">
        <f t="shared" si="967"/>
        <v>0</v>
      </c>
      <c r="CT158" s="37">
        <f t="shared" si="967"/>
        <v>0</v>
      </c>
      <c r="CU158" s="156">
        <f t="shared" si="967"/>
        <v>0</v>
      </c>
      <c r="CV158" s="37">
        <f t="shared" si="967"/>
        <v>0</v>
      </c>
      <c r="CW158" s="37">
        <f t="shared" si="967"/>
        <v>0</v>
      </c>
      <c r="CX158" s="37">
        <f t="shared" si="967"/>
        <v>0</v>
      </c>
      <c r="CY158" s="37">
        <f t="shared" si="967"/>
        <v>0</v>
      </c>
      <c r="CZ158" s="37">
        <f t="shared" si="967"/>
        <v>0</v>
      </c>
      <c r="DA158" s="37">
        <f t="shared" si="967"/>
        <v>0</v>
      </c>
      <c r="DB158" s="37">
        <f t="shared" si="967"/>
        <v>0</v>
      </c>
      <c r="DC158" s="37">
        <f t="shared" si="967"/>
        <v>0</v>
      </c>
      <c r="DD158" s="37">
        <f t="shared" si="967"/>
        <v>0</v>
      </c>
      <c r="DE158" s="37">
        <f t="shared" si="967"/>
        <v>0</v>
      </c>
      <c r="DF158" s="37">
        <f t="shared" si="967"/>
        <v>0</v>
      </c>
      <c r="DG158" s="37">
        <f t="shared" si="967"/>
        <v>0</v>
      </c>
    </row>
    <row r="159" spans="1:111" s="37" customFormat="1" x14ac:dyDescent="0.25">
      <c r="B159" s="37" t="s">
        <v>263</v>
      </c>
      <c r="O159" s="37">
        <f t="shared" ref="O159:AA159" si="968">+O158+O143+O133+O125</f>
        <v>0</v>
      </c>
      <c r="P159" s="37">
        <f t="shared" si="968"/>
        <v>32.49</v>
      </c>
      <c r="Q159" s="37">
        <f t="shared" si="968"/>
        <v>30.05</v>
      </c>
      <c r="R159" s="37">
        <f t="shared" si="968"/>
        <v>1228.6399999999999</v>
      </c>
      <c r="S159" s="37">
        <f t="shared" si="968"/>
        <v>1161</v>
      </c>
      <c r="T159" s="37">
        <f t="shared" si="968"/>
        <v>77884.97</v>
      </c>
      <c r="U159" s="37">
        <f t="shared" si="968"/>
        <v>78148.55</v>
      </c>
      <c r="V159" s="37">
        <f t="shared" si="968"/>
        <v>79072.17</v>
      </c>
      <c r="W159" s="37">
        <f t="shared" si="968"/>
        <v>80162.710000000006</v>
      </c>
      <c r="X159" s="37">
        <f t="shared" si="968"/>
        <v>81452.350000000006</v>
      </c>
      <c r="Y159" s="37">
        <f t="shared" si="968"/>
        <v>83623.59</v>
      </c>
      <c r="Z159" s="37">
        <f t="shared" si="968"/>
        <v>79536.62999999999</v>
      </c>
      <c r="AA159" s="37">
        <f t="shared" si="968"/>
        <v>128653.33</v>
      </c>
      <c r="AB159" s="37">
        <f t="shared" ref="AB159:AN159" si="969">+AB158+AB143+AB133+AB125+AB151+AB156</f>
        <v>96522.3</v>
      </c>
      <c r="AC159" s="37">
        <f t="shared" si="969"/>
        <v>75799.570000000007</v>
      </c>
      <c r="AD159" s="37">
        <f t="shared" si="969"/>
        <v>75897.460000000006</v>
      </c>
      <c r="AE159" s="37">
        <f t="shared" si="969"/>
        <v>99383.33</v>
      </c>
      <c r="AF159" s="37">
        <f t="shared" si="969"/>
        <v>29460.46</v>
      </c>
      <c r="AG159" s="37">
        <f t="shared" si="969"/>
        <v>49175.97</v>
      </c>
      <c r="AH159" s="37">
        <f t="shared" si="969"/>
        <v>27466.22</v>
      </c>
      <c r="AI159" s="37">
        <f t="shared" si="969"/>
        <v>31473.640000000003</v>
      </c>
      <c r="AJ159" s="37">
        <f t="shared" si="969"/>
        <v>33364.58</v>
      </c>
      <c r="AK159" s="37">
        <f t="shared" si="969"/>
        <v>81814.37</v>
      </c>
      <c r="AL159" s="37">
        <f t="shared" si="969"/>
        <v>79207.06</v>
      </c>
      <c r="AM159" s="37">
        <f t="shared" si="969"/>
        <v>112914.73</v>
      </c>
      <c r="AN159" s="37">
        <f t="shared" si="969"/>
        <v>64874.43</v>
      </c>
      <c r="AO159" s="37">
        <f>+AO158+AO143+AO133+AO125+AO151+AO156</f>
        <v>49034.83</v>
      </c>
      <c r="AP159" s="37">
        <f>+AP158+AP143+AP133+AP125+AP151+AP156</f>
        <v>15740.34</v>
      </c>
      <c r="AQ159" s="37">
        <f t="shared" ref="AQ159:AR159" si="970">+AQ158+AQ143+AQ133+AQ125+AQ151+AQ156</f>
        <v>16532.48</v>
      </c>
      <c r="AR159" s="37">
        <f t="shared" si="970"/>
        <v>102887.43</v>
      </c>
      <c r="AS159" s="156">
        <f t="shared" ref="AS159" si="971">+AS158+AS143+AS133+AS125+AS151+AS156</f>
        <v>73741.59</v>
      </c>
      <c r="AT159" s="37">
        <f t="shared" ref="AT159" si="972">+AT158+AT143+AT133+AT125+AT151+AT156</f>
        <v>10069.320690679131</v>
      </c>
      <c r="AU159" s="37">
        <f t="shared" ref="AU159:BX159" si="973">+AU158+AU143+AU133+AU125+AU151+AU156</f>
        <v>10946.866668276041</v>
      </c>
      <c r="AV159" s="37">
        <f t="shared" si="973"/>
        <v>9603.9311338450061</v>
      </c>
      <c r="AW159" s="37">
        <f t="shared" si="973"/>
        <v>9715.3222744705708</v>
      </c>
      <c r="AX159" s="37">
        <f t="shared" si="973"/>
        <v>136372.99561255748</v>
      </c>
      <c r="AY159" s="156">
        <f t="shared" si="973"/>
        <v>132348.28709724487</v>
      </c>
      <c r="AZ159" s="37">
        <f t="shared" si="973"/>
        <v>142995.81075439247</v>
      </c>
      <c r="BA159" s="37">
        <f t="shared" si="973"/>
        <v>124689.14429191791</v>
      </c>
      <c r="BB159" s="37">
        <f t="shared" si="973"/>
        <v>345531.77586480015</v>
      </c>
      <c r="BC159" s="37">
        <f t="shared" si="973"/>
        <v>572473.87481060415</v>
      </c>
      <c r="BD159" s="37">
        <f t="shared" si="973"/>
        <v>516927.51001874928</v>
      </c>
      <c r="BE159" s="37">
        <f t="shared" si="973"/>
        <v>234295.48106358928</v>
      </c>
      <c r="BF159" s="37">
        <f t="shared" si="973"/>
        <v>240273.4027107078</v>
      </c>
      <c r="BG159" s="37">
        <f t="shared" si="973"/>
        <v>152241.10054812513</v>
      </c>
      <c r="BH159" s="37">
        <f t="shared" si="973"/>
        <v>212145.14532237191</v>
      </c>
      <c r="BI159" s="37">
        <f t="shared" si="973"/>
        <v>60627.581042735284</v>
      </c>
      <c r="BJ159" s="37">
        <f t="shared" si="973"/>
        <v>252059.83593589746</v>
      </c>
      <c r="BK159" s="156">
        <f t="shared" si="973"/>
        <v>239653.23891521414</v>
      </c>
      <c r="BL159" s="37">
        <f t="shared" si="973"/>
        <v>240495.79792333889</v>
      </c>
      <c r="BM159" s="37">
        <f t="shared" si="973"/>
        <v>195923.07984063911</v>
      </c>
      <c r="BN159" s="37">
        <f t="shared" si="973"/>
        <v>588565.30275095755</v>
      </c>
      <c r="BO159" s="37">
        <f t="shared" si="973"/>
        <v>922089.3347740192</v>
      </c>
      <c r="BP159" s="37">
        <f t="shared" si="973"/>
        <v>779397.85298963613</v>
      </c>
      <c r="BQ159" s="37">
        <f t="shared" si="973"/>
        <v>327957.33044290962</v>
      </c>
      <c r="BR159" s="37">
        <f t="shared" si="973"/>
        <v>353704.26460321067</v>
      </c>
      <c r="BS159" s="37">
        <f t="shared" si="973"/>
        <v>236792.97101598335</v>
      </c>
      <c r="BT159" s="37">
        <f t="shared" si="973"/>
        <v>277374.50439101551</v>
      </c>
      <c r="BU159" s="37">
        <f t="shared" si="973"/>
        <v>73968.013869673043</v>
      </c>
      <c r="BV159" s="37">
        <f t="shared" si="973"/>
        <v>342876.87963684526</v>
      </c>
      <c r="BW159" s="156">
        <f t="shared" si="973"/>
        <v>325237.45632151532</v>
      </c>
      <c r="BX159" s="37">
        <f t="shared" si="973"/>
        <v>327540.66630507127</v>
      </c>
      <c r="BY159" s="37">
        <f t="shared" ref="BY159:DA159" si="974">+BY158+BY143+BY133+BY125+BY151+BY156</f>
        <v>259657.91887813469</v>
      </c>
      <c r="BZ159" s="37">
        <f t="shared" si="974"/>
        <v>804889.54790611111</v>
      </c>
      <c r="CA159" s="37">
        <f t="shared" si="974"/>
        <v>1237815.7842854403</v>
      </c>
      <c r="CB159" s="37">
        <f t="shared" si="974"/>
        <v>1020369.7396823079</v>
      </c>
      <c r="CC159" s="37">
        <f t="shared" si="974"/>
        <v>417011.15343233477</v>
      </c>
      <c r="CD159" s="37">
        <f t="shared" si="974"/>
        <v>462894.80542275123</v>
      </c>
      <c r="CE159" s="37">
        <f t="shared" si="974"/>
        <v>317450.62716131913</v>
      </c>
      <c r="CF159" s="37">
        <f t="shared" si="974"/>
        <v>346042.4558574977</v>
      </c>
      <c r="CG159" s="37">
        <f t="shared" si="974"/>
        <v>91811.14338903618</v>
      </c>
      <c r="CH159" s="37">
        <f t="shared" si="974"/>
        <v>402215.77274872089</v>
      </c>
      <c r="CI159" s="156">
        <f t="shared" si="974"/>
        <v>382010.90823274478</v>
      </c>
      <c r="CJ159" s="37">
        <f t="shared" si="974"/>
        <v>381259.717248114</v>
      </c>
      <c r="CK159" s="37">
        <f t="shared" si="974"/>
        <v>305728.40834830626</v>
      </c>
      <c r="CL159" s="37">
        <f t="shared" si="974"/>
        <v>931731.74132374942</v>
      </c>
      <c r="CM159" s="37">
        <f t="shared" si="974"/>
        <v>1440570.6070460838</v>
      </c>
      <c r="CN159" s="37">
        <f t="shared" si="974"/>
        <v>1197951.1650236391</v>
      </c>
      <c r="CO159" s="37">
        <f t="shared" si="974"/>
        <v>496621.99565658957</v>
      </c>
      <c r="CP159" s="37">
        <f t="shared" si="974"/>
        <v>550206.67928525247</v>
      </c>
      <c r="CQ159" s="37">
        <f t="shared" si="974"/>
        <v>377797.91697260813</v>
      </c>
      <c r="CR159" s="37">
        <f t="shared" si="974"/>
        <v>420706.12409135199</v>
      </c>
      <c r="CS159" s="37">
        <f t="shared" si="974"/>
        <v>117746.97056873195</v>
      </c>
      <c r="CT159" s="37">
        <f t="shared" si="974"/>
        <v>532123.97439493926</v>
      </c>
      <c r="CU159" s="156">
        <f t="shared" si="974"/>
        <v>504658.24734631425</v>
      </c>
      <c r="CV159" s="37">
        <f t="shared" si="974"/>
        <v>497878.90899286757</v>
      </c>
      <c r="CW159" s="37">
        <f t="shared" si="974"/>
        <v>393843.75637339026</v>
      </c>
      <c r="CX159" s="37">
        <f t="shared" si="974"/>
        <v>1226315.0035435322</v>
      </c>
      <c r="CY159" s="37">
        <f t="shared" si="974"/>
        <v>1888451.2243335433</v>
      </c>
      <c r="CZ159" s="37">
        <f t="shared" si="974"/>
        <v>1555990.0727952297</v>
      </c>
      <c r="DA159" s="37">
        <f t="shared" si="974"/>
        <v>636291.06960098376</v>
      </c>
      <c r="DB159" s="37">
        <f t="shared" ref="DB159:DG159" si="975">+DB158+DB143+DB133+DB125+DB151+DB156</f>
        <v>710583.99059083534</v>
      </c>
      <c r="DC159" s="37">
        <f t="shared" si="975"/>
        <v>487713.66023801721</v>
      </c>
      <c r="DD159" s="37">
        <f t="shared" si="975"/>
        <v>533458.93411992816</v>
      </c>
      <c r="DE159" s="37">
        <f t="shared" si="975"/>
        <v>143934.96300456327</v>
      </c>
      <c r="DF159" s="37">
        <f t="shared" si="975"/>
        <v>587941.79945280077</v>
      </c>
      <c r="DG159" s="37">
        <f t="shared" si="975"/>
        <v>558646.71956846339</v>
      </c>
    </row>
    <row r="160" spans="1:111" x14ac:dyDescent="0.25">
      <c r="B160" s="37" t="s">
        <v>24</v>
      </c>
      <c r="C160" s="1"/>
      <c r="D160" s="2"/>
      <c r="E160" s="2"/>
      <c r="F160" s="2"/>
      <c r="G160" s="2"/>
      <c r="H160" s="2"/>
      <c r="I160" s="2"/>
      <c r="J160" s="36"/>
      <c r="K160" s="36"/>
      <c r="L160" s="36"/>
      <c r="M160" s="36"/>
      <c r="N160" s="36"/>
      <c r="O160" s="36">
        <f>+O159</f>
        <v>0</v>
      </c>
      <c r="P160" s="36">
        <f t="shared" ref="P160" si="976">+P159</f>
        <v>32.49</v>
      </c>
      <c r="Q160" s="36">
        <f t="shared" ref="Q160" si="977">+Q159</f>
        <v>30.05</v>
      </c>
      <c r="R160" s="36">
        <f t="shared" ref="R160" si="978">+R159</f>
        <v>1228.6399999999999</v>
      </c>
      <c r="S160" s="36">
        <f t="shared" ref="S160" si="979">+S159</f>
        <v>1161</v>
      </c>
      <c r="T160" s="36">
        <f t="shared" ref="T160" si="980">+T159</f>
        <v>77884.97</v>
      </c>
      <c r="U160" s="36">
        <f t="shared" ref="U160" si="981">+U159</f>
        <v>78148.55</v>
      </c>
      <c r="V160" s="36">
        <f t="shared" ref="V160" si="982">+V159</f>
        <v>79072.17</v>
      </c>
      <c r="W160" s="36">
        <f t="shared" ref="W160" si="983">+W159</f>
        <v>80162.710000000006</v>
      </c>
      <c r="X160" s="36">
        <f t="shared" ref="X160" si="984">+X159</f>
        <v>81452.350000000006</v>
      </c>
      <c r="Y160" s="36">
        <f t="shared" ref="Y160" si="985">+Y159</f>
        <v>83623.59</v>
      </c>
      <c r="Z160" s="36">
        <f t="shared" ref="Z160" si="986">+Z159</f>
        <v>79536.62999999999</v>
      </c>
      <c r="AA160" s="36">
        <f t="shared" ref="AA160" si="987">+AA159</f>
        <v>128653.33</v>
      </c>
      <c r="AB160" s="36">
        <f>+AB159</f>
        <v>96522.3</v>
      </c>
      <c r="AC160" s="36">
        <f>+AC159</f>
        <v>75799.570000000007</v>
      </c>
      <c r="AD160" s="36">
        <f t="shared" ref="AD160:AE160" si="988">+AD159</f>
        <v>75897.460000000006</v>
      </c>
      <c r="AE160" s="36">
        <f t="shared" si="988"/>
        <v>99383.33</v>
      </c>
      <c r="AF160" s="36">
        <f t="shared" ref="AF160:AG160" si="989">+AF159</f>
        <v>29460.46</v>
      </c>
      <c r="AG160" s="36">
        <f t="shared" si="989"/>
        <v>49175.97</v>
      </c>
      <c r="AH160" s="36">
        <f t="shared" ref="AH160:AI160" si="990">+AH159</f>
        <v>27466.22</v>
      </c>
      <c r="AI160" s="36">
        <f t="shared" si="990"/>
        <v>31473.640000000003</v>
      </c>
      <c r="AJ160" s="36">
        <f t="shared" ref="AJ160:AK160" si="991">+AJ159</f>
        <v>33364.58</v>
      </c>
      <c r="AK160" s="36">
        <f t="shared" si="991"/>
        <v>81814.37</v>
      </c>
      <c r="AL160" s="36">
        <f t="shared" ref="AL160:AM160" si="992">+AL159</f>
        <v>79207.06</v>
      </c>
      <c r="AM160" s="36">
        <f t="shared" si="992"/>
        <v>112914.73</v>
      </c>
      <c r="AN160" s="36">
        <f t="shared" ref="AN160" si="993">+AN159</f>
        <v>64874.43</v>
      </c>
      <c r="AO160" s="36">
        <f t="shared" ref="AO160:AP160" si="994">+AO159</f>
        <v>49034.83</v>
      </c>
      <c r="AP160" s="36">
        <f t="shared" si="994"/>
        <v>15740.34</v>
      </c>
      <c r="AQ160" s="36">
        <f t="shared" ref="AQ160:AR160" si="995">+AQ159</f>
        <v>16532.48</v>
      </c>
      <c r="AR160" s="36">
        <f t="shared" si="995"/>
        <v>102887.43</v>
      </c>
      <c r="AS160" s="159">
        <f t="shared" ref="AS160" si="996">+AS159</f>
        <v>73741.59</v>
      </c>
      <c r="AT160" s="36">
        <f>+AT159</f>
        <v>10069.320690679131</v>
      </c>
      <c r="AU160" s="36">
        <f t="shared" ref="AU160" si="997">+AU159</f>
        <v>10946.866668276041</v>
      </c>
      <c r="AV160" s="36">
        <f t="shared" ref="AV160" si="998">+AV159</f>
        <v>9603.9311338450061</v>
      </c>
      <c r="AW160" s="36">
        <f t="shared" ref="AW160" si="999">+AW159</f>
        <v>9715.3222744705708</v>
      </c>
      <c r="AX160" s="36">
        <f t="shared" ref="AX160" si="1000">+AX159</f>
        <v>136372.99561255748</v>
      </c>
      <c r="AY160" s="159">
        <f t="shared" ref="AY160" si="1001">+AY159</f>
        <v>132348.28709724487</v>
      </c>
      <c r="AZ160" s="36">
        <f t="shared" ref="AZ160" si="1002">+AZ159</f>
        <v>142995.81075439247</v>
      </c>
      <c r="BA160" s="36">
        <f t="shared" ref="BA160" si="1003">+BA159</f>
        <v>124689.14429191791</v>
      </c>
      <c r="BB160" s="36">
        <f t="shared" ref="BB160" si="1004">+BB159</f>
        <v>345531.77586480015</v>
      </c>
      <c r="BC160" s="36">
        <f t="shared" ref="BC160" si="1005">+BC159</f>
        <v>572473.87481060415</v>
      </c>
      <c r="BD160" s="36">
        <f t="shared" ref="BD160" si="1006">+BD159</f>
        <v>516927.51001874928</v>
      </c>
      <c r="BE160" s="36">
        <f t="shared" ref="BE160" si="1007">+BE159</f>
        <v>234295.48106358928</v>
      </c>
      <c r="BF160" s="36">
        <f t="shared" ref="BF160" si="1008">+BF159</f>
        <v>240273.4027107078</v>
      </c>
      <c r="BG160" s="36">
        <f t="shared" ref="BG160" si="1009">+BG159</f>
        <v>152241.10054812513</v>
      </c>
      <c r="BH160" s="36">
        <f t="shared" ref="BH160" si="1010">+BH159</f>
        <v>212145.14532237191</v>
      </c>
      <c r="BI160" s="36">
        <f t="shared" ref="BI160" si="1011">+BI159</f>
        <v>60627.581042735284</v>
      </c>
      <c r="BJ160" s="36">
        <f t="shared" ref="BJ160" si="1012">+BJ159</f>
        <v>252059.83593589746</v>
      </c>
      <c r="BK160" s="159">
        <f t="shared" ref="BK160" si="1013">+BK159</f>
        <v>239653.23891521414</v>
      </c>
      <c r="BL160" s="36">
        <f t="shared" ref="BL160" si="1014">+BL159</f>
        <v>240495.79792333889</v>
      </c>
      <c r="BM160" s="36">
        <f t="shared" ref="BM160" si="1015">+BM159</f>
        <v>195923.07984063911</v>
      </c>
      <c r="BN160" s="36">
        <f t="shared" ref="BN160" si="1016">+BN159</f>
        <v>588565.30275095755</v>
      </c>
      <c r="BO160" s="36">
        <f t="shared" ref="BO160" si="1017">+BO159</f>
        <v>922089.3347740192</v>
      </c>
      <c r="BP160" s="36">
        <f t="shared" ref="BP160" si="1018">+BP159</f>
        <v>779397.85298963613</v>
      </c>
      <c r="BQ160" s="36">
        <f t="shared" ref="BQ160" si="1019">+BQ159</f>
        <v>327957.33044290962</v>
      </c>
      <c r="BR160" s="36">
        <f t="shared" ref="BR160" si="1020">+BR159</f>
        <v>353704.26460321067</v>
      </c>
      <c r="BS160" s="36">
        <f t="shared" ref="BS160" si="1021">+BS159</f>
        <v>236792.97101598335</v>
      </c>
      <c r="BT160" s="36">
        <f t="shared" ref="BT160" si="1022">+BT159</f>
        <v>277374.50439101551</v>
      </c>
      <c r="BU160" s="36">
        <f t="shared" ref="BU160" si="1023">+BU159</f>
        <v>73968.013869673043</v>
      </c>
      <c r="BV160" s="36">
        <f t="shared" ref="BV160" si="1024">+BV159</f>
        <v>342876.87963684526</v>
      </c>
      <c r="BW160" s="159">
        <f t="shared" ref="BW160" si="1025">+BW159</f>
        <v>325237.45632151532</v>
      </c>
      <c r="BX160" s="36">
        <f t="shared" ref="BX160" si="1026">+BX159</f>
        <v>327540.66630507127</v>
      </c>
      <c r="BY160" s="36">
        <f t="shared" ref="BY160" si="1027">+BY159</f>
        <v>259657.91887813469</v>
      </c>
      <c r="BZ160" s="36">
        <f t="shared" ref="BZ160" si="1028">+BZ159</f>
        <v>804889.54790611111</v>
      </c>
      <c r="CA160" s="36">
        <f t="shared" ref="CA160" si="1029">+CA159</f>
        <v>1237815.7842854403</v>
      </c>
      <c r="CB160" s="36">
        <f t="shared" ref="CB160" si="1030">+CB159</f>
        <v>1020369.7396823079</v>
      </c>
      <c r="CC160" s="36">
        <f t="shared" ref="CC160" si="1031">+CC159</f>
        <v>417011.15343233477</v>
      </c>
      <c r="CD160" s="36">
        <f t="shared" ref="CD160" si="1032">+CD159</f>
        <v>462894.80542275123</v>
      </c>
      <c r="CE160" s="36">
        <f t="shared" ref="CE160" si="1033">+CE159</f>
        <v>317450.62716131913</v>
      </c>
      <c r="CF160" s="36">
        <f t="shared" ref="CF160" si="1034">+CF159</f>
        <v>346042.4558574977</v>
      </c>
      <c r="CG160" s="36">
        <f t="shared" ref="CG160" si="1035">+CG159</f>
        <v>91811.14338903618</v>
      </c>
      <c r="CH160" s="36">
        <f t="shared" ref="CH160" si="1036">+CH159</f>
        <v>402215.77274872089</v>
      </c>
      <c r="CI160" s="159">
        <f t="shared" ref="CI160" si="1037">+CI159</f>
        <v>382010.90823274478</v>
      </c>
      <c r="CJ160" s="36">
        <f t="shared" ref="CJ160" si="1038">+CJ159</f>
        <v>381259.717248114</v>
      </c>
      <c r="CK160" s="36">
        <f t="shared" ref="CK160" si="1039">+CK159</f>
        <v>305728.40834830626</v>
      </c>
      <c r="CL160" s="36">
        <f t="shared" ref="CL160" si="1040">+CL159</f>
        <v>931731.74132374942</v>
      </c>
      <c r="CM160" s="36">
        <f t="shared" ref="CM160" si="1041">+CM159</f>
        <v>1440570.6070460838</v>
      </c>
      <c r="CN160" s="36">
        <f t="shared" ref="CN160" si="1042">+CN159</f>
        <v>1197951.1650236391</v>
      </c>
      <c r="CO160" s="36">
        <f t="shared" ref="CO160" si="1043">+CO159</f>
        <v>496621.99565658957</v>
      </c>
      <c r="CP160" s="36">
        <f t="shared" ref="CP160" si="1044">+CP159</f>
        <v>550206.67928525247</v>
      </c>
      <c r="CQ160" s="36">
        <f t="shared" ref="CQ160" si="1045">+CQ159</f>
        <v>377797.91697260813</v>
      </c>
      <c r="CR160" s="36">
        <f t="shared" ref="CR160" si="1046">+CR159</f>
        <v>420706.12409135199</v>
      </c>
      <c r="CS160" s="36">
        <f t="shared" ref="CS160" si="1047">+CS159</f>
        <v>117746.97056873195</v>
      </c>
      <c r="CT160" s="36">
        <f t="shared" ref="CT160" si="1048">+CT159</f>
        <v>532123.97439493926</v>
      </c>
      <c r="CU160" s="159">
        <f t="shared" ref="CU160" si="1049">+CU159</f>
        <v>504658.24734631425</v>
      </c>
      <c r="CV160" s="36">
        <f t="shared" ref="CV160" si="1050">+CV159</f>
        <v>497878.90899286757</v>
      </c>
      <c r="CW160" s="36">
        <f t="shared" ref="CW160" si="1051">+CW159</f>
        <v>393843.75637339026</v>
      </c>
      <c r="CX160" s="36">
        <f t="shared" ref="CX160" si="1052">+CX159</f>
        <v>1226315.0035435322</v>
      </c>
      <c r="CY160" s="36">
        <f t="shared" ref="CY160" si="1053">+CY159</f>
        <v>1888451.2243335433</v>
      </c>
      <c r="CZ160" s="36">
        <f t="shared" ref="CZ160" si="1054">+CZ159</f>
        <v>1555990.0727952297</v>
      </c>
      <c r="DA160" s="36">
        <f t="shared" ref="DA160" si="1055">+DA159</f>
        <v>636291.06960098376</v>
      </c>
      <c r="DB160" s="36">
        <f t="shared" ref="DB160" si="1056">+DB159</f>
        <v>710583.99059083534</v>
      </c>
      <c r="DC160" s="36">
        <f t="shared" ref="DC160" si="1057">+DC159</f>
        <v>487713.66023801721</v>
      </c>
      <c r="DD160" s="36">
        <f t="shared" ref="DD160" si="1058">+DD159</f>
        <v>533458.93411992816</v>
      </c>
      <c r="DE160" s="36">
        <f t="shared" ref="DE160" si="1059">+DE159</f>
        <v>143934.96300456327</v>
      </c>
      <c r="DF160" s="36">
        <f t="shared" ref="DF160" si="1060">+DF159</f>
        <v>587941.79945280077</v>
      </c>
      <c r="DG160" s="36">
        <f t="shared" ref="DG160" si="1061">+DG159</f>
        <v>558646.71956846339</v>
      </c>
    </row>
    <row r="161" spans="1:111" x14ac:dyDescent="0.25">
      <c r="B161" s="1" t="s">
        <v>25</v>
      </c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3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60"/>
      <c r="AT161" s="2"/>
      <c r="AY161" s="154"/>
      <c r="BK161" s="154"/>
      <c r="BW161" s="154"/>
      <c r="CI161" s="154"/>
      <c r="CU161" s="154"/>
    </row>
    <row r="162" spans="1:111" x14ac:dyDescent="0.25">
      <c r="B162" s="1" t="s">
        <v>265</v>
      </c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37"/>
      <c r="O162" s="2"/>
      <c r="P162" s="2"/>
      <c r="Q162" s="91">
        <v>0</v>
      </c>
      <c r="R162" s="91">
        <v>0</v>
      </c>
      <c r="S162" s="91">
        <v>0</v>
      </c>
      <c r="T162" s="91">
        <v>0</v>
      </c>
      <c r="U162" s="91">
        <v>0</v>
      </c>
      <c r="V162" s="91">
        <v>0</v>
      </c>
      <c r="W162" s="91">
        <v>0</v>
      </c>
      <c r="X162" s="91">
        <v>0</v>
      </c>
      <c r="Y162" s="91">
        <v>0</v>
      </c>
      <c r="Z162" s="91">
        <v>0</v>
      </c>
      <c r="AA162" s="91">
        <v>0</v>
      </c>
      <c r="AB162" s="91">
        <v>0</v>
      </c>
      <c r="AC162" s="91">
        <v>0</v>
      </c>
      <c r="AD162" s="91">
        <v>0</v>
      </c>
      <c r="AE162" s="91">
        <v>0</v>
      </c>
      <c r="AF162" s="91">
        <v>0</v>
      </c>
      <c r="AG162" s="91">
        <v>0</v>
      </c>
      <c r="AH162" s="91">
        <v>0</v>
      </c>
      <c r="AI162" s="91">
        <v>0</v>
      </c>
      <c r="AJ162" s="91">
        <v>0</v>
      </c>
      <c r="AK162" s="91">
        <v>0</v>
      </c>
      <c r="AL162" s="91">
        <v>0</v>
      </c>
      <c r="AM162" s="91">
        <v>0</v>
      </c>
      <c r="AN162" s="91">
        <v>0</v>
      </c>
      <c r="AO162" s="91">
        <v>0</v>
      </c>
      <c r="AP162" s="91">
        <v>0</v>
      </c>
      <c r="AQ162" s="91">
        <v>0</v>
      </c>
      <c r="AR162" s="91">
        <v>0</v>
      </c>
      <c r="AS162" s="155">
        <v>0</v>
      </c>
      <c r="AT162" s="2"/>
      <c r="AY162" s="154"/>
      <c r="BK162" s="154"/>
      <c r="BW162" s="154"/>
      <c r="CI162" s="154"/>
      <c r="CU162" s="154"/>
    </row>
    <row r="163" spans="1:111" x14ac:dyDescent="0.25">
      <c r="B163" s="1" t="s">
        <v>266</v>
      </c>
      <c r="C163" s="1"/>
      <c r="D163" s="2">
        <v>0</v>
      </c>
      <c r="E163" s="2">
        <v>0</v>
      </c>
      <c r="F163" s="2">
        <v>0</v>
      </c>
      <c r="G163" s="2">
        <v>100</v>
      </c>
      <c r="H163" s="2">
        <v>100</v>
      </c>
      <c r="I163" s="2">
        <v>100</v>
      </c>
      <c r="J163" s="2">
        <v>600</v>
      </c>
      <c r="K163" s="2">
        <v>600</v>
      </c>
      <c r="L163" s="2">
        <v>1250</v>
      </c>
      <c r="M163" s="2">
        <v>1550</v>
      </c>
      <c r="N163" s="137">
        <v>1550</v>
      </c>
      <c r="O163" s="2">
        <v>3050</v>
      </c>
      <c r="P163" s="2">
        <v>0</v>
      </c>
      <c r="Q163" s="91">
        <v>0</v>
      </c>
      <c r="R163" s="91">
        <v>0</v>
      </c>
      <c r="S163" s="91">
        <v>0</v>
      </c>
      <c r="T163" s="91">
        <v>0</v>
      </c>
      <c r="U163" s="91">
        <v>0</v>
      </c>
      <c r="V163" s="91">
        <v>0</v>
      </c>
      <c r="W163" s="91">
        <v>0</v>
      </c>
      <c r="X163" s="91">
        <v>0</v>
      </c>
      <c r="Y163" s="91">
        <v>0</v>
      </c>
      <c r="Z163" s="91">
        <v>0</v>
      </c>
      <c r="AA163" s="91">
        <v>-10000</v>
      </c>
      <c r="AB163" s="91">
        <v>-10000</v>
      </c>
      <c r="AC163" s="91">
        <v>-20000</v>
      </c>
      <c r="AD163" s="91">
        <v>-20000</v>
      </c>
      <c r="AE163" s="91">
        <v>-45000</v>
      </c>
      <c r="AF163" s="91">
        <v>-45000</v>
      </c>
      <c r="AG163" s="91">
        <v>-45000</v>
      </c>
      <c r="AH163" s="91">
        <v>-45000</v>
      </c>
      <c r="AI163" s="91">
        <v>-45000</v>
      </c>
      <c r="AJ163" s="91">
        <v>-45000</v>
      </c>
      <c r="AK163" s="91">
        <v>-45000</v>
      </c>
      <c r="AL163" s="91">
        <v>-45000</v>
      </c>
      <c r="AM163" s="91">
        <v>-50000</v>
      </c>
      <c r="AN163" s="91">
        <v>-50000</v>
      </c>
      <c r="AO163" s="91">
        <v>-50000</v>
      </c>
      <c r="AP163" s="91">
        <v>-50000</v>
      </c>
      <c r="AQ163" s="91">
        <v>-50000</v>
      </c>
      <c r="AR163" s="91">
        <v>-50000</v>
      </c>
      <c r="AS163" s="155">
        <v>-50000</v>
      </c>
      <c r="AT163" s="254">
        <f t="shared" ref="AT163:BU163" si="1062">+IF(MONTH(AT3)=12,AS163-((SUM(AI$93:AT$93)*0.2)/2)-AT166, AS163-AT166)</f>
        <v>-50000</v>
      </c>
      <c r="AU163" s="91">
        <f t="shared" si="1062"/>
        <v>-50000</v>
      </c>
      <c r="AV163" s="91">
        <f t="shared" si="1062"/>
        <v>-50000</v>
      </c>
      <c r="AW163" s="91">
        <f t="shared" si="1062"/>
        <v>-50000</v>
      </c>
      <c r="AX163" s="91">
        <f t="shared" si="1062"/>
        <v>-50000</v>
      </c>
      <c r="AY163" s="350">
        <f t="shared" si="1062"/>
        <v>-44368.834658517801</v>
      </c>
      <c r="AZ163" s="91">
        <f t="shared" si="1062"/>
        <v>-44368.834658517801</v>
      </c>
      <c r="BA163" s="91">
        <f t="shared" si="1062"/>
        <v>-44368.834658517801</v>
      </c>
      <c r="BB163" s="91">
        <f t="shared" si="1062"/>
        <v>-44368.834658517801</v>
      </c>
      <c r="BC163" s="91">
        <f t="shared" si="1062"/>
        <v>-44368.834658517801</v>
      </c>
      <c r="BD163" s="91">
        <f t="shared" si="1062"/>
        <v>-44368.834658517801</v>
      </c>
      <c r="BE163" s="91">
        <f t="shared" si="1062"/>
        <v>-44368.834658517801</v>
      </c>
      <c r="BF163" s="91">
        <f t="shared" si="1062"/>
        <v>-44368.834658517801</v>
      </c>
      <c r="BG163" s="91">
        <f t="shared" si="1062"/>
        <v>-44368.834658517801</v>
      </c>
      <c r="BH163" s="91">
        <f t="shared" si="1062"/>
        <v>-44368.834658517801</v>
      </c>
      <c r="BI163" s="91">
        <f t="shared" si="1062"/>
        <v>-44368.834658517801</v>
      </c>
      <c r="BJ163" s="91">
        <f t="shared" si="1062"/>
        <v>-44368.834658517801</v>
      </c>
      <c r="BK163" s="350">
        <f t="shared" si="1062"/>
        <v>-76945.865512146294</v>
      </c>
      <c r="BL163" s="91">
        <f t="shared" si="1062"/>
        <v>-76945.865512146294</v>
      </c>
      <c r="BM163" s="91">
        <f t="shared" si="1062"/>
        <v>-76945.865512146294</v>
      </c>
      <c r="BN163" s="91">
        <f t="shared" si="1062"/>
        <v>-76945.865512146294</v>
      </c>
      <c r="BO163" s="91">
        <f t="shared" si="1062"/>
        <v>-76945.865512146294</v>
      </c>
      <c r="BP163" s="91">
        <f t="shared" si="1062"/>
        <v>-76945.865512146294</v>
      </c>
      <c r="BQ163" s="91">
        <f t="shared" si="1062"/>
        <v>-76945.865512146294</v>
      </c>
      <c r="BR163" s="91">
        <f t="shared" si="1062"/>
        <v>-76945.865512146294</v>
      </c>
      <c r="BS163" s="91">
        <f t="shared" si="1062"/>
        <v>-76945.865512146294</v>
      </c>
      <c r="BT163" s="91">
        <f t="shared" si="1062"/>
        <v>-76945.865512146294</v>
      </c>
      <c r="BU163" s="91">
        <f t="shared" si="1062"/>
        <v>-76945.865512146294</v>
      </c>
      <c r="BV163" s="91">
        <f t="shared" ref="BV163:DA163" si="1063">+IF(MONTH(BV3)=12,BU163-((SUM(BK$93:BV$93)*0.2)/2)-BV166, BU163-BV166)</f>
        <v>-76945.865512146294</v>
      </c>
      <c r="BW163" s="350">
        <f t="shared" si="1063"/>
        <v>-188226.07895114535</v>
      </c>
      <c r="BX163" s="91">
        <f t="shared" si="1063"/>
        <v>-188226.07895114535</v>
      </c>
      <c r="BY163" s="91">
        <f t="shared" si="1063"/>
        <v>-188226.07895114535</v>
      </c>
      <c r="BZ163" s="91">
        <f t="shared" si="1063"/>
        <v>-188226.07895114535</v>
      </c>
      <c r="CA163" s="91">
        <f t="shared" si="1063"/>
        <v>-188226.07895114535</v>
      </c>
      <c r="CB163" s="91">
        <f t="shared" si="1063"/>
        <v>-188226.07895114535</v>
      </c>
      <c r="CC163" s="91">
        <f t="shared" si="1063"/>
        <v>-188226.07895114535</v>
      </c>
      <c r="CD163" s="91">
        <f t="shared" si="1063"/>
        <v>-188226.07895114535</v>
      </c>
      <c r="CE163" s="91">
        <f t="shared" si="1063"/>
        <v>-188226.07895114535</v>
      </c>
      <c r="CF163" s="91">
        <f t="shared" si="1063"/>
        <v>-188226.07895114535</v>
      </c>
      <c r="CG163" s="91">
        <f t="shared" si="1063"/>
        <v>-188226.07895114535</v>
      </c>
      <c r="CH163" s="91">
        <f t="shared" si="1063"/>
        <v>-188226.07895114535</v>
      </c>
      <c r="CI163" s="350">
        <f t="shared" si="1063"/>
        <v>-359621.65168497839</v>
      </c>
      <c r="CJ163" s="91">
        <f t="shared" si="1063"/>
        <v>-359621.65168497839</v>
      </c>
      <c r="CK163" s="91">
        <f t="shared" si="1063"/>
        <v>-359621.65168497839</v>
      </c>
      <c r="CL163" s="91">
        <f t="shared" si="1063"/>
        <v>-359621.65168497839</v>
      </c>
      <c r="CM163" s="91">
        <f t="shared" si="1063"/>
        <v>-359621.65168497839</v>
      </c>
      <c r="CN163" s="91">
        <f t="shared" si="1063"/>
        <v>-359621.65168497839</v>
      </c>
      <c r="CO163" s="91">
        <f t="shared" si="1063"/>
        <v>-359621.65168497839</v>
      </c>
      <c r="CP163" s="91">
        <f t="shared" si="1063"/>
        <v>-359621.65168497839</v>
      </c>
      <c r="CQ163" s="91">
        <f t="shared" si="1063"/>
        <v>-359621.65168497839</v>
      </c>
      <c r="CR163" s="91">
        <f t="shared" si="1063"/>
        <v>-359621.65168497839</v>
      </c>
      <c r="CS163" s="91">
        <f t="shared" si="1063"/>
        <v>-359621.65168497839</v>
      </c>
      <c r="CT163" s="91">
        <f t="shared" si="1063"/>
        <v>-359621.65168497839</v>
      </c>
      <c r="CU163" s="350">
        <f t="shared" si="1063"/>
        <v>-551496.73526698188</v>
      </c>
      <c r="CV163" s="91">
        <f t="shared" si="1063"/>
        <v>-551496.73526698188</v>
      </c>
      <c r="CW163" s="91">
        <f t="shared" si="1063"/>
        <v>-551496.73526698188</v>
      </c>
      <c r="CX163" s="91">
        <f t="shared" si="1063"/>
        <v>-551496.73526698188</v>
      </c>
      <c r="CY163" s="91">
        <f t="shared" si="1063"/>
        <v>-551496.73526698188</v>
      </c>
      <c r="CZ163" s="91">
        <f t="shared" si="1063"/>
        <v>-551496.73526698188</v>
      </c>
      <c r="DA163" s="91">
        <f t="shared" si="1063"/>
        <v>-551496.73526698188</v>
      </c>
      <c r="DB163" s="91">
        <f t="shared" ref="DB163:DG163" si="1064">+IF(MONTH(DB3)=12,DA163-((SUM(CQ$93:DB$93)*0.2)/2)-DB166, DA163-DB166)</f>
        <v>-551496.73526698188</v>
      </c>
      <c r="DC163" s="91">
        <f t="shared" si="1064"/>
        <v>-551496.73526698188</v>
      </c>
      <c r="DD163" s="91">
        <f t="shared" si="1064"/>
        <v>-551496.73526698188</v>
      </c>
      <c r="DE163" s="91">
        <f t="shared" si="1064"/>
        <v>-551496.73526698188</v>
      </c>
      <c r="DF163" s="91">
        <f t="shared" si="1064"/>
        <v>-551496.73526698188</v>
      </c>
      <c r="DG163" s="350">
        <f t="shared" si="1064"/>
        <v>-817089.81992221926</v>
      </c>
    </row>
    <row r="164" spans="1:111" x14ac:dyDescent="0.25">
      <c r="B164" s="1" t="s">
        <v>267</v>
      </c>
      <c r="C164" s="1"/>
      <c r="D164" s="2">
        <v>0</v>
      </c>
      <c r="E164" s="2">
        <v>12</v>
      </c>
      <c r="F164" s="2">
        <v>23.83</v>
      </c>
      <c r="G164" s="2">
        <v>35.83</v>
      </c>
      <c r="H164" s="2">
        <v>167.83</v>
      </c>
      <c r="I164" s="2">
        <v>985.19</v>
      </c>
      <c r="J164" s="2">
        <v>1997.19</v>
      </c>
      <c r="K164" s="2">
        <v>2009.19</v>
      </c>
      <c r="L164" s="2">
        <v>2121.19</v>
      </c>
      <c r="M164" s="2">
        <v>2133.19</v>
      </c>
      <c r="N164" s="137">
        <v>2145.19</v>
      </c>
      <c r="O164" s="2">
        <v>3745.19</v>
      </c>
      <c r="P164" s="2">
        <v>0</v>
      </c>
      <c r="Q164" s="91">
        <v>0</v>
      </c>
      <c r="R164" s="253">
        <v>0</v>
      </c>
      <c r="S164" s="253">
        <v>0</v>
      </c>
      <c r="T164" s="253">
        <v>0</v>
      </c>
      <c r="U164" s="253">
        <v>0</v>
      </c>
      <c r="V164" s="253">
        <v>0</v>
      </c>
      <c r="W164" s="253">
        <v>0</v>
      </c>
      <c r="X164" s="253">
        <v>0</v>
      </c>
      <c r="Y164" s="253">
        <v>0</v>
      </c>
      <c r="Z164" s="253">
        <v>-10000</v>
      </c>
      <c r="AA164" s="253">
        <v>-10000</v>
      </c>
      <c r="AB164" s="253">
        <v>-10000</v>
      </c>
      <c r="AC164" s="253">
        <v>-20000</v>
      </c>
      <c r="AD164" s="253">
        <v>-20000</v>
      </c>
      <c r="AE164" s="253">
        <v>-45000</v>
      </c>
      <c r="AF164" s="253">
        <v>-45000</v>
      </c>
      <c r="AG164" s="253">
        <v>-45000</v>
      </c>
      <c r="AH164" s="253">
        <v>-45000</v>
      </c>
      <c r="AI164" s="253">
        <v>-45000</v>
      </c>
      <c r="AJ164" s="253">
        <v>-45000</v>
      </c>
      <c r="AK164" s="253">
        <v>-45000</v>
      </c>
      <c r="AL164" s="253">
        <v>-45000</v>
      </c>
      <c r="AM164" s="253">
        <v>-50000</v>
      </c>
      <c r="AN164" s="253">
        <v>-50000</v>
      </c>
      <c r="AO164" s="253">
        <v>-50000</v>
      </c>
      <c r="AP164" s="253">
        <v>-50000</v>
      </c>
      <c r="AQ164" s="253">
        <v>-50000</v>
      </c>
      <c r="AR164" s="253">
        <v>-50000</v>
      </c>
      <c r="AS164" s="758">
        <v>-50000</v>
      </c>
      <c r="AT164" s="254">
        <f t="shared" ref="AT164:BU164" si="1065">+IF(MONTH(AT3)=12,AS164-((SUM(AI$93:AT$93)*0.2)/2)-AT167, AS164-AT167)</f>
        <v>-50000</v>
      </c>
      <c r="AU164" s="91">
        <f t="shared" si="1065"/>
        <v>-50000</v>
      </c>
      <c r="AV164" s="91">
        <f t="shared" si="1065"/>
        <v>-50000</v>
      </c>
      <c r="AW164" s="91">
        <f t="shared" si="1065"/>
        <v>-50000</v>
      </c>
      <c r="AX164" s="91">
        <f t="shared" si="1065"/>
        <v>-50000</v>
      </c>
      <c r="AY164" s="350">
        <f t="shared" si="1065"/>
        <v>-44368.834658517801</v>
      </c>
      <c r="AZ164" s="91">
        <f t="shared" si="1065"/>
        <v>-44368.834658517801</v>
      </c>
      <c r="BA164" s="91">
        <f t="shared" si="1065"/>
        <v>-44368.834658517801</v>
      </c>
      <c r="BB164" s="91">
        <f t="shared" si="1065"/>
        <v>-44368.834658517801</v>
      </c>
      <c r="BC164" s="91">
        <f t="shared" si="1065"/>
        <v>-44368.834658517801</v>
      </c>
      <c r="BD164" s="91">
        <f t="shared" si="1065"/>
        <v>-44368.834658517801</v>
      </c>
      <c r="BE164" s="91">
        <f t="shared" si="1065"/>
        <v>-44368.834658517801</v>
      </c>
      <c r="BF164" s="91">
        <f t="shared" si="1065"/>
        <v>-44368.834658517801</v>
      </c>
      <c r="BG164" s="91">
        <f t="shared" si="1065"/>
        <v>-44368.834658517801</v>
      </c>
      <c r="BH164" s="91">
        <f t="shared" si="1065"/>
        <v>-44368.834658517801</v>
      </c>
      <c r="BI164" s="91">
        <f t="shared" si="1065"/>
        <v>-44368.834658517801</v>
      </c>
      <c r="BJ164" s="91">
        <f t="shared" si="1065"/>
        <v>-44368.834658517801</v>
      </c>
      <c r="BK164" s="350">
        <f t="shared" si="1065"/>
        <v>-76945.865512146294</v>
      </c>
      <c r="BL164" s="91">
        <f t="shared" si="1065"/>
        <v>-76945.865512146294</v>
      </c>
      <c r="BM164" s="91">
        <f t="shared" si="1065"/>
        <v>-76945.865512146294</v>
      </c>
      <c r="BN164" s="91">
        <f t="shared" si="1065"/>
        <v>-76945.865512146294</v>
      </c>
      <c r="BO164" s="91">
        <f t="shared" si="1065"/>
        <v>-76945.865512146294</v>
      </c>
      <c r="BP164" s="91">
        <f t="shared" si="1065"/>
        <v>-76945.865512146294</v>
      </c>
      <c r="BQ164" s="91">
        <f t="shared" si="1065"/>
        <v>-76945.865512146294</v>
      </c>
      <c r="BR164" s="91">
        <f t="shared" si="1065"/>
        <v>-76945.865512146294</v>
      </c>
      <c r="BS164" s="91">
        <f t="shared" si="1065"/>
        <v>-76945.865512146294</v>
      </c>
      <c r="BT164" s="91">
        <f t="shared" si="1065"/>
        <v>-76945.865512146294</v>
      </c>
      <c r="BU164" s="91">
        <f t="shared" si="1065"/>
        <v>-76945.865512146294</v>
      </c>
      <c r="BV164" s="91">
        <f t="shared" ref="BV164:DA164" si="1066">+IF(MONTH(BV3)=12,BU164-((SUM(BK$93:BV$93)*0.2)/2)-BV167, BU164-BV167)</f>
        <v>-76945.865512146294</v>
      </c>
      <c r="BW164" s="350">
        <f t="shared" si="1066"/>
        <v>-188226.07895114535</v>
      </c>
      <c r="BX164" s="91">
        <f t="shared" si="1066"/>
        <v>-188226.07895114535</v>
      </c>
      <c r="BY164" s="91">
        <f t="shared" si="1066"/>
        <v>-188226.07895114535</v>
      </c>
      <c r="BZ164" s="91">
        <f t="shared" si="1066"/>
        <v>-188226.07895114535</v>
      </c>
      <c r="CA164" s="91">
        <f t="shared" si="1066"/>
        <v>-188226.07895114535</v>
      </c>
      <c r="CB164" s="91">
        <f t="shared" si="1066"/>
        <v>-188226.07895114535</v>
      </c>
      <c r="CC164" s="91">
        <f t="shared" si="1066"/>
        <v>-188226.07895114535</v>
      </c>
      <c r="CD164" s="91">
        <f t="shared" si="1066"/>
        <v>-188226.07895114535</v>
      </c>
      <c r="CE164" s="91">
        <f t="shared" si="1066"/>
        <v>-188226.07895114535</v>
      </c>
      <c r="CF164" s="91">
        <f t="shared" si="1066"/>
        <v>-188226.07895114535</v>
      </c>
      <c r="CG164" s="91">
        <f t="shared" si="1066"/>
        <v>-188226.07895114535</v>
      </c>
      <c r="CH164" s="91">
        <f t="shared" si="1066"/>
        <v>-188226.07895114535</v>
      </c>
      <c r="CI164" s="350">
        <f t="shared" si="1066"/>
        <v>-359621.65168497839</v>
      </c>
      <c r="CJ164" s="91">
        <f t="shared" si="1066"/>
        <v>-359621.65168497839</v>
      </c>
      <c r="CK164" s="91">
        <f t="shared" si="1066"/>
        <v>-359621.65168497839</v>
      </c>
      <c r="CL164" s="91">
        <f t="shared" si="1066"/>
        <v>-359621.65168497839</v>
      </c>
      <c r="CM164" s="91">
        <f t="shared" si="1066"/>
        <v>-359621.65168497839</v>
      </c>
      <c r="CN164" s="91">
        <f t="shared" si="1066"/>
        <v>-359621.65168497839</v>
      </c>
      <c r="CO164" s="91">
        <f t="shared" si="1066"/>
        <v>-359621.65168497839</v>
      </c>
      <c r="CP164" s="91">
        <f t="shared" si="1066"/>
        <v>-359621.65168497839</v>
      </c>
      <c r="CQ164" s="91">
        <f t="shared" si="1066"/>
        <v>-359621.65168497839</v>
      </c>
      <c r="CR164" s="91">
        <f t="shared" si="1066"/>
        <v>-359621.65168497839</v>
      </c>
      <c r="CS164" s="91">
        <f t="shared" si="1066"/>
        <v>-359621.65168497839</v>
      </c>
      <c r="CT164" s="91">
        <f t="shared" si="1066"/>
        <v>-359621.65168497839</v>
      </c>
      <c r="CU164" s="350">
        <f t="shared" si="1066"/>
        <v>-551496.73526698188</v>
      </c>
      <c r="CV164" s="91">
        <f t="shared" si="1066"/>
        <v>-551496.73526698188</v>
      </c>
      <c r="CW164" s="91">
        <f t="shared" si="1066"/>
        <v>-551496.73526698188</v>
      </c>
      <c r="CX164" s="91">
        <f t="shared" si="1066"/>
        <v>-551496.73526698188</v>
      </c>
      <c r="CY164" s="91">
        <f t="shared" si="1066"/>
        <v>-551496.73526698188</v>
      </c>
      <c r="CZ164" s="91">
        <f t="shared" si="1066"/>
        <v>-551496.73526698188</v>
      </c>
      <c r="DA164" s="91">
        <f t="shared" si="1066"/>
        <v>-551496.73526698188</v>
      </c>
      <c r="DB164" s="91">
        <f t="shared" ref="DB164:DG164" si="1067">+IF(MONTH(DB3)=12,DA164-((SUM(CQ$93:DB$93)*0.2)/2)-DB167, DA164-DB167)</f>
        <v>-551496.73526698188</v>
      </c>
      <c r="DC164" s="91">
        <f t="shared" si="1067"/>
        <v>-551496.73526698188</v>
      </c>
      <c r="DD164" s="91">
        <f t="shared" si="1067"/>
        <v>-551496.73526698188</v>
      </c>
      <c r="DE164" s="91">
        <f t="shared" si="1067"/>
        <v>-551496.73526698188</v>
      </c>
      <c r="DF164" s="91">
        <f t="shared" si="1067"/>
        <v>-551496.73526698188</v>
      </c>
      <c r="DG164" s="350">
        <f t="shared" si="1067"/>
        <v>-817089.81992221926</v>
      </c>
    </row>
    <row r="165" spans="1:111" x14ac:dyDescent="0.25">
      <c r="A165" s="5"/>
      <c r="B165" s="6" t="s">
        <v>268</v>
      </c>
      <c r="C165" s="6"/>
      <c r="D165" s="36">
        <f t="shared" ref="D165:N165" si="1068">SUM(D163:D164)</f>
        <v>0</v>
      </c>
      <c r="E165" s="36">
        <f t="shared" si="1068"/>
        <v>12</v>
      </c>
      <c r="F165" s="36">
        <f t="shared" si="1068"/>
        <v>23.83</v>
      </c>
      <c r="G165" s="36">
        <f t="shared" si="1068"/>
        <v>135.82999999999998</v>
      </c>
      <c r="H165" s="36">
        <f t="shared" si="1068"/>
        <v>267.83000000000004</v>
      </c>
      <c r="I165" s="36">
        <f t="shared" si="1068"/>
        <v>1085.19</v>
      </c>
      <c r="J165" s="36">
        <f t="shared" si="1068"/>
        <v>2597.19</v>
      </c>
      <c r="K165" s="36">
        <f t="shared" si="1068"/>
        <v>2609.19</v>
      </c>
      <c r="L165" s="36">
        <f t="shared" si="1068"/>
        <v>3371.19</v>
      </c>
      <c r="M165" s="36">
        <f t="shared" si="1068"/>
        <v>3683.19</v>
      </c>
      <c r="N165" s="36">
        <f t="shared" si="1068"/>
        <v>3695.19</v>
      </c>
      <c r="O165" s="36">
        <f>SUM(O163:O164)</f>
        <v>6795.1900000000005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f>SUM(X162:X164)</f>
        <v>0</v>
      </c>
      <c r="Y165" s="36">
        <f t="shared" ref="Y165:CJ165" si="1069">SUM(Y162:Y164)</f>
        <v>0</v>
      </c>
      <c r="Z165" s="36">
        <f t="shared" si="1069"/>
        <v>-10000</v>
      </c>
      <c r="AA165" s="36">
        <f t="shared" si="1069"/>
        <v>-20000</v>
      </c>
      <c r="AB165" s="36">
        <f t="shared" si="1069"/>
        <v>-20000</v>
      </c>
      <c r="AC165" s="36">
        <f t="shared" ref="AC165" si="1070">SUM(AC162:AC164)</f>
        <v>-40000</v>
      </c>
      <c r="AD165" s="36">
        <f t="shared" ref="AD165:AE165" si="1071">SUM(AD162:AD164)</f>
        <v>-40000</v>
      </c>
      <c r="AE165" s="36">
        <f t="shared" si="1071"/>
        <v>-90000</v>
      </c>
      <c r="AF165" s="36">
        <f t="shared" ref="AF165:AG165" si="1072">SUM(AF162:AF164)</f>
        <v>-90000</v>
      </c>
      <c r="AG165" s="36">
        <f t="shared" si="1072"/>
        <v>-90000</v>
      </c>
      <c r="AH165" s="36">
        <f t="shared" ref="AH165:AI165" si="1073">SUM(AH162:AH164)</f>
        <v>-90000</v>
      </c>
      <c r="AI165" s="36">
        <f t="shared" si="1073"/>
        <v>-90000</v>
      </c>
      <c r="AJ165" s="36">
        <f t="shared" ref="AJ165:AK165" si="1074">SUM(AJ162:AJ164)</f>
        <v>-90000</v>
      </c>
      <c r="AK165" s="36">
        <f t="shared" si="1074"/>
        <v>-90000</v>
      </c>
      <c r="AL165" s="36">
        <f t="shared" ref="AL165:AM165" si="1075">SUM(AL162:AL164)</f>
        <v>-90000</v>
      </c>
      <c r="AM165" s="36">
        <f t="shared" si="1075"/>
        <v>-100000</v>
      </c>
      <c r="AN165" s="36">
        <f t="shared" ref="AN165" si="1076">SUM(AN162:AN164)</f>
        <v>-100000</v>
      </c>
      <c r="AO165" s="36">
        <f t="shared" ref="AO165:AP165" si="1077">SUM(AO162:AO164)</f>
        <v>-100000</v>
      </c>
      <c r="AP165" s="36">
        <f t="shared" si="1077"/>
        <v>-100000</v>
      </c>
      <c r="AQ165" s="36">
        <f t="shared" ref="AQ165:AR165" si="1078">SUM(AQ162:AQ164)</f>
        <v>-100000</v>
      </c>
      <c r="AR165" s="36">
        <f t="shared" si="1078"/>
        <v>-100000</v>
      </c>
      <c r="AS165" s="159">
        <f t="shared" ref="AS165" si="1079">SUM(AS162:AS164)</f>
        <v>-100000</v>
      </c>
      <c r="AT165" s="36">
        <f t="shared" ref="AT165" si="1080">SUM(AT162:AT164)</f>
        <v>-100000</v>
      </c>
      <c r="AU165" s="36">
        <f t="shared" si="1069"/>
        <v>-100000</v>
      </c>
      <c r="AV165" s="36">
        <f t="shared" si="1069"/>
        <v>-100000</v>
      </c>
      <c r="AW165" s="36">
        <f t="shared" si="1069"/>
        <v>-100000</v>
      </c>
      <c r="AX165" s="36">
        <f t="shared" si="1069"/>
        <v>-100000</v>
      </c>
      <c r="AY165" s="159">
        <f t="shared" si="1069"/>
        <v>-88737.669317035601</v>
      </c>
      <c r="AZ165" s="36">
        <f t="shared" si="1069"/>
        <v>-88737.669317035601</v>
      </c>
      <c r="BA165" s="36">
        <f t="shared" si="1069"/>
        <v>-88737.669317035601</v>
      </c>
      <c r="BB165" s="36">
        <f t="shared" si="1069"/>
        <v>-88737.669317035601</v>
      </c>
      <c r="BC165" s="36">
        <f t="shared" si="1069"/>
        <v>-88737.669317035601</v>
      </c>
      <c r="BD165" s="36">
        <f t="shared" si="1069"/>
        <v>-88737.669317035601</v>
      </c>
      <c r="BE165" s="36">
        <f t="shared" si="1069"/>
        <v>-88737.669317035601</v>
      </c>
      <c r="BF165" s="36">
        <f t="shared" si="1069"/>
        <v>-88737.669317035601</v>
      </c>
      <c r="BG165" s="36">
        <f t="shared" si="1069"/>
        <v>-88737.669317035601</v>
      </c>
      <c r="BH165" s="36">
        <f t="shared" si="1069"/>
        <v>-88737.669317035601</v>
      </c>
      <c r="BI165" s="36">
        <f t="shared" si="1069"/>
        <v>-88737.669317035601</v>
      </c>
      <c r="BJ165" s="36">
        <f t="shared" si="1069"/>
        <v>-88737.669317035601</v>
      </c>
      <c r="BK165" s="159">
        <f t="shared" si="1069"/>
        <v>-153891.73102429259</v>
      </c>
      <c r="BL165" s="36">
        <f t="shared" si="1069"/>
        <v>-153891.73102429259</v>
      </c>
      <c r="BM165" s="36">
        <f t="shared" si="1069"/>
        <v>-153891.73102429259</v>
      </c>
      <c r="BN165" s="36">
        <f t="shared" si="1069"/>
        <v>-153891.73102429259</v>
      </c>
      <c r="BO165" s="36">
        <f t="shared" si="1069"/>
        <v>-153891.73102429259</v>
      </c>
      <c r="BP165" s="36">
        <f t="shared" si="1069"/>
        <v>-153891.73102429259</v>
      </c>
      <c r="BQ165" s="36">
        <f t="shared" si="1069"/>
        <v>-153891.73102429259</v>
      </c>
      <c r="BR165" s="36">
        <f t="shared" si="1069"/>
        <v>-153891.73102429259</v>
      </c>
      <c r="BS165" s="36">
        <f t="shared" si="1069"/>
        <v>-153891.73102429259</v>
      </c>
      <c r="BT165" s="36">
        <f t="shared" si="1069"/>
        <v>-153891.73102429259</v>
      </c>
      <c r="BU165" s="36">
        <f t="shared" si="1069"/>
        <v>-153891.73102429259</v>
      </c>
      <c r="BV165" s="36">
        <f t="shared" si="1069"/>
        <v>-153891.73102429259</v>
      </c>
      <c r="BW165" s="159">
        <f t="shared" si="1069"/>
        <v>-376452.1579022907</v>
      </c>
      <c r="BX165" s="36">
        <f t="shared" si="1069"/>
        <v>-376452.1579022907</v>
      </c>
      <c r="BY165" s="36">
        <f t="shared" si="1069"/>
        <v>-376452.1579022907</v>
      </c>
      <c r="BZ165" s="36">
        <f t="shared" si="1069"/>
        <v>-376452.1579022907</v>
      </c>
      <c r="CA165" s="36">
        <f t="shared" si="1069"/>
        <v>-376452.1579022907</v>
      </c>
      <c r="CB165" s="36">
        <f t="shared" si="1069"/>
        <v>-376452.1579022907</v>
      </c>
      <c r="CC165" s="36">
        <f t="shared" si="1069"/>
        <v>-376452.1579022907</v>
      </c>
      <c r="CD165" s="36">
        <f t="shared" si="1069"/>
        <v>-376452.1579022907</v>
      </c>
      <c r="CE165" s="36">
        <f t="shared" si="1069"/>
        <v>-376452.1579022907</v>
      </c>
      <c r="CF165" s="36">
        <f t="shared" si="1069"/>
        <v>-376452.1579022907</v>
      </c>
      <c r="CG165" s="36">
        <f t="shared" si="1069"/>
        <v>-376452.1579022907</v>
      </c>
      <c r="CH165" s="36">
        <f t="shared" si="1069"/>
        <v>-376452.1579022907</v>
      </c>
      <c r="CI165" s="159">
        <f t="shared" si="1069"/>
        <v>-719243.30336995679</v>
      </c>
      <c r="CJ165" s="36">
        <f t="shared" si="1069"/>
        <v>-719243.30336995679</v>
      </c>
      <c r="CK165" s="36">
        <f t="shared" ref="CK165:DG165" si="1081">SUM(CK162:CK164)</f>
        <v>-719243.30336995679</v>
      </c>
      <c r="CL165" s="36">
        <f t="shared" si="1081"/>
        <v>-719243.30336995679</v>
      </c>
      <c r="CM165" s="36">
        <f t="shared" si="1081"/>
        <v>-719243.30336995679</v>
      </c>
      <c r="CN165" s="36">
        <f t="shared" si="1081"/>
        <v>-719243.30336995679</v>
      </c>
      <c r="CO165" s="36">
        <f t="shared" si="1081"/>
        <v>-719243.30336995679</v>
      </c>
      <c r="CP165" s="36">
        <f t="shared" si="1081"/>
        <v>-719243.30336995679</v>
      </c>
      <c r="CQ165" s="36">
        <f t="shared" si="1081"/>
        <v>-719243.30336995679</v>
      </c>
      <c r="CR165" s="36">
        <f t="shared" si="1081"/>
        <v>-719243.30336995679</v>
      </c>
      <c r="CS165" s="36">
        <f t="shared" si="1081"/>
        <v>-719243.30336995679</v>
      </c>
      <c r="CT165" s="36">
        <f t="shared" si="1081"/>
        <v>-719243.30336995679</v>
      </c>
      <c r="CU165" s="159">
        <f t="shared" si="1081"/>
        <v>-1102993.4705339638</v>
      </c>
      <c r="CV165" s="36">
        <f t="shared" si="1081"/>
        <v>-1102993.4705339638</v>
      </c>
      <c r="CW165" s="36">
        <f t="shared" si="1081"/>
        <v>-1102993.4705339638</v>
      </c>
      <c r="CX165" s="36">
        <f t="shared" si="1081"/>
        <v>-1102993.4705339638</v>
      </c>
      <c r="CY165" s="36">
        <f t="shared" si="1081"/>
        <v>-1102993.4705339638</v>
      </c>
      <c r="CZ165" s="36">
        <f t="shared" si="1081"/>
        <v>-1102993.4705339638</v>
      </c>
      <c r="DA165" s="36">
        <f t="shared" si="1081"/>
        <v>-1102993.4705339638</v>
      </c>
      <c r="DB165" s="36">
        <f t="shared" si="1081"/>
        <v>-1102993.4705339638</v>
      </c>
      <c r="DC165" s="36">
        <f t="shared" si="1081"/>
        <v>-1102993.4705339638</v>
      </c>
      <c r="DD165" s="36">
        <f t="shared" si="1081"/>
        <v>-1102993.4705339638</v>
      </c>
      <c r="DE165" s="36">
        <f t="shared" si="1081"/>
        <v>-1102993.4705339638</v>
      </c>
      <c r="DF165" s="36">
        <f t="shared" si="1081"/>
        <v>-1102993.4705339638</v>
      </c>
      <c r="DG165" s="36">
        <f t="shared" si="1081"/>
        <v>-1634179.6398444385</v>
      </c>
    </row>
    <row r="166" spans="1:111" s="142" customFormat="1" x14ac:dyDescent="0.25">
      <c r="B166" s="427" t="s">
        <v>443</v>
      </c>
      <c r="C166" s="424"/>
      <c r="D166" s="425"/>
      <c r="E166" s="425"/>
      <c r="F166" s="425"/>
      <c r="G166" s="425"/>
      <c r="H166" s="425"/>
      <c r="I166" s="425"/>
      <c r="J166" s="425"/>
      <c r="K166" s="425"/>
      <c r="L166" s="425"/>
      <c r="M166" s="425"/>
      <c r="N166" s="425"/>
      <c r="O166" s="425"/>
      <c r="P166" s="425"/>
      <c r="Q166" s="425"/>
      <c r="R166" s="425"/>
      <c r="S166" s="425"/>
      <c r="T166" s="425"/>
      <c r="U166" s="425"/>
      <c r="V166" s="425"/>
      <c r="W166" s="425"/>
      <c r="X166" s="425"/>
      <c r="Y166" s="425"/>
      <c r="Z166" s="425"/>
      <c r="AA166" s="425"/>
      <c r="AB166" s="425"/>
      <c r="AC166" s="425"/>
      <c r="AD166" s="425"/>
      <c r="AE166" s="425"/>
      <c r="AF166" s="425"/>
      <c r="AG166" s="425"/>
      <c r="AH166" s="425"/>
      <c r="AI166" s="425"/>
      <c r="AJ166" s="425"/>
      <c r="AK166" s="425"/>
      <c r="AL166" s="425"/>
      <c r="AM166" s="425"/>
      <c r="AN166" s="425"/>
      <c r="AO166" s="425"/>
      <c r="AP166" s="425"/>
      <c r="AQ166" s="425"/>
      <c r="AR166" s="425"/>
      <c r="AS166" s="426"/>
      <c r="AT166" s="425"/>
      <c r="AU166" s="425">
        <f t="shared" ref="AU166:BV166" si="1082">+IF(AT1&lt;&gt;AU1, AT166*1.2, AT166)</f>
        <v>0</v>
      </c>
      <c r="AV166" s="425">
        <f t="shared" si="1082"/>
        <v>0</v>
      </c>
      <c r="AW166" s="425">
        <f t="shared" si="1082"/>
        <v>0</v>
      </c>
      <c r="AX166" s="425">
        <f t="shared" si="1082"/>
        <v>0</v>
      </c>
      <c r="AY166" s="426">
        <f t="shared" si="1082"/>
        <v>0</v>
      </c>
      <c r="AZ166" s="428">
        <f t="shared" si="1082"/>
        <v>0</v>
      </c>
      <c r="BA166" s="425">
        <f t="shared" si="1082"/>
        <v>0</v>
      </c>
      <c r="BB166" s="425">
        <f t="shared" si="1082"/>
        <v>0</v>
      </c>
      <c r="BC166" s="425">
        <f t="shared" si="1082"/>
        <v>0</v>
      </c>
      <c r="BD166" s="425">
        <f t="shared" si="1082"/>
        <v>0</v>
      </c>
      <c r="BE166" s="425">
        <f t="shared" si="1082"/>
        <v>0</v>
      </c>
      <c r="BF166" s="425">
        <f t="shared" si="1082"/>
        <v>0</v>
      </c>
      <c r="BG166" s="425">
        <f t="shared" si="1082"/>
        <v>0</v>
      </c>
      <c r="BH166" s="425">
        <f t="shared" si="1082"/>
        <v>0</v>
      </c>
      <c r="BI166" s="425">
        <f t="shared" si="1082"/>
        <v>0</v>
      </c>
      <c r="BJ166" s="425">
        <f t="shared" si="1082"/>
        <v>0</v>
      </c>
      <c r="BK166" s="426">
        <f t="shared" si="1082"/>
        <v>0</v>
      </c>
      <c r="BL166" s="425">
        <f t="shared" si="1082"/>
        <v>0</v>
      </c>
      <c r="BM166" s="425">
        <f t="shared" si="1082"/>
        <v>0</v>
      </c>
      <c r="BN166" s="425">
        <f t="shared" si="1082"/>
        <v>0</v>
      </c>
      <c r="BO166" s="425">
        <f t="shared" si="1082"/>
        <v>0</v>
      </c>
      <c r="BP166" s="425">
        <f t="shared" si="1082"/>
        <v>0</v>
      </c>
      <c r="BQ166" s="425">
        <f t="shared" si="1082"/>
        <v>0</v>
      </c>
      <c r="BR166" s="425">
        <f t="shared" si="1082"/>
        <v>0</v>
      </c>
      <c r="BS166" s="425">
        <f t="shared" si="1082"/>
        <v>0</v>
      </c>
      <c r="BT166" s="425">
        <f t="shared" si="1082"/>
        <v>0</v>
      </c>
      <c r="BU166" s="425">
        <f t="shared" si="1082"/>
        <v>0</v>
      </c>
      <c r="BV166" s="425">
        <f t="shared" si="1082"/>
        <v>0</v>
      </c>
      <c r="BW166" s="426">
        <f t="shared" ref="BW166:DG166" si="1083">+IF(BV1&lt;&gt;BW1, BV166*1.2, BV166)</f>
        <v>0</v>
      </c>
      <c r="BX166" s="425">
        <f t="shared" si="1083"/>
        <v>0</v>
      </c>
      <c r="BY166" s="425">
        <f t="shared" si="1083"/>
        <v>0</v>
      </c>
      <c r="BZ166" s="425">
        <f t="shared" si="1083"/>
        <v>0</v>
      </c>
      <c r="CA166" s="425">
        <f t="shared" si="1083"/>
        <v>0</v>
      </c>
      <c r="CB166" s="425">
        <f t="shared" si="1083"/>
        <v>0</v>
      </c>
      <c r="CC166" s="425">
        <f t="shared" si="1083"/>
        <v>0</v>
      </c>
      <c r="CD166" s="425">
        <f t="shared" si="1083"/>
        <v>0</v>
      </c>
      <c r="CE166" s="425">
        <f t="shared" si="1083"/>
        <v>0</v>
      </c>
      <c r="CF166" s="425">
        <f t="shared" si="1083"/>
        <v>0</v>
      </c>
      <c r="CG166" s="425">
        <f t="shared" si="1083"/>
        <v>0</v>
      </c>
      <c r="CH166" s="425">
        <f t="shared" si="1083"/>
        <v>0</v>
      </c>
      <c r="CI166" s="426">
        <f t="shared" si="1083"/>
        <v>0</v>
      </c>
      <c r="CJ166" s="425">
        <f t="shared" si="1083"/>
        <v>0</v>
      </c>
      <c r="CK166" s="425">
        <f t="shared" si="1083"/>
        <v>0</v>
      </c>
      <c r="CL166" s="425">
        <f t="shared" si="1083"/>
        <v>0</v>
      </c>
      <c r="CM166" s="425">
        <f t="shared" si="1083"/>
        <v>0</v>
      </c>
      <c r="CN166" s="425">
        <f t="shared" si="1083"/>
        <v>0</v>
      </c>
      <c r="CO166" s="425">
        <f t="shared" si="1083"/>
        <v>0</v>
      </c>
      <c r="CP166" s="425">
        <f t="shared" si="1083"/>
        <v>0</v>
      </c>
      <c r="CQ166" s="425">
        <f t="shared" si="1083"/>
        <v>0</v>
      </c>
      <c r="CR166" s="425">
        <f t="shared" si="1083"/>
        <v>0</v>
      </c>
      <c r="CS166" s="425">
        <f t="shared" si="1083"/>
        <v>0</v>
      </c>
      <c r="CT166" s="425">
        <f t="shared" si="1083"/>
        <v>0</v>
      </c>
      <c r="CU166" s="426">
        <f t="shared" si="1083"/>
        <v>0</v>
      </c>
      <c r="CV166" s="425">
        <f t="shared" si="1083"/>
        <v>0</v>
      </c>
      <c r="CW166" s="425">
        <f t="shared" si="1083"/>
        <v>0</v>
      </c>
      <c r="CX166" s="425">
        <f t="shared" si="1083"/>
        <v>0</v>
      </c>
      <c r="CY166" s="425">
        <f t="shared" si="1083"/>
        <v>0</v>
      </c>
      <c r="CZ166" s="425">
        <f t="shared" si="1083"/>
        <v>0</v>
      </c>
      <c r="DA166" s="425">
        <f t="shared" si="1083"/>
        <v>0</v>
      </c>
      <c r="DB166" s="425">
        <f t="shared" si="1083"/>
        <v>0</v>
      </c>
      <c r="DC166" s="425">
        <f t="shared" si="1083"/>
        <v>0</v>
      </c>
      <c r="DD166" s="425">
        <f t="shared" si="1083"/>
        <v>0</v>
      </c>
      <c r="DE166" s="425">
        <f t="shared" si="1083"/>
        <v>0</v>
      </c>
      <c r="DF166" s="425">
        <f t="shared" si="1083"/>
        <v>0</v>
      </c>
      <c r="DG166" s="425">
        <f t="shared" si="1083"/>
        <v>0</v>
      </c>
    </row>
    <row r="167" spans="1:111" s="142" customFormat="1" x14ac:dyDescent="0.25">
      <c r="B167" s="427" t="s">
        <v>444</v>
      </c>
      <c r="C167" s="424"/>
      <c r="D167" s="425"/>
      <c r="E167" s="425"/>
      <c r="F167" s="425"/>
      <c r="G167" s="425"/>
      <c r="H167" s="425"/>
      <c r="I167" s="425"/>
      <c r="J167" s="425"/>
      <c r="K167" s="425"/>
      <c r="L167" s="425"/>
      <c r="M167" s="425"/>
      <c r="N167" s="425"/>
      <c r="O167" s="425"/>
      <c r="P167" s="425"/>
      <c r="Q167" s="425"/>
      <c r="R167" s="425"/>
      <c r="S167" s="425"/>
      <c r="T167" s="425"/>
      <c r="U167" s="425"/>
      <c r="V167" s="425"/>
      <c r="W167" s="425"/>
      <c r="X167" s="425"/>
      <c r="Y167" s="425"/>
      <c r="Z167" s="425"/>
      <c r="AA167" s="425"/>
      <c r="AB167" s="425"/>
      <c r="AC167" s="425"/>
      <c r="AD167" s="425"/>
      <c r="AE167" s="425"/>
      <c r="AF167" s="425"/>
      <c r="AG167" s="425"/>
      <c r="AH167" s="425"/>
      <c r="AI167" s="425"/>
      <c r="AJ167" s="425"/>
      <c r="AK167" s="425"/>
      <c r="AL167" s="425"/>
      <c r="AM167" s="425"/>
      <c r="AN167" s="425"/>
      <c r="AO167" s="425"/>
      <c r="AP167" s="425"/>
      <c r="AQ167" s="425"/>
      <c r="AR167" s="425"/>
      <c r="AS167" s="426"/>
      <c r="AT167" s="425"/>
      <c r="AU167" s="425">
        <f t="shared" ref="AU167:BV167" si="1084">+IF(AT1&lt;&gt;AU1, AT167*1.2, AT167)</f>
        <v>0</v>
      </c>
      <c r="AV167" s="425">
        <f t="shared" si="1084"/>
        <v>0</v>
      </c>
      <c r="AW167" s="425">
        <f t="shared" si="1084"/>
        <v>0</v>
      </c>
      <c r="AX167" s="425">
        <f t="shared" si="1084"/>
        <v>0</v>
      </c>
      <c r="AY167" s="426">
        <f t="shared" si="1084"/>
        <v>0</v>
      </c>
      <c r="AZ167" s="428">
        <f t="shared" si="1084"/>
        <v>0</v>
      </c>
      <c r="BA167" s="425">
        <f t="shared" si="1084"/>
        <v>0</v>
      </c>
      <c r="BB167" s="425">
        <f t="shared" si="1084"/>
        <v>0</v>
      </c>
      <c r="BC167" s="425">
        <f t="shared" si="1084"/>
        <v>0</v>
      </c>
      <c r="BD167" s="425">
        <f t="shared" si="1084"/>
        <v>0</v>
      </c>
      <c r="BE167" s="425">
        <f t="shared" si="1084"/>
        <v>0</v>
      </c>
      <c r="BF167" s="425">
        <f t="shared" si="1084"/>
        <v>0</v>
      </c>
      <c r="BG167" s="425">
        <f t="shared" si="1084"/>
        <v>0</v>
      </c>
      <c r="BH167" s="425">
        <f t="shared" si="1084"/>
        <v>0</v>
      </c>
      <c r="BI167" s="425">
        <f t="shared" si="1084"/>
        <v>0</v>
      </c>
      <c r="BJ167" s="425">
        <f t="shared" si="1084"/>
        <v>0</v>
      </c>
      <c r="BK167" s="426">
        <f t="shared" si="1084"/>
        <v>0</v>
      </c>
      <c r="BL167" s="425">
        <f t="shared" si="1084"/>
        <v>0</v>
      </c>
      <c r="BM167" s="425">
        <f t="shared" si="1084"/>
        <v>0</v>
      </c>
      <c r="BN167" s="425">
        <f t="shared" si="1084"/>
        <v>0</v>
      </c>
      <c r="BO167" s="425">
        <f t="shared" si="1084"/>
        <v>0</v>
      </c>
      <c r="BP167" s="425">
        <f t="shared" si="1084"/>
        <v>0</v>
      </c>
      <c r="BQ167" s="425">
        <f t="shared" si="1084"/>
        <v>0</v>
      </c>
      <c r="BR167" s="425">
        <f t="shared" si="1084"/>
        <v>0</v>
      </c>
      <c r="BS167" s="425">
        <f t="shared" si="1084"/>
        <v>0</v>
      </c>
      <c r="BT167" s="425">
        <f t="shared" si="1084"/>
        <v>0</v>
      </c>
      <c r="BU167" s="425">
        <f t="shared" si="1084"/>
        <v>0</v>
      </c>
      <c r="BV167" s="425">
        <f t="shared" si="1084"/>
        <v>0</v>
      </c>
      <c r="BW167" s="426">
        <f t="shared" ref="BW167:DG167" si="1085">+IF(BV1&lt;&gt;BW1, BV167*1.2, BV167)</f>
        <v>0</v>
      </c>
      <c r="BX167" s="425">
        <f t="shared" si="1085"/>
        <v>0</v>
      </c>
      <c r="BY167" s="425">
        <f t="shared" si="1085"/>
        <v>0</v>
      </c>
      <c r="BZ167" s="425">
        <f t="shared" si="1085"/>
        <v>0</v>
      </c>
      <c r="CA167" s="425">
        <f t="shared" si="1085"/>
        <v>0</v>
      </c>
      <c r="CB167" s="425">
        <f t="shared" si="1085"/>
        <v>0</v>
      </c>
      <c r="CC167" s="425">
        <f t="shared" si="1085"/>
        <v>0</v>
      </c>
      <c r="CD167" s="425">
        <f t="shared" si="1085"/>
        <v>0</v>
      </c>
      <c r="CE167" s="425">
        <f t="shared" si="1085"/>
        <v>0</v>
      </c>
      <c r="CF167" s="425">
        <f t="shared" si="1085"/>
        <v>0</v>
      </c>
      <c r="CG167" s="425">
        <f t="shared" si="1085"/>
        <v>0</v>
      </c>
      <c r="CH167" s="425">
        <f t="shared" si="1085"/>
        <v>0</v>
      </c>
      <c r="CI167" s="426">
        <f t="shared" si="1085"/>
        <v>0</v>
      </c>
      <c r="CJ167" s="425">
        <f t="shared" si="1085"/>
        <v>0</v>
      </c>
      <c r="CK167" s="425">
        <f t="shared" si="1085"/>
        <v>0</v>
      </c>
      <c r="CL167" s="425">
        <f t="shared" si="1085"/>
        <v>0</v>
      </c>
      <c r="CM167" s="425">
        <f t="shared" si="1085"/>
        <v>0</v>
      </c>
      <c r="CN167" s="425">
        <f t="shared" si="1085"/>
        <v>0</v>
      </c>
      <c r="CO167" s="425">
        <f t="shared" si="1085"/>
        <v>0</v>
      </c>
      <c r="CP167" s="425">
        <f t="shared" si="1085"/>
        <v>0</v>
      </c>
      <c r="CQ167" s="425">
        <f t="shared" si="1085"/>
        <v>0</v>
      </c>
      <c r="CR167" s="425">
        <f t="shared" si="1085"/>
        <v>0</v>
      </c>
      <c r="CS167" s="425">
        <f t="shared" si="1085"/>
        <v>0</v>
      </c>
      <c r="CT167" s="425">
        <f t="shared" si="1085"/>
        <v>0</v>
      </c>
      <c r="CU167" s="426">
        <f t="shared" si="1085"/>
        <v>0</v>
      </c>
      <c r="CV167" s="425">
        <f t="shared" si="1085"/>
        <v>0</v>
      </c>
      <c r="CW167" s="425">
        <f t="shared" si="1085"/>
        <v>0</v>
      </c>
      <c r="CX167" s="425">
        <f t="shared" si="1085"/>
        <v>0</v>
      </c>
      <c r="CY167" s="425">
        <f t="shared" si="1085"/>
        <v>0</v>
      </c>
      <c r="CZ167" s="425">
        <f t="shared" si="1085"/>
        <v>0</v>
      </c>
      <c r="DA167" s="425">
        <f t="shared" si="1085"/>
        <v>0</v>
      </c>
      <c r="DB167" s="425">
        <f t="shared" si="1085"/>
        <v>0</v>
      </c>
      <c r="DC167" s="425">
        <f t="shared" si="1085"/>
        <v>0</v>
      </c>
      <c r="DD167" s="425">
        <f t="shared" si="1085"/>
        <v>0</v>
      </c>
      <c r="DE167" s="425">
        <f t="shared" si="1085"/>
        <v>0</v>
      </c>
      <c r="DF167" s="425">
        <f t="shared" si="1085"/>
        <v>0</v>
      </c>
      <c r="DG167" s="425">
        <f t="shared" si="1085"/>
        <v>0</v>
      </c>
    </row>
    <row r="168" spans="1:111" x14ac:dyDescent="0.25">
      <c r="B168" s="1"/>
      <c r="C168" s="1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157"/>
      <c r="AT168" s="39"/>
      <c r="AU168" s="39"/>
      <c r="AV168" s="39"/>
      <c r="AW168" s="39"/>
      <c r="AX168" s="39"/>
      <c r="AY168" s="157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157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157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157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157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</row>
    <row r="169" spans="1:111" x14ac:dyDescent="0.25">
      <c r="B169" s="1" t="s">
        <v>269</v>
      </c>
      <c r="C169" s="1"/>
      <c r="D169" s="91"/>
      <c r="E169" s="91"/>
      <c r="F169" s="91"/>
      <c r="G169" s="91"/>
      <c r="H169" s="91"/>
      <c r="I169" s="91"/>
      <c r="J169" s="90"/>
      <c r="K169" s="90"/>
      <c r="L169" s="90"/>
      <c r="M169" s="91"/>
      <c r="N169" s="91"/>
      <c r="O169" s="91"/>
      <c r="P169" s="91"/>
      <c r="Q169" s="91">
        <v>0</v>
      </c>
      <c r="R169" s="91">
        <v>0</v>
      </c>
      <c r="S169" s="91">
        <v>0</v>
      </c>
      <c r="T169" s="91">
        <v>0</v>
      </c>
      <c r="U169" s="91">
        <v>0</v>
      </c>
      <c r="V169" s="91">
        <v>0</v>
      </c>
      <c r="W169" s="91">
        <v>0</v>
      </c>
      <c r="X169" s="91">
        <v>0</v>
      </c>
      <c r="Y169" s="91">
        <v>0</v>
      </c>
      <c r="Z169" s="91">
        <v>0</v>
      </c>
      <c r="AA169" s="91">
        <v>0</v>
      </c>
      <c r="AB169" s="91">
        <v>0</v>
      </c>
      <c r="AC169" s="91">
        <v>0</v>
      </c>
      <c r="AD169" s="91">
        <v>0</v>
      </c>
      <c r="AE169" s="91">
        <v>0</v>
      </c>
      <c r="AF169" s="91">
        <v>0</v>
      </c>
      <c r="AG169" s="91">
        <v>0</v>
      </c>
      <c r="AH169" s="91">
        <v>0</v>
      </c>
      <c r="AI169" s="91">
        <v>0</v>
      </c>
      <c r="AJ169" s="91">
        <v>0</v>
      </c>
      <c r="AK169" s="91">
        <v>0</v>
      </c>
      <c r="AL169" s="91">
        <v>0</v>
      </c>
      <c r="AM169" s="91">
        <v>0</v>
      </c>
      <c r="AN169" s="91">
        <v>0</v>
      </c>
      <c r="AO169" s="91">
        <v>0</v>
      </c>
      <c r="AP169" s="91">
        <v>0</v>
      </c>
      <c r="AQ169" s="91">
        <v>0</v>
      </c>
      <c r="AR169" s="91">
        <v>0</v>
      </c>
      <c r="AS169" s="155">
        <v>0</v>
      </c>
      <c r="AT169" s="194">
        <f t="shared" ref="AT169" si="1086">AS169</f>
        <v>0</v>
      </c>
      <c r="AU169" s="91">
        <f t="shared" ref="AU169:CA169" si="1087">AT169</f>
        <v>0</v>
      </c>
      <c r="AV169" s="91">
        <f t="shared" si="1087"/>
        <v>0</v>
      </c>
      <c r="AW169" s="91">
        <f t="shared" si="1087"/>
        <v>0</v>
      </c>
      <c r="AX169" s="91">
        <f t="shared" si="1087"/>
        <v>0</v>
      </c>
      <c r="AY169" s="155"/>
      <c r="AZ169" s="91">
        <f t="shared" si="1087"/>
        <v>0</v>
      </c>
      <c r="BA169" s="91">
        <f t="shared" si="1087"/>
        <v>0</v>
      </c>
      <c r="BB169" s="91">
        <f t="shared" si="1087"/>
        <v>0</v>
      </c>
      <c r="BC169" s="91">
        <f t="shared" si="1087"/>
        <v>0</v>
      </c>
      <c r="BD169" s="91">
        <f t="shared" si="1087"/>
        <v>0</v>
      </c>
      <c r="BE169" s="91">
        <f t="shared" si="1087"/>
        <v>0</v>
      </c>
      <c r="BF169" s="91">
        <f t="shared" si="1087"/>
        <v>0</v>
      </c>
      <c r="BG169" s="91">
        <f t="shared" si="1087"/>
        <v>0</v>
      </c>
      <c r="BH169" s="91">
        <f t="shared" si="1087"/>
        <v>0</v>
      </c>
      <c r="BI169" s="91">
        <f t="shared" si="1087"/>
        <v>0</v>
      </c>
      <c r="BJ169" s="91">
        <f t="shared" si="1087"/>
        <v>0</v>
      </c>
      <c r="BK169" s="155">
        <f t="shared" si="1087"/>
        <v>0</v>
      </c>
      <c r="BL169" s="91">
        <f t="shared" si="1087"/>
        <v>0</v>
      </c>
      <c r="BM169" s="91">
        <f t="shared" si="1087"/>
        <v>0</v>
      </c>
      <c r="BN169" s="91">
        <f t="shared" si="1087"/>
        <v>0</v>
      </c>
      <c r="BO169" s="91">
        <f t="shared" si="1087"/>
        <v>0</v>
      </c>
      <c r="BP169" s="91">
        <f t="shared" si="1087"/>
        <v>0</v>
      </c>
      <c r="BQ169" s="91">
        <f t="shared" si="1087"/>
        <v>0</v>
      </c>
      <c r="BR169" s="91">
        <f t="shared" si="1087"/>
        <v>0</v>
      </c>
      <c r="BS169" s="91">
        <f t="shared" si="1087"/>
        <v>0</v>
      </c>
      <c r="BT169" s="91">
        <f t="shared" si="1087"/>
        <v>0</v>
      </c>
      <c r="BU169" s="91">
        <f t="shared" si="1087"/>
        <v>0</v>
      </c>
      <c r="BV169" s="91">
        <f t="shared" si="1087"/>
        <v>0</v>
      </c>
      <c r="BW169" s="155">
        <f t="shared" si="1087"/>
        <v>0</v>
      </c>
      <c r="BX169" s="91">
        <f t="shared" si="1087"/>
        <v>0</v>
      </c>
      <c r="BY169" s="91">
        <f t="shared" si="1087"/>
        <v>0</v>
      </c>
      <c r="BZ169" s="91">
        <f t="shared" si="1087"/>
        <v>0</v>
      </c>
      <c r="CA169" s="91">
        <f t="shared" si="1087"/>
        <v>0</v>
      </c>
      <c r="CB169" s="91">
        <f t="shared" ref="CB169:DG169" si="1088">CA169</f>
        <v>0</v>
      </c>
      <c r="CC169" s="91">
        <f t="shared" si="1088"/>
        <v>0</v>
      </c>
      <c r="CD169" s="91">
        <f t="shared" si="1088"/>
        <v>0</v>
      </c>
      <c r="CE169" s="91">
        <f t="shared" si="1088"/>
        <v>0</v>
      </c>
      <c r="CF169" s="91">
        <f t="shared" si="1088"/>
        <v>0</v>
      </c>
      <c r="CG169" s="91">
        <f t="shared" si="1088"/>
        <v>0</v>
      </c>
      <c r="CH169" s="91">
        <f t="shared" si="1088"/>
        <v>0</v>
      </c>
      <c r="CI169" s="155">
        <f t="shared" si="1088"/>
        <v>0</v>
      </c>
      <c r="CJ169" s="91">
        <f t="shared" si="1088"/>
        <v>0</v>
      </c>
      <c r="CK169" s="91">
        <f t="shared" si="1088"/>
        <v>0</v>
      </c>
      <c r="CL169" s="91">
        <f t="shared" si="1088"/>
        <v>0</v>
      </c>
      <c r="CM169" s="91">
        <f t="shared" si="1088"/>
        <v>0</v>
      </c>
      <c r="CN169" s="91">
        <f t="shared" si="1088"/>
        <v>0</v>
      </c>
      <c r="CO169" s="91">
        <f t="shared" si="1088"/>
        <v>0</v>
      </c>
      <c r="CP169" s="91">
        <f t="shared" si="1088"/>
        <v>0</v>
      </c>
      <c r="CQ169" s="91">
        <f t="shared" si="1088"/>
        <v>0</v>
      </c>
      <c r="CR169" s="91">
        <f t="shared" si="1088"/>
        <v>0</v>
      </c>
      <c r="CS169" s="91">
        <f t="shared" si="1088"/>
        <v>0</v>
      </c>
      <c r="CT169" s="91">
        <f t="shared" si="1088"/>
        <v>0</v>
      </c>
      <c r="CU169" s="155">
        <f t="shared" si="1088"/>
        <v>0</v>
      </c>
      <c r="CV169" s="91">
        <f t="shared" si="1088"/>
        <v>0</v>
      </c>
      <c r="CW169" s="91">
        <f t="shared" si="1088"/>
        <v>0</v>
      </c>
      <c r="CX169" s="91">
        <f t="shared" si="1088"/>
        <v>0</v>
      </c>
      <c r="CY169" s="91">
        <f t="shared" si="1088"/>
        <v>0</v>
      </c>
      <c r="CZ169" s="91">
        <f t="shared" si="1088"/>
        <v>0</v>
      </c>
      <c r="DA169" s="91">
        <f t="shared" si="1088"/>
        <v>0</v>
      </c>
      <c r="DB169" s="91">
        <f t="shared" si="1088"/>
        <v>0</v>
      </c>
      <c r="DC169" s="91">
        <f t="shared" si="1088"/>
        <v>0</v>
      </c>
      <c r="DD169" s="91">
        <f t="shared" si="1088"/>
        <v>0</v>
      </c>
      <c r="DE169" s="91">
        <f t="shared" si="1088"/>
        <v>0</v>
      </c>
      <c r="DF169" s="91">
        <f t="shared" si="1088"/>
        <v>0</v>
      </c>
      <c r="DG169" s="91">
        <f t="shared" si="1088"/>
        <v>0</v>
      </c>
    </row>
    <row r="170" spans="1:111" x14ac:dyDescent="0.25">
      <c r="B170" s="1" t="s">
        <v>270</v>
      </c>
      <c r="C170" s="1"/>
      <c r="D170" s="91"/>
      <c r="E170" s="91"/>
      <c r="F170" s="91"/>
      <c r="G170" s="91"/>
      <c r="H170" s="91"/>
      <c r="I170" s="91"/>
      <c r="J170" s="90"/>
      <c r="K170" s="90"/>
      <c r="L170" s="90"/>
      <c r="M170" s="91"/>
      <c r="N170" s="91"/>
      <c r="O170" s="91"/>
      <c r="P170" s="91">
        <v>5050</v>
      </c>
      <c r="Q170" s="91">
        <v>5050</v>
      </c>
      <c r="R170" s="91">
        <v>5050</v>
      </c>
      <c r="S170" s="91">
        <v>5350</v>
      </c>
      <c r="T170" s="91">
        <v>5350</v>
      </c>
      <c r="U170" s="91">
        <v>5350</v>
      </c>
      <c r="V170" s="91">
        <v>5850</v>
      </c>
      <c r="W170" s="91">
        <v>5850</v>
      </c>
      <c r="X170" s="91">
        <v>6030.19</v>
      </c>
      <c r="Y170" s="91">
        <v>6030.19</v>
      </c>
      <c r="Z170" s="91">
        <v>6030.19</v>
      </c>
      <c r="AA170" s="91">
        <v>6030.19</v>
      </c>
      <c r="AB170" s="91">
        <v>6030.19</v>
      </c>
      <c r="AC170" s="91">
        <v>6030.19</v>
      </c>
      <c r="AD170" s="91">
        <v>6030.19</v>
      </c>
      <c r="AE170" s="91">
        <v>6030.19</v>
      </c>
      <c r="AF170" s="91">
        <v>6030.19</v>
      </c>
      <c r="AG170" s="91">
        <v>6030.19</v>
      </c>
      <c r="AH170" s="91">
        <v>6030.19</v>
      </c>
      <c r="AI170" s="91">
        <v>6030.19</v>
      </c>
      <c r="AJ170" s="91">
        <v>6030.19</v>
      </c>
      <c r="AK170" s="91">
        <v>6030.19</v>
      </c>
      <c r="AL170" s="91">
        <v>6030.19</v>
      </c>
      <c r="AM170" s="91">
        <v>6030.19</v>
      </c>
      <c r="AN170" s="91">
        <v>6030.19</v>
      </c>
      <c r="AO170" s="91">
        <v>6030.19</v>
      </c>
      <c r="AP170" s="91">
        <v>6030.19</v>
      </c>
      <c r="AQ170" s="91">
        <v>6030.19</v>
      </c>
      <c r="AR170" s="91">
        <v>6030.19</v>
      </c>
      <c r="AS170" s="155">
        <v>6030.19</v>
      </c>
      <c r="AT170" s="194">
        <f t="shared" ref="AT170" si="1089">+AS170</f>
        <v>6030.19</v>
      </c>
      <c r="AU170" s="91">
        <f t="shared" ref="AU170:CP170" si="1090">+AT170</f>
        <v>6030.19</v>
      </c>
      <c r="AV170" s="91">
        <f t="shared" si="1090"/>
        <v>6030.19</v>
      </c>
      <c r="AW170" s="91">
        <f t="shared" si="1090"/>
        <v>6030.19</v>
      </c>
      <c r="AX170" s="91">
        <f t="shared" si="1090"/>
        <v>6030.19</v>
      </c>
      <c r="AY170" s="155">
        <f t="shared" si="1090"/>
        <v>6030.19</v>
      </c>
      <c r="AZ170" s="91">
        <f t="shared" si="1090"/>
        <v>6030.19</v>
      </c>
      <c r="BA170" s="91">
        <f t="shared" si="1090"/>
        <v>6030.19</v>
      </c>
      <c r="BB170" s="91">
        <f t="shared" si="1090"/>
        <v>6030.19</v>
      </c>
      <c r="BC170" s="91">
        <f t="shared" si="1090"/>
        <v>6030.19</v>
      </c>
      <c r="BD170" s="91">
        <f t="shared" si="1090"/>
        <v>6030.19</v>
      </c>
      <c r="BE170" s="91">
        <f t="shared" si="1090"/>
        <v>6030.19</v>
      </c>
      <c r="BF170" s="91">
        <f t="shared" si="1090"/>
        <v>6030.19</v>
      </c>
      <c r="BG170" s="91">
        <f t="shared" si="1090"/>
        <v>6030.19</v>
      </c>
      <c r="BH170" s="91">
        <f t="shared" si="1090"/>
        <v>6030.19</v>
      </c>
      <c r="BI170" s="91">
        <f t="shared" si="1090"/>
        <v>6030.19</v>
      </c>
      <c r="BJ170" s="91">
        <f t="shared" si="1090"/>
        <v>6030.19</v>
      </c>
      <c r="BK170" s="155">
        <f t="shared" si="1090"/>
        <v>6030.19</v>
      </c>
      <c r="BL170" s="91">
        <f t="shared" si="1090"/>
        <v>6030.19</v>
      </c>
      <c r="BM170" s="91">
        <f t="shared" si="1090"/>
        <v>6030.19</v>
      </c>
      <c r="BN170" s="91">
        <f t="shared" si="1090"/>
        <v>6030.19</v>
      </c>
      <c r="BO170" s="91">
        <f t="shared" si="1090"/>
        <v>6030.19</v>
      </c>
      <c r="BP170" s="91">
        <f t="shared" si="1090"/>
        <v>6030.19</v>
      </c>
      <c r="BQ170" s="91">
        <f t="shared" si="1090"/>
        <v>6030.19</v>
      </c>
      <c r="BR170" s="91">
        <f t="shared" si="1090"/>
        <v>6030.19</v>
      </c>
      <c r="BS170" s="91">
        <f t="shared" si="1090"/>
        <v>6030.19</v>
      </c>
      <c r="BT170" s="91">
        <f t="shared" si="1090"/>
        <v>6030.19</v>
      </c>
      <c r="BU170" s="91">
        <f t="shared" si="1090"/>
        <v>6030.19</v>
      </c>
      <c r="BV170" s="91">
        <f t="shared" si="1090"/>
        <v>6030.19</v>
      </c>
      <c r="BW170" s="155">
        <f t="shared" si="1090"/>
        <v>6030.19</v>
      </c>
      <c r="BX170" s="91">
        <f t="shared" si="1090"/>
        <v>6030.19</v>
      </c>
      <c r="BY170" s="91">
        <f t="shared" si="1090"/>
        <v>6030.19</v>
      </c>
      <c r="BZ170" s="91">
        <f t="shared" si="1090"/>
        <v>6030.19</v>
      </c>
      <c r="CA170" s="91">
        <f t="shared" si="1090"/>
        <v>6030.19</v>
      </c>
      <c r="CB170" s="91">
        <f t="shared" si="1090"/>
        <v>6030.19</v>
      </c>
      <c r="CC170" s="91">
        <f t="shared" si="1090"/>
        <v>6030.19</v>
      </c>
      <c r="CD170" s="91">
        <f t="shared" si="1090"/>
        <v>6030.19</v>
      </c>
      <c r="CE170" s="91">
        <f t="shared" si="1090"/>
        <v>6030.19</v>
      </c>
      <c r="CF170" s="91">
        <f t="shared" si="1090"/>
        <v>6030.19</v>
      </c>
      <c r="CG170" s="91">
        <f t="shared" si="1090"/>
        <v>6030.19</v>
      </c>
      <c r="CH170" s="91">
        <f t="shared" si="1090"/>
        <v>6030.19</v>
      </c>
      <c r="CI170" s="155">
        <f t="shared" si="1090"/>
        <v>6030.19</v>
      </c>
      <c r="CJ170" s="91">
        <f t="shared" si="1090"/>
        <v>6030.19</v>
      </c>
      <c r="CK170" s="91">
        <f t="shared" si="1090"/>
        <v>6030.19</v>
      </c>
      <c r="CL170" s="91">
        <f t="shared" si="1090"/>
        <v>6030.19</v>
      </c>
      <c r="CM170" s="91">
        <f t="shared" si="1090"/>
        <v>6030.19</v>
      </c>
      <c r="CN170" s="91">
        <f t="shared" si="1090"/>
        <v>6030.19</v>
      </c>
      <c r="CO170" s="91">
        <f t="shared" si="1090"/>
        <v>6030.19</v>
      </c>
      <c r="CP170" s="91">
        <f t="shared" si="1090"/>
        <v>6030.19</v>
      </c>
      <c r="CQ170" s="91">
        <f t="shared" ref="CQ170:DG170" si="1091">+CP170</f>
        <v>6030.19</v>
      </c>
      <c r="CR170" s="91">
        <f t="shared" si="1091"/>
        <v>6030.19</v>
      </c>
      <c r="CS170" s="91">
        <f t="shared" si="1091"/>
        <v>6030.19</v>
      </c>
      <c r="CT170" s="91">
        <f t="shared" si="1091"/>
        <v>6030.19</v>
      </c>
      <c r="CU170" s="155">
        <f t="shared" si="1091"/>
        <v>6030.19</v>
      </c>
      <c r="CV170" s="91">
        <f t="shared" si="1091"/>
        <v>6030.19</v>
      </c>
      <c r="CW170" s="91">
        <f t="shared" si="1091"/>
        <v>6030.19</v>
      </c>
      <c r="CX170" s="91">
        <f t="shared" si="1091"/>
        <v>6030.19</v>
      </c>
      <c r="CY170" s="91">
        <f t="shared" si="1091"/>
        <v>6030.19</v>
      </c>
      <c r="CZ170" s="91">
        <f t="shared" si="1091"/>
        <v>6030.19</v>
      </c>
      <c r="DA170" s="91">
        <f t="shared" si="1091"/>
        <v>6030.19</v>
      </c>
      <c r="DB170" s="91">
        <f t="shared" si="1091"/>
        <v>6030.19</v>
      </c>
      <c r="DC170" s="91">
        <f t="shared" si="1091"/>
        <v>6030.19</v>
      </c>
      <c r="DD170" s="91">
        <f t="shared" si="1091"/>
        <v>6030.19</v>
      </c>
      <c r="DE170" s="91">
        <f t="shared" si="1091"/>
        <v>6030.19</v>
      </c>
      <c r="DF170" s="91">
        <f t="shared" si="1091"/>
        <v>6030.19</v>
      </c>
      <c r="DG170" s="91">
        <f t="shared" si="1091"/>
        <v>6030.19</v>
      </c>
    </row>
    <row r="171" spans="1:111" x14ac:dyDescent="0.25">
      <c r="B171" s="1" t="s">
        <v>271</v>
      </c>
      <c r="C171" s="1"/>
      <c r="D171" s="91"/>
      <c r="E171" s="91"/>
      <c r="F171" s="91"/>
      <c r="G171" s="91"/>
      <c r="H171" s="91"/>
      <c r="I171" s="91"/>
      <c r="J171" s="90"/>
      <c r="K171" s="90"/>
      <c r="L171" s="90"/>
      <c r="M171" s="91"/>
      <c r="N171" s="91"/>
      <c r="O171" s="91"/>
      <c r="P171" s="91">
        <v>4849.46</v>
      </c>
      <c r="Q171" s="91">
        <v>4849.46</v>
      </c>
      <c r="R171" s="91">
        <v>4849.46</v>
      </c>
      <c r="S171" s="91">
        <v>5049.46</v>
      </c>
      <c r="T171" s="91">
        <v>5049.46</v>
      </c>
      <c r="U171" s="91">
        <v>5049.46</v>
      </c>
      <c r="V171" s="91">
        <v>5743.15</v>
      </c>
      <c r="W171" s="91">
        <v>5743.15</v>
      </c>
      <c r="X171" s="91">
        <v>5743.15</v>
      </c>
      <c r="Y171" s="91">
        <v>5743.15</v>
      </c>
      <c r="Z171" s="91">
        <v>5743.15</v>
      </c>
      <c r="AA171" s="91">
        <v>5743.15</v>
      </c>
      <c r="AB171" s="91">
        <v>5743.15</v>
      </c>
      <c r="AC171" s="91">
        <v>5743.15</v>
      </c>
      <c r="AD171" s="91">
        <v>5743.15</v>
      </c>
      <c r="AE171" s="91">
        <v>5743.15</v>
      </c>
      <c r="AF171" s="91">
        <v>5743.15</v>
      </c>
      <c r="AG171" s="91">
        <v>5743.15</v>
      </c>
      <c r="AH171" s="91">
        <v>5743.15</v>
      </c>
      <c r="AI171" s="91">
        <v>5743.15</v>
      </c>
      <c r="AJ171" s="91">
        <v>5743.15</v>
      </c>
      <c r="AK171" s="91">
        <v>5743.15</v>
      </c>
      <c r="AL171" s="91">
        <v>5743.15</v>
      </c>
      <c r="AM171" s="91">
        <v>5743.15</v>
      </c>
      <c r="AN171" s="91">
        <v>5743.15</v>
      </c>
      <c r="AO171" s="91">
        <v>5743.15</v>
      </c>
      <c r="AP171" s="91">
        <v>5743.15</v>
      </c>
      <c r="AQ171" s="91">
        <v>5743.15</v>
      </c>
      <c r="AR171" s="91">
        <v>5743.15</v>
      </c>
      <c r="AS171" s="155">
        <v>5743.15</v>
      </c>
      <c r="AT171" s="194">
        <f t="shared" ref="AT171" si="1092">+AS171</f>
        <v>5743.15</v>
      </c>
      <c r="AU171" s="91">
        <f t="shared" ref="AU171:CP171" si="1093">+AT171</f>
        <v>5743.15</v>
      </c>
      <c r="AV171" s="91">
        <f t="shared" si="1093"/>
        <v>5743.15</v>
      </c>
      <c r="AW171" s="91">
        <f t="shared" si="1093"/>
        <v>5743.15</v>
      </c>
      <c r="AX171" s="91">
        <f t="shared" si="1093"/>
        <v>5743.15</v>
      </c>
      <c r="AY171" s="155">
        <f t="shared" si="1093"/>
        <v>5743.15</v>
      </c>
      <c r="AZ171" s="91">
        <f t="shared" si="1093"/>
        <v>5743.15</v>
      </c>
      <c r="BA171" s="91">
        <f t="shared" si="1093"/>
        <v>5743.15</v>
      </c>
      <c r="BB171" s="91">
        <f t="shared" si="1093"/>
        <v>5743.15</v>
      </c>
      <c r="BC171" s="91">
        <f t="shared" si="1093"/>
        <v>5743.15</v>
      </c>
      <c r="BD171" s="91">
        <f t="shared" si="1093"/>
        <v>5743.15</v>
      </c>
      <c r="BE171" s="91">
        <f t="shared" si="1093"/>
        <v>5743.15</v>
      </c>
      <c r="BF171" s="91">
        <f t="shared" si="1093"/>
        <v>5743.15</v>
      </c>
      <c r="BG171" s="91">
        <f t="shared" si="1093"/>
        <v>5743.15</v>
      </c>
      <c r="BH171" s="91">
        <f t="shared" si="1093"/>
        <v>5743.15</v>
      </c>
      <c r="BI171" s="91">
        <f t="shared" si="1093"/>
        <v>5743.15</v>
      </c>
      <c r="BJ171" s="91">
        <f t="shared" si="1093"/>
        <v>5743.15</v>
      </c>
      <c r="BK171" s="155">
        <f t="shared" si="1093"/>
        <v>5743.15</v>
      </c>
      <c r="BL171" s="91">
        <f t="shared" si="1093"/>
        <v>5743.15</v>
      </c>
      <c r="BM171" s="91">
        <f t="shared" si="1093"/>
        <v>5743.15</v>
      </c>
      <c r="BN171" s="91">
        <f t="shared" si="1093"/>
        <v>5743.15</v>
      </c>
      <c r="BO171" s="91">
        <f t="shared" si="1093"/>
        <v>5743.15</v>
      </c>
      <c r="BP171" s="91">
        <f t="shared" si="1093"/>
        <v>5743.15</v>
      </c>
      <c r="BQ171" s="91">
        <f t="shared" si="1093"/>
        <v>5743.15</v>
      </c>
      <c r="BR171" s="91">
        <f t="shared" si="1093"/>
        <v>5743.15</v>
      </c>
      <c r="BS171" s="91">
        <f t="shared" si="1093"/>
        <v>5743.15</v>
      </c>
      <c r="BT171" s="91">
        <f t="shared" si="1093"/>
        <v>5743.15</v>
      </c>
      <c r="BU171" s="91">
        <f t="shared" si="1093"/>
        <v>5743.15</v>
      </c>
      <c r="BV171" s="91">
        <f t="shared" si="1093"/>
        <v>5743.15</v>
      </c>
      <c r="BW171" s="155">
        <f t="shared" si="1093"/>
        <v>5743.15</v>
      </c>
      <c r="BX171" s="91">
        <f t="shared" si="1093"/>
        <v>5743.15</v>
      </c>
      <c r="BY171" s="91">
        <f t="shared" si="1093"/>
        <v>5743.15</v>
      </c>
      <c r="BZ171" s="91">
        <f t="shared" si="1093"/>
        <v>5743.15</v>
      </c>
      <c r="CA171" s="91">
        <f t="shared" si="1093"/>
        <v>5743.15</v>
      </c>
      <c r="CB171" s="91">
        <f t="shared" si="1093"/>
        <v>5743.15</v>
      </c>
      <c r="CC171" s="91">
        <f t="shared" si="1093"/>
        <v>5743.15</v>
      </c>
      <c r="CD171" s="91">
        <f t="shared" si="1093"/>
        <v>5743.15</v>
      </c>
      <c r="CE171" s="91">
        <f t="shared" si="1093"/>
        <v>5743.15</v>
      </c>
      <c r="CF171" s="91">
        <f t="shared" si="1093"/>
        <v>5743.15</v>
      </c>
      <c r="CG171" s="91">
        <f t="shared" si="1093"/>
        <v>5743.15</v>
      </c>
      <c r="CH171" s="91">
        <f t="shared" si="1093"/>
        <v>5743.15</v>
      </c>
      <c r="CI171" s="155">
        <f t="shared" si="1093"/>
        <v>5743.15</v>
      </c>
      <c r="CJ171" s="91">
        <f t="shared" si="1093"/>
        <v>5743.15</v>
      </c>
      <c r="CK171" s="91">
        <f t="shared" si="1093"/>
        <v>5743.15</v>
      </c>
      <c r="CL171" s="91">
        <f t="shared" si="1093"/>
        <v>5743.15</v>
      </c>
      <c r="CM171" s="91">
        <f t="shared" si="1093"/>
        <v>5743.15</v>
      </c>
      <c r="CN171" s="91">
        <f t="shared" si="1093"/>
        <v>5743.15</v>
      </c>
      <c r="CO171" s="91">
        <f t="shared" si="1093"/>
        <v>5743.15</v>
      </c>
      <c r="CP171" s="91">
        <f t="shared" si="1093"/>
        <v>5743.15</v>
      </c>
      <c r="CQ171" s="91">
        <f t="shared" ref="CQ171:DG171" si="1094">+CP171</f>
        <v>5743.15</v>
      </c>
      <c r="CR171" s="91">
        <f t="shared" si="1094"/>
        <v>5743.15</v>
      </c>
      <c r="CS171" s="91">
        <f t="shared" si="1094"/>
        <v>5743.15</v>
      </c>
      <c r="CT171" s="91">
        <f t="shared" si="1094"/>
        <v>5743.15</v>
      </c>
      <c r="CU171" s="155">
        <f t="shared" si="1094"/>
        <v>5743.15</v>
      </c>
      <c r="CV171" s="91">
        <f t="shared" si="1094"/>
        <v>5743.15</v>
      </c>
      <c r="CW171" s="91">
        <f t="shared" si="1094"/>
        <v>5743.15</v>
      </c>
      <c r="CX171" s="91">
        <f t="shared" si="1094"/>
        <v>5743.15</v>
      </c>
      <c r="CY171" s="91">
        <f t="shared" si="1094"/>
        <v>5743.15</v>
      </c>
      <c r="CZ171" s="91">
        <f t="shared" si="1094"/>
        <v>5743.15</v>
      </c>
      <c r="DA171" s="91">
        <f t="shared" si="1094"/>
        <v>5743.15</v>
      </c>
      <c r="DB171" s="91">
        <f t="shared" si="1094"/>
        <v>5743.15</v>
      </c>
      <c r="DC171" s="91">
        <f t="shared" si="1094"/>
        <v>5743.15</v>
      </c>
      <c r="DD171" s="91">
        <f t="shared" si="1094"/>
        <v>5743.15</v>
      </c>
      <c r="DE171" s="91">
        <f t="shared" si="1094"/>
        <v>5743.15</v>
      </c>
      <c r="DF171" s="91">
        <f t="shared" si="1094"/>
        <v>5743.15</v>
      </c>
      <c r="DG171" s="91">
        <f t="shared" si="1094"/>
        <v>5743.15</v>
      </c>
    </row>
    <row r="172" spans="1:111" x14ac:dyDescent="0.25">
      <c r="A172" s="5"/>
      <c r="B172" s="6" t="s">
        <v>272</v>
      </c>
      <c r="C172" s="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>
        <v>9899.4599999999991</v>
      </c>
      <c r="Q172" s="36">
        <v>9899.4599999999991</v>
      </c>
      <c r="R172" s="36">
        <v>9899.4599999999991</v>
      </c>
      <c r="S172" s="36">
        <v>10399.459999999999</v>
      </c>
      <c r="T172" s="36">
        <v>10399.459999999999</v>
      </c>
      <c r="U172" s="36">
        <v>10399.459999999999</v>
      </c>
      <c r="V172" s="36">
        <v>11593.15</v>
      </c>
      <c r="W172" s="36">
        <v>11593.15</v>
      </c>
      <c r="X172" s="36">
        <v>11773.34</v>
      </c>
      <c r="Y172" s="36">
        <v>11773.34</v>
      </c>
      <c r="Z172" s="36">
        <v>11773.34</v>
      </c>
      <c r="AA172" s="36">
        <v>11773.34</v>
      </c>
      <c r="AB172" s="36">
        <v>11773.34</v>
      </c>
      <c r="AC172" s="36">
        <v>11773.34</v>
      </c>
      <c r="AD172" s="36">
        <v>11773.34</v>
      </c>
      <c r="AE172" s="36">
        <v>11773.34</v>
      </c>
      <c r="AF172" s="36">
        <v>11773.34</v>
      </c>
      <c r="AG172" s="36">
        <v>11773.34</v>
      </c>
      <c r="AH172" s="36">
        <v>11773.34</v>
      </c>
      <c r="AI172" s="36">
        <v>11773.34</v>
      </c>
      <c r="AJ172" s="36">
        <v>11773.34</v>
      </c>
      <c r="AK172" s="36">
        <v>11773.34</v>
      </c>
      <c r="AL172" s="36">
        <v>11773.34</v>
      </c>
      <c r="AM172" s="36">
        <v>11773.34</v>
      </c>
      <c r="AN172" s="36">
        <v>11773.34</v>
      </c>
      <c r="AO172" s="36">
        <v>11773.34</v>
      </c>
      <c r="AP172" s="36">
        <v>11773.34</v>
      </c>
      <c r="AQ172" s="36">
        <v>11773.34</v>
      </c>
      <c r="AR172" s="36">
        <v>11773.34</v>
      </c>
      <c r="AS172" s="159">
        <v>11773.34</v>
      </c>
      <c r="AT172" s="36">
        <f t="shared" ref="AT172" si="1095">SUM(AT169:AT171)</f>
        <v>11773.34</v>
      </c>
      <c r="AU172" s="36">
        <f t="shared" ref="AU172:CO172" si="1096">SUM(AU169:AU171)</f>
        <v>11773.34</v>
      </c>
      <c r="AV172" s="36">
        <f t="shared" si="1096"/>
        <v>11773.34</v>
      </c>
      <c r="AW172" s="36">
        <f t="shared" si="1096"/>
        <v>11773.34</v>
      </c>
      <c r="AX172" s="36">
        <f t="shared" si="1096"/>
        <v>11773.34</v>
      </c>
      <c r="AY172" s="159">
        <f t="shared" si="1096"/>
        <v>11773.34</v>
      </c>
      <c r="AZ172" s="36">
        <f t="shared" si="1096"/>
        <v>11773.34</v>
      </c>
      <c r="BA172" s="36">
        <f t="shared" si="1096"/>
        <v>11773.34</v>
      </c>
      <c r="BB172" s="36">
        <f t="shared" si="1096"/>
        <v>11773.34</v>
      </c>
      <c r="BC172" s="36">
        <f t="shared" si="1096"/>
        <v>11773.34</v>
      </c>
      <c r="BD172" s="36">
        <f t="shared" si="1096"/>
        <v>11773.34</v>
      </c>
      <c r="BE172" s="36">
        <f t="shared" si="1096"/>
        <v>11773.34</v>
      </c>
      <c r="BF172" s="36">
        <f t="shared" si="1096"/>
        <v>11773.34</v>
      </c>
      <c r="BG172" s="36">
        <f t="shared" si="1096"/>
        <v>11773.34</v>
      </c>
      <c r="BH172" s="36">
        <f t="shared" si="1096"/>
        <v>11773.34</v>
      </c>
      <c r="BI172" s="36">
        <f t="shared" si="1096"/>
        <v>11773.34</v>
      </c>
      <c r="BJ172" s="36">
        <f t="shared" si="1096"/>
        <v>11773.34</v>
      </c>
      <c r="BK172" s="159">
        <f t="shared" si="1096"/>
        <v>11773.34</v>
      </c>
      <c r="BL172" s="36">
        <f t="shared" si="1096"/>
        <v>11773.34</v>
      </c>
      <c r="BM172" s="36">
        <f t="shared" si="1096"/>
        <v>11773.34</v>
      </c>
      <c r="BN172" s="36">
        <f t="shared" si="1096"/>
        <v>11773.34</v>
      </c>
      <c r="BO172" s="36">
        <f t="shared" si="1096"/>
        <v>11773.34</v>
      </c>
      <c r="BP172" s="36">
        <f t="shared" si="1096"/>
        <v>11773.34</v>
      </c>
      <c r="BQ172" s="36">
        <f t="shared" si="1096"/>
        <v>11773.34</v>
      </c>
      <c r="BR172" s="36">
        <f t="shared" si="1096"/>
        <v>11773.34</v>
      </c>
      <c r="BS172" s="36">
        <f t="shared" si="1096"/>
        <v>11773.34</v>
      </c>
      <c r="BT172" s="36">
        <f t="shared" si="1096"/>
        <v>11773.34</v>
      </c>
      <c r="BU172" s="36">
        <f t="shared" si="1096"/>
        <v>11773.34</v>
      </c>
      <c r="BV172" s="36">
        <f t="shared" si="1096"/>
        <v>11773.34</v>
      </c>
      <c r="BW172" s="159">
        <f t="shared" si="1096"/>
        <v>11773.34</v>
      </c>
      <c r="BX172" s="36">
        <f t="shared" si="1096"/>
        <v>11773.34</v>
      </c>
      <c r="BY172" s="36">
        <f t="shared" si="1096"/>
        <v>11773.34</v>
      </c>
      <c r="BZ172" s="36">
        <f t="shared" si="1096"/>
        <v>11773.34</v>
      </c>
      <c r="CA172" s="36">
        <f t="shared" si="1096"/>
        <v>11773.34</v>
      </c>
      <c r="CB172" s="36">
        <f t="shared" si="1096"/>
        <v>11773.34</v>
      </c>
      <c r="CC172" s="36">
        <f t="shared" si="1096"/>
        <v>11773.34</v>
      </c>
      <c r="CD172" s="36">
        <f t="shared" si="1096"/>
        <v>11773.34</v>
      </c>
      <c r="CE172" s="36">
        <f t="shared" si="1096"/>
        <v>11773.34</v>
      </c>
      <c r="CF172" s="36">
        <f t="shared" si="1096"/>
        <v>11773.34</v>
      </c>
      <c r="CG172" s="36">
        <f t="shared" si="1096"/>
        <v>11773.34</v>
      </c>
      <c r="CH172" s="36">
        <f t="shared" si="1096"/>
        <v>11773.34</v>
      </c>
      <c r="CI172" s="159">
        <f t="shared" si="1096"/>
        <v>11773.34</v>
      </c>
      <c r="CJ172" s="36">
        <f t="shared" si="1096"/>
        <v>11773.34</v>
      </c>
      <c r="CK172" s="36">
        <f t="shared" si="1096"/>
        <v>11773.34</v>
      </c>
      <c r="CL172" s="36">
        <f t="shared" si="1096"/>
        <v>11773.34</v>
      </c>
      <c r="CM172" s="36">
        <f t="shared" si="1096"/>
        <v>11773.34</v>
      </c>
      <c r="CN172" s="36">
        <f t="shared" si="1096"/>
        <v>11773.34</v>
      </c>
      <c r="CO172" s="36">
        <f t="shared" si="1096"/>
        <v>11773.34</v>
      </c>
      <c r="CP172" s="36">
        <f t="shared" ref="CP172:DG172" si="1097">SUM(CP169:CP171)</f>
        <v>11773.34</v>
      </c>
      <c r="CQ172" s="36">
        <f t="shared" si="1097"/>
        <v>11773.34</v>
      </c>
      <c r="CR172" s="36">
        <f t="shared" si="1097"/>
        <v>11773.34</v>
      </c>
      <c r="CS172" s="36">
        <f t="shared" si="1097"/>
        <v>11773.34</v>
      </c>
      <c r="CT172" s="36">
        <f t="shared" si="1097"/>
        <v>11773.34</v>
      </c>
      <c r="CU172" s="159">
        <f t="shared" si="1097"/>
        <v>11773.34</v>
      </c>
      <c r="CV172" s="36">
        <f t="shared" si="1097"/>
        <v>11773.34</v>
      </c>
      <c r="CW172" s="36">
        <f t="shared" si="1097"/>
        <v>11773.34</v>
      </c>
      <c r="CX172" s="36">
        <f t="shared" si="1097"/>
        <v>11773.34</v>
      </c>
      <c r="CY172" s="36">
        <f t="shared" si="1097"/>
        <v>11773.34</v>
      </c>
      <c r="CZ172" s="36">
        <f t="shared" si="1097"/>
        <v>11773.34</v>
      </c>
      <c r="DA172" s="36">
        <f t="shared" si="1097"/>
        <v>11773.34</v>
      </c>
      <c r="DB172" s="36">
        <f t="shared" si="1097"/>
        <v>11773.34</v>
      </c>
      <c r="DC172" s="36">
        <f t="shared" si="1097"/>
        <v>11773.34</v>
      </c>
      <c r="DD172" s="36">
        <f t="shared" si="1097"/>
        <v>11773.34</v>
      </c>
      <c r="DE172" s="36">
        <f t="shared" si="1097"/>
        <v>11773.34</v>
      </c>
      <c r="DF172" s="36">
        <f t="shared" si="1097"/>
        <v>11773.34</v>
      </c>
      <c r="DG172" s="36">
        <f t="shared" si="1097"/>
        <v>11773.34</v>
      </c>
    </row>
    <row r="173" spans="1:111" x14ac:dyDescent="0.25">
      <c r="B173" s="1" t="s">
        <v>26</v>
      </c>
      <c r="C173" s="1"/>
      <c r="D173" s="91"/>
      <c r="E173" s="91"/>
      <c r="F173" s="91"/>
      <c r="G173" s="91"/>
      <c r="H173" s="91"/>
      <c r="I173" s="91"/>
      <c r="J173" s="90"/>
      <c r="K173" s="90"/>
      <c r="L173" s="90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155"/>
      <c r="AT173" s="91"/>
      <c r="AU173" s="91"/>
      <c r="AV173" s="91"/>
      <c r="AW173" s="91"/>
      <c r="AX173" s="91"/>
      <c r="AY173" s="155"/>
      <c r="AZ173" s="91"/>
      <c r="BA173" s="91"/>
      <c r="BB173" s="91"/>
      <c r="BC173" s="91"/>
      <c r="BD173" s="91"/>
      <c r="BE173" s="91"/>
      <c r="BF173" s="91"/>
      <c r="BG173" s="91"/>
      <c r="BH173" s="91"/>
      <c r="BI173" s="91"/>
      <c r="BJ173" s="91"/>
      <c r="BK173" s="155"/>
      <c r="BL173" s="91"/>
      <c r="BM173" s="91"/>
      <c r="BN173" s="91"/>
      <c r="BO173" s="91"/>
      <c r="BP173" s="91"/>
      <c r="BQ173" s="91"/>
      <c r="BR173" s="91"/>
      <c r="BS173" s="91"/>
      <c r="BT173" s="91"/>
      <c r="BU173" s="91"/>
      <c r="BV173" s="91"/>
      <c r="BW173" s="155"/>
      <c r="BX173" s="91"/>
      <c r="BY173" s="91"/>
      <c r="BZ173" s="91"/>
      <c r="CA173" s="91"/>
      <c r="CB173" s="91"/>
      <c r="CC173" s="91"/>
      <c r="CD173" s="91"/>
      <c r="CE173" s="91"/>
      <c r="CF173" s="91"/>
      <c r="CG173" s="91"/>
      <c r="CH173" s="91"/>
      <c r="CI173" s="155"/>
      <c r="CJ173" s="91"/>
      <c r="CK173" s="91"/>
      <c r="CL173" s="91"/>
      <c r="CM173" s="91"/>
      <c r="CN173" s="91"/>
      <c r="CO173" s="91"/>
      <c r="CP173" s="91"/>
      <c r="CQ173" s="91"/>
      <c r="CR173" s="91"/>
      <c r="CS173" s="91"/>
      <c r="CT173" s="91"/>
      <c r="CU173" s="155"/>
      <c r="CV173" s="91"/>
      <c r="CW173" s="91"/>
      <c r="CX173" s="91"/>
      <c r="CY173" s="91"/>
      <c r="CZ173" s="91"/>
      <c r="DA173" s="91"/>
      <c r="DB173" s="91"/>
      <c r="DC173" s="91"/>
      <c r="DD173" s="91"/>
      <c r="DE173" s="91"/>
      <c r="DF173" s="91"/>
      <c r="DG173" s="91"/>
    </row>
    <row r="174" spans="1:111" s="3" customFormat="1" x14ac:dyDescent="0.25">
      <c r="A174"/>
      <c r="B174" s="1" t="s">
        <v>27</v>
      </c>
      <c r="C174" s="1"/>
      <c r="D174" s="91"/>
      <c r="E174" s="91"/>
      <c r="F174" s="91"/>
      <c r="G174" s="91"/>
      <c r="H174" s="91"/>
      <c r="I174" s="91"/>
      <c r="J174" s="90"/>
      <c r="K174" s="90"/>
      <c r="L174" s="90"/>
      <c r="M174" s="91"/>
      <c r="N174" s="91"/>
      <c r="O174" s="91"/>
      <c r="P174" s="91">
        <v>-6487.38</v>
      </c>
      <c r="Q174" s="91">
        <v>-6487.38</v>
      </c>
      <c r="R174" s="91">
        <v>-6487.38</v>
      </c>
      <c r="S174" s="91">
        <v>-6487.38</v>
      </c>
      <c r="T174" s="91">
        <v>-6487.38</v>
      </c>
      <c r="U174" s="91">
        <v>-6487.38</v>
      </c>
      <c r="V174" s="91">
        <v>-6487.38</v>
      </c>
      <c r="W174" s="91">
        <v>-6487.38</v>
      </c>
      <c r="X174" s="91">
        <v>-6487.38</v>
      </c>
      <c r="Y174" s="91">
        <v>-6487.38</v>
      </c>
      <c r="Z174" s="91">
        <v>-6487.38</v>
      </c>
      <c r="AA174" s="91">
        <v>-6487.38</v>
      </c>
      <c r="AB174" s="91">
        <v>74222.559999999998</v>
      </c>
      <c r="AC174" s="91">
        <v>74222.559999999998</v>
      </c>
      <c r="AD174" s="91">
        <v>74222.559999999998</v>
      </c>
      <c r="AE174" s="91">
        <v>74222.559999999998</v>
      </c>
      <c r="AF174" s="91">
        <v>74222.559999999998</v>
      </c>
      <c r="AG174" s="91">
        <v>74222.559999999998</v>
      </c>
      <c r="AH174" s="91">
        <v>74222.559999999998</v>
      </c>
      <c r="AI174" s="91">
        <v>74222.559999999998</v>
      </c>
      <c r="AJ174" s="91">
        <v>74222.559999999998</v>
      </c>
      <c r="AK174" s="91">
        <v>74222.559999999998</v>
      </c>
      <c r="AL174" s="91">
        <v>74222.559999999998</v>
      </c>
      <c r="AM174" s="91">
        <v>74222.559999999998</v>
      </c>
      <c r="AN174" s="91">
        <v>105012.5</v>
      </c>
      <c r="AO174" s="91">
        <f t="shared" ref="AO174:AT174" si="1098">-1750+106762.5</f>
        <v>105012.5</v>
      </c>
      <c r="AP174" s="91">
        <f t="shared" si="1098"/>
        <v>105012.5</v>
      </c>
      <c r="AQ174" s="91">
        <f t="shared" si="1098"/>
        <v>105012.5</v>
      </c>
      <c r="AR174" s="91">
        <f t="shared" si="1098"/>
        <v>105012.5</v>
      </c>
      <c r="AS174" s="155">
        <f t="shared" si="1098"/>
        <v>105012.5</v>
      </c>
      <c r="AT174" s="91">
        <f t="shared" si="1098"/>
        <v>105012.5</v>
      </c>
      <c r="AU174" s="91">
        <f t="shared" ref="AU174:CA174" si="1099">AT174</f>
        <v>105012.5</v>
      </c>
      <c r="AV174" s="91">
        <f t="shared" si="1099"/>
        <v>105012.5</v>
      </c>
      <c r="AW174" s="91">
        <f t="shared" si="1099"/>
        <v>105012.5</v>
      </c>
      <c r="AX174" s="91">
        <f t="shared" si="1099"/>
        <v>105012.5</v>
      </c>
      <c r="AY174" s="155">
        <f t="shared" si="1099"/>
        <v>105012.5</v>
      </c>
      <c r="AZ174" s="194">
        <f>AY174+AY175</f>
        <v>185418.13012223301</v>
      </c>
      <c r="BA174" s="91">
        <f t="shared" si="1099"/>
        <v>185418.13012223301</v>
      </c>
      <c r="BB174" s="91">
        <f t="shared" si="1099"/>
        <v>185418.13012223301</v>
      </c>
      <c r="BC174" s="91">
        <f t="shared" si="1099"/>
        <v>185418.13012223301</v>
      </c>
      <c r="BD174" s="91">
        <f t="shared" si="1099"/>
        <v>185418.13012223301</v>
      </c>
      <c r="BE174" s="91">
        <f t="shared" si="1099"/>
        <v>185418.13012223301</v>
      </c>
      <c r="BF174" s="91">
        <f t="shared" si="1099"/>
        <v>185418.13012223301</v>
      </c>
      <c r="BG174" s="91">
        <f t="shared" si="1099"/>
        <v>185418.13012223301</v>
      </c>
      <c r="BH174" s="91">
        <f t="shared" si="1099"/>
        <v>185418.13012223301</v>
      </c>
      <c r="BI174" s="91">
        <f t="shared" si="1099"/>
        <v>185418.13012223301</v>
      </c>
      <c r="BJ174" s="91">
        <f t="shared" si="1099"/>
        <v>185418.13012223301</v>
      </c>
      <c r="BK174" s="155">
        <f t="shared" si="1099"/>
        <v>185418.13012223301</v>
      </c>
      <c r="BL174" s="194">
        <f>BK174+BK175</f>
        <v>598564.16280519729</v>
      </c>
      <c r="BM174" s="91">
        <f t="shared" si="1099"/>
        <v>598564.16280519729</v>
      </c>
      <c r="BN174" s="91">
        <f t="shared" si="1099"/>
        <v>598564.16280519729</v>
      </c>
      <c r="BO174" s="91">
        <f t="shared" si="1099"/>
        <v>598564.16280519729</v>
      </c>
      <c r="BP174" s="91">
        <f t="shared" si="1099"/>
        <v>598564.16280519729</v>
      </c>
      <c r="BQ174" s="91">
        <f t="shared" si="1099"/>
        <v>598564.16280519729</v>
      </c>
      <c r="BR174" s="91">
        <f t="shared" si="1099"/>
        <v>598564.16280519729</v>
      </c>
      <c r="BS174" s="91">
        <f t="shared" si="1099"/>
        <v>598564.16280519729</v>
      </c>
      <c r="BT174" s="91">
        <f t="shared" si="1099"/>
        <v>598564.16280519729</v>
      </c>
      <c r="BU174" s="91">
        <f t="shared" si="1099"/>
        <v>598564.16280519729</v>
      </c>
      <c r="BV174" s="91">
        <f t="shared" si="1099"/>
        <v>598564.16280519729</v>
      </c>
      <c r="BW174" s="155">
        <f t="shared" si="1099"/>
        <v>598564.16280519729</v>
      </c>
      <c r="BX174" s="194">
        <f>BW174+BW175</f>
        <v>1790544.7186589027</v>
      </c>
      <c r="BY174" s="91">
        <f t="shared" si="1099"/>
        <v>1790544.7186589027</v>
      </c>
      <c r="BZ174" s="91">
        <f t="shared" si="1099"/>
        <v>1790544.7186589027</v>
      </c>
      <c r="CA174" s="91">
        <f t="shared" si="1099"/>
        <v>1790544.7186589027</v>
      </c>
      <c r="CB174" s="91">
        <f t="shared" ref="CB174:DG174" si="1100">CA174</f>
        <v>1790544.7186589027</v>
      </c>
      <c r="CC174" s="91">
        <f t="shared" si="1100"/>
        <v>1790544.7186589027</v>
      </c>
      <c r="CD174" s="91">
        <f t="shared" si="1100"/>
        <v>1790544.7186589027</v>
      </c>
      <c r="CE174" s="91">
        <f t="shared" si="1100"/>
        <v>1790544.7186589027</v>
      </c>
      <c r="CF174" s="91">
        <f t="shared" si="1100"/>
        <v>1790544.7186589027</v>
      </c>
      <c r="CG174" s="91">
        <f t="shared" si="1100"/>
        <v>1790544.7186589027</v>
      </c>
      <c r="CH174" s="91">
        <f t="shared" si="1100"/>
        <v>1790544.7186589027</v>
      </c>
      <c r="CI174" s="155">
        <f t="shared" si="1100"/>
        <v>1790544.7186589027</v>
      </c>
      <c r="CJ174" s="194">
        <f>CI174+CI175</f>
        <v>3551588.308070573</v>
      </c>
      <c r="CK174" s="91">
        <f t="shared" si="1100"/>
        <v>3551588.308070573</v>
      </c>
      <c r="CL174" s="91">
        <f t="shared" si="1100"/>
        <v>3551588.308070573</v>
      </c>
      <c r="CM174" s="91">
        <f t="shared" si="1100"/>
        <v>3551588.308070573</v>
      </c>
      <c r="CN174" s="91">
        <f t="shared" si="1100"/>
        <v>3551588.308070573</v>
      </c>
      <c r="CO174" s="91">
        <f t="shared" si="1100"/>
        <v>3551588.308070573</v>
      </c>
      <c r="CP174" s="91">
        <f t="shared" si="1100"/>
        <v>3551588.308070573</v>
      </c>
      <c r="CQ174" s="91">
        <f t="shared" si="1100"/>
        <v>3551588.308070573</v>
      </c>
      <c r="CR174" s="91">
        <f t="shared" si="1100"/>
        <v>3551588.308070573</v>
      </c>
      <c r="CS174" s="91">
        <f t="shared" si="1100"/>
        <v>3551588.308070573</v>
      </c>
      <c r="CT174" s="91">
        <f t="shared" si="1100"/>
        <v>3551588.308070573</v>
      </c>
      <c r="CU174" s="155">
        <f t="shared" si="1100"/>
        <v>3551588.308070573</v>
      </c>
      <c r="CV174" s="194">
        <f>CU174+CU175</f>
        <v>5579709.4734032163</v>
      </c>
      <c r="CW174" s="91">
        <f t="shared" si="1100"/>
        <v>5579709.4734032163</v>
      </c>
      <c r="CX174" s="91">
        <f t="shared" si="1100"/>
        <v>5579709.4734032163</v>
      </c>
      <c r="CY174" s="91">
        <f t="shared" si="1100"/>
        <v>5579709.4734032163</v>
      </c>
      <c r="CZ174" s="91">
        <f t="shared" si="1100"/>
        <v>5579709.4734032163</v>
      </c>
      <c r="DA174" s="91">
        <f t="shared" si="1100"/>
        <v>5579709.4734032163</v>
      </c>
      <c r="DB174" s="91">
        <f t="shared" si="1100"/>
        <v>5579709.4734032163</v>
      </c>
      <c r="DC174" s="91">
        <f t="shared" si="1100"/>
        <v>5579709.4734032163</v>
      </c>
      <c r="DD174" s="91">
        <f t="shared" si="1100"/>
        <v>5579709.4734032163</v>
      </c>
      <c r="DE174" s="91">
        <f t="shared" si="1100"/>
        <v>5579709.4734032163</v>
      </c>
      <c r="DF174" s="91">
        <f t="shared" si="1100"/>
        <v>5579709.4734032163</v>
      </c>
      <c r="DG174" s="91">
        <f t="shared" si="1100"/>
        <v>5579709.4734032163</v>
      </c>
    </row>
    <row r="175" spans="1:111" x14ac:dyDescent="0.25">
      <c r="B175" s="1" t="s">
        <v>28</v>
      </c>
      <c r="C175" s="1"/>
      <c r="D175" s="91"/>
      <c r="E175" s="91">
        <f>+E92</f>
        <v>-12</v>
      </c>
      <c r="F175" s="91">
        <f t="shared" ref="F175:N175" si="1101">+F92+E175</f>
        <v>-23.83</v>
      </c>
      <c r="G175" s="91">
        <f t="shared" si="1101"/>
        <v>-35.83</v>
      </c>
      <c r="H175" s="91">
        <f t="shared" si="1101"/>
        <v>-167.82999999999998</v>
      </c>
      <c r="I175" s="91">
        <f t="shared" si="1101"/>
        <v>-985.19</v>
      </c>
      <c r="J175" s="91">
        <f t="shared" si="1101"/>
        <v>-997.19</v>
      </c>
      <c r="K175" s="91">
        <f t="shared" si="1101"/>
        <v>-1210.19</v>
      </c>
      <c r="L175" s="91">
        <f t="shared" si="1101"/>
        <v>-3090.69</v>
      </c>
      <c r="M175" s="91">
        <f t="shared" si="1101"/>
        <v>-3353.9900000000002</v>
      </c>
      <c r="N175" s="91">
        <f t="shared" si="1101"/>
        <v>-3576.9900000000002</v>
      </c>
      <c r="O175" s="91">
        <v>-6487.38</v>
      </c>
      <c r="P175" s="91">
        <f>+P92</f>
        <v>-1759.16</v>
      </c>
      <c r="Q175" s="91">
        <f t="shared" ref="Q175:AA175" si="1102">+Q92+P175</f>
        <v>-2226.34</v>
      </c>
      <c r="R175" s="91">
        <f t="shared" si="1102"/>
        <v>-3752.12</v>
      </c>
      <c r="S175" s="91">
        <f t="shared" si="1102"/>
        <v>-4351.1099999999997</v>
      </c>
      <c r="T175" s="91">
        <f t="shared" si="1102"/>
        <v>-6412</v>
      </c>
      <c r="U175" s="91">
        <f t="shared" si="1102"/>
        <v>-10292.07</v>
      </c>
      <c r="V175" s="91">
        <f t="shared" si="1102"/>
        <v>-12323.02</v>
      </c>
      <c r="W175" s="91">
        <f t="shared" si="1102"/>
        <v>-33951.449999999997</v>
      </c>
      <c r="X175" s="91">
        <f t="shared" si="1102"/>
        <v>-37979.509999999995</v>
      </c>
      <c r="Y175" s="91">
        <f t="shared" si="1102"/>
        <v>29140.5</v>
      </c>
      <c r="Z175" s="91">
        <f t="shared" si="1102"/>
        <v>69037.50999999998</v>
      </c>
      <c r="AA175" s="91">
        <f t="shared" si="1102"/>
        <v>80709.939999999988</v>
      </c>
      <c r="AB175" s="91">
        <f>+AB92</f>
        <v>-67320.260000000009</v>
      </c>
      <c r="AC175" s="91">
        <f t="shared" ref="AC175:AM175" si="1103">+AC92+AB175</f>
        <v>24926.459999999992</v>
      </c>
      <c r="AD175" s="91">
        <f t="shared" si="1103"/>
        <v>30662.179999999993</v>
      </c>
      <c r="AE175" s="91">
        <f t="shared" si="1103"/>
        <v>1805.0699999999924</v>
      </c>
      <c r="AF175" s="91">
        <f t="shared" si="1103"/>
        <v>54837.279999999999</v>
      </c>
      <c r="AG175" s="91">
        <f t="shared" si="1103"/>
        <v>24337.730000000003</v>
      </c>
      <c r="AH175" s="91">
        <f t="shared" si="1103"/>
        <v>19337.850000000002</v>
      </c>
      <c r="AI175" s="91">
        <f t="shared" si="1103"/>
        <v>21218</v>
      </c>
      <c r="AJ175" s="91">
        <f t="shared" si="1103"/>
        <v>32083.74</v>
      </c>
      <c r="AK175" s="91">
        <f t="shared" si="1103"/>
        <v>33640.44</v>
      </c>
      <c r="AL175" s="91">
        <f t="shared" si="1103"/>
        <v>31057.900000000005</v>
      </c>
      <c r="AM175" s="91">
        <f t="shared" si="1103"/>
        <v>30789.940000000002</v>
      </c>
      <c r="AN175" s="91">
        <f>+AN92</f>
        <v>27294.760000000009</v>
      </c>
      <c r="AO175" s="91">
        <f>+AO92+AN175</f>
        <v>15634.500000000009</v>
      </c>
      <c r="AP175" s="91">
        <f t="shared" ref="AP175:AS175" si="1104">+AP92+AO175</f>
        <v>5967.0300000000097</v>
      </c>
      <c r="AQ175" s="91">
        <f t="shared" si="1104"/>
        <v>-1937.5099999999893</v>
      </c>
      <c r="AR175" s="91">
        <f t="shared" si="1104"/>
        <v>-8022.5199999999877</v>
      </c>
      <c r="AS175" s="155">
        <f t="shared" si="1104"/>
        <v>10443.650000000018</v>
      </c>
      <c r="AT175" s="91">
        <f t="shared" ref="AT175:AY175" si="1105">+AT92+AS175</f>
        <v>1371.7500000000182</v>
      </c>
      <c r="AU175" s="91">
        <f t="shared" si="1105"/>
        <v>-5240.1499999999833</v>
      </c>
      <c r="AV175" s="91">
        <f t="shared" si="1105"/>
        <v>-14162.049999999985</v>
      </c>
      <c r="AW175" s="91">
        <f t="shared" si="1105"/>
        <v>-22109.949999999986</v>
      </c>
      <c r="AX175" s="91">
        <f t="shared" si="1105"/>
        <v>95819.360000000015</v>
      </c>
      <c r="AY175" s="155">
        <f t="shared" si="1105"/>
        <v>80405.630122232993</v>
      </c>
      <c r="AZ175" s="91">
        <f>+AZ92</f>
        <v>-18636.678108375942</v>
      </c>
      <c r="BA175" s="91">
        <f t="shared" ref="BA175:BK175" si="1106">+BA92+AZ175</f>
        <v>-55965.932878254294</v>
      </c>
      <c r="BB175" s="91">
        <f t="shared" si="1106"/>
        <v>172029.32055404928</v>
      </c>
      <c r="BC175" s="91">
        <f t="shared" si="1106"/>
        <v>359939.48233343754</v>
      </c>
      <c r="BD175" s="91">
        <f t="shared" si="1106"/>
        <v>338368.04206492484</v>
      </c>
      <c r="BE175" s="91">
        <f t="shared" si="1106"/>
        <v>186583.45672494947</v>
      </c>
      <c r="BF175" s="91">
        <f t="shared" si="1106"/>
        <v>272587.88507030183</v>
      </c>
      <c r="BG175" s="91">
        <f t="shared" si="1106"/>
        <v>246741.23419228022</v>
      </c>
      <c r="BH175" s="91">
        <f t="shared" si="1106"/>
        <v>276672.90665856679</v>
      </c>
      <c r="BI175" s="91">
        <f t="shared" si="1106"/>
        <v>231164.19154443368</v>
      </c>
      <c r="BJ175" s="91">
        <f t="shared" si="1106"/>
        <v>438124.23071110033</v>
      </c>
      <c r="BK175" s="155">
        <f t="shared" si="1106"/>
        <v>413146.03268296435</v>
      </c>
      <c r="BL175" s="91">
        <f>+BL92</f>
        <v>-19410.55012004829</v>
      </c>
      <c r="BM175" s="91">
        <f t="shared" ref="BM175:BW175" si="1107">+BM92+BL175</f>
        <v>-58034.887123132648</v>
      </c>
      <c r="BN175" s="91">
        <f t="shared" si="1107"/>
        <v>346605.21850292251</v>
      </c>
      <c r="BO175" s="91">
        <f t="shared" si="1107"/>
        <v>744459.22025567363</v>
      </c>
      <c r="BP175" s="91">
        <f t="shared" si="1107"/>
        <v>834058.00635413709</v>
      </c>
      <c r="BQ175" s="91">
        <f t="shared" si="1107"/>
        <v>661777.27203827607</v>
      </c>
      <c r="BR175" s="91">
        <f t="shared" si="1107"/>
        <v>869680.44256578654</v>
      </c>
      <c r="BS175" s="91">
        <f t="shared" si="1107"/>
        <v>841340.72330680653</v>
      </c>
      <c r="BT175" s="91">
        <f t="shared" si="1107"/>
        <v>984964.43717137573</v>
      </c>
      <c r="BU175" s="91">
        <f t="shared" si="1107"/>
        <v>933679.17844480264</v>
      </c>
      <c r="BV175" s="91">
        <f t="shared" si="1107"/>
        <v>1220581.5465698026</v>
      </c>
      <c r="BW175" s="155">
        <f t="shared" si="1107"/>
        <v>1191980.5558537054</v>
      </c>
      <c r="BX175" s="91">
        <f>+BX92</f>
        <v>-25627.405009638718</v>
      </c>
      <c r="BY175" s="91">
        <f t="shared" ref="BY175:CI175" si="1108">+BY92+BX175</f>
        <v>-73244.859679230562</v>
      </c>
      <c r="BZ175" s="91">
        <f t="shared" si="1108"/>
        <v>483743.54631401418</v>
      </c>
      <c r="CA175" s="91">
        <f t="shared" si="1108"/>
        <v>1057494.8331584691</v>
      </c>
      <c r="CB175" s="91">
        <f t="shared" si="1108"/>
        <v>1229923.8873406525</v>
      </c>
      <c r="CC175" s="91">
        <f t="shared" si="1108"/>
        <v>1028540.4519299346</v>
      </c>
      <c r="CD175" s="91">
        <f t="shared" si="1108"/>
        <v>1336023.6853101426</v>
      </c>
      <c r="CE175" s="91">
        <f t="shared" si="1108"/>
        <v>1300172.6156999646</v>
      </c>
      <c r="CF175" s="91">
        <f t="shared" si="1108"/>
        <v>1533416.3664373872</v>
      </c>
      <c r="CG175" s="91">
        <f t="shared" si="1108"/>
        <v>1470865.4133202641</v>
      </c>
      <c r="CH175" s="91">
        <f t="shared" si="1108"/>
        <v>1798300.6777681806</v>
      </c>
      <c r="CI175" s="155">
        <f t="shared" si="1108"/>
        <v>1761043.5894116701</v>
      </c>
      <c r="CJ175" s="91">
        <f>+CJ92</f>
        <v>-28653.263324755666</v>
      </c>
      <c r="CK175" s="91">
        <f t="shared" ref="CK175:CU175" si="1109">+CK92+CJ175</f>
        <v>-85540.899307915199</v>
      </c>
      <c r="CL175" s="91">
        <f t="shared" si="1109"/>
        <v>556756.57783241628</v>
      </c>
      <c r="CM175" s="91">
        <f t="shared" si="1109"/>
        <v>1207618.0583280833</v>
      </c>
      <c r="CN175" s="91">
        <f t="shared" si="1109"/>
        <v>1387516.6755471088</v>
      </c>
      <c r="CO175" s="91">
        <f t="shared" si="1109"/>
        <v>1142703.4586517941</v>
      </c>
      <c r="CP175" s="91">
        <f t="shared" si="1109"/>
        <v>1490254.3556530038</v>
      </c>
      <c r="CQ175" s="91">
        <f t="shared" si="1109"/>
        <v>1450477.935896815</v>
      </c>
      <c r="CR175" s="91">
        <f t="shared" si="1109"/>
        <v>1705612.8334915193</v>
      </c>
      <c r="CS175" s="91">
        <f t="shared" si="1109"/>
        <v>1632098.7109575523</v>
      </c>
      <c r="CT175" s="91">
        <f t="shared" si="1109"/>
        <v>2071088.2692728648</v>
      </c>
      <c r="CU175" s="155">
        <f t="shared" si="1109"/>
        <v>2028121.1653326433</v>
      </c>
      <c r="CV175" s="91">
        <f>+CV92</f>
        <v>-34014.601884640419</v>
      </c>
      <c r="CW175" s="91">
        <f t="shared" ref="CW175:DG175" si="1110">+CW92+CV175</f>
        <v>-105102.59209228566</v>
      </c>
      <c r="CX175" s="91">
        <f t="shared" si="1110"/>
        <v>749997.92410443292</v>
      </c>
      <c r="CY175" s="91">
        <f t="shared" si="1110"/>
        <v>1627284.0219953209</v>
      </c>
      <c r="CZ175" s="91">
        <f t="shared" si="1110"/>
        <v>1890286.415790407</v>
      </c>
      <c r="DA175" s="91">
        <f t="shared" si="1110"/>
        <v>1586577.8494425677</v>
      </c>
      <c r="DB175" s="91">
        <f t="shared" si="1110"/>
        <v>2059406.4294653838</v>
      </c>
      <c r="DC175" s="91">
        <f t="shared" si="1110"/>
        <v>2008913.902041452</v>
      </c>
      <c r="DD175" s="91">
        <f t="shared" si="1110"/>
        <v>2367088.0213061366</v>
      </c>
      <c r="DE175" s="91">
        <f t="shared" si="1110"/>
        <v>2275807.3654099819</v>
      </c>
      <c r="DF175" s="91">
        <f t="shared" si="1110"/>
        <v>2751387.0080754268</v>
      </c>
      <c r="DG175" s="91">
        <f t="shared" si="1110"/>
        <v>2700320.0572842308</v>
      </c>
    </row>
    <row r="176" spans="1:111" x14ac:dyDescent="0.25">
      <c r="A176" s="5"/>
      <c r="B176" s="6" t="s">
        <v>29</v>
      </c>
      <c r="C176" s="6"/>
      <c r="D176" s="36">
        <f t="shared" ref="D176:AF176" si="1111">+SUM(D173:D175)+D172+D165</f>
        <v>0</v>
      </c>
      <c r="E176" s="36">
        <f t="shared" si="1111"/>
        <v>0</v>
      </c>
      <c r="F176" s="36">
        <f t="shared" si="1111"/>
        <v>0</v>
      </c>
      <c r="G176" s="36">
        <f t="shared" si="1111"/>
        <v>99.999999999999986</v>
      </c>
      <c r="H176" s="36">
        <f t="shared" si="1111"/>
        <v>100.00000000000006</v>
      </c>
      <c r="I176" s="36">
        <f t="shared" si="1111"/>
        <v>100</v>
      </c>
      <c r="J176" s="36">
        <f t="shared" si="1111"/>
        <v>1600</v>
      </c>
      <c r="K176" s="36">
        <f t="shared" si="1111"/>
        <v>1399</v>
      </c>
      <c r="L176" s="36">
        <f t="shared" si="1111"/>
        <v>280.5</v>
      </c>
      <c r="M176" s="36">
        <f t="shared" si="1111"/>
        <v>329.19999999999982</v>
      </c>
      <c r="N176" s="36">
        <f t="shared" si="1111"/>
        <v>118.19999999999982</v>
      </c>
      <c r="O176" s="36">
        <f t="shared" si="1111"/>
        <v>307.8100000000004</v>
      </c>
      <c r="P176" s="36">
        <f t="shared" si="1111"/>
        <v>1652.9199999999983</v>
      </c>
      <c r="Q176" s="36">
        <f t="shared" si="1111"/>
        <v>1185.739999999998</v>
      </c>
      <c r="R176" s="36">
        <f t="shared" si="1111"/>
        <v>-340.04000000000087</v>
      </c>
      <c r="S176" s="36">
        <f t="shared" si="1111"/>
        <v>-439.03000000000065</v>
      </c>
      <c r="T176" s="36">
        <f t="shared" si="1111"/>
        <v>-2499.9200000000019</v>
      </c>
      <c r="U176" s="36">
        <f t="shared" si="1111"/>
        <v>-6379.9900000000016</v>
      </c>
      <c r="V176" s="36">
        <f t="shared" si="1111"/>
        <v>-7217.2500000000018</v>
      </c>
      <c r="W176" s="36">
        <f t="shared" si="1111"/>
        <v>-28845.679999999993</v>
      </c>
      <c r="X176" s="36">
        <f t="shared" si="1111"/>
        <v>-32693.549999999992</v>
      </c>
      <c r="Y176" s="36">
        <f t="shared" si="1111"/>
        <v>34426.46</v>
      </c>
      <c r="Z176" s="36">
        <f t="shared" si="1111"/>
        <v>64323.469999999987</v>
      </c>
      <c r="AA176" s="36">
        <f t="shared" si="1111"/>
        <v>65995.89999999998</v>
      </c>
      <c r="AB176" s="36">
        <f t="shared" si="1111"/>
        <v>-1324.3600000000115</v>
      </c>
      <c r="AC176" s="36">
        <f t="shared" si="1111"/>
        <v>70922.359999999986</v>
      </c>
      <c r="AD176" s="36">
        <f t="shared" si="1111"/>
        <v>76658.079999999987</v>
      </c>
      <c r="AE176" s="36">
        <f t="shared" si="1111"/>
        <v>-2199.0300000000134</v>
      </c>
      <c r="AF176" s="36">
        <f t="shared" si="1111"/>
        <v>50833.179999999993</v>
      </c>
      <c r="AG176" s="36">
        <f t="shared" ref="AG176:AH176" si="1112">+SUM(AG173:AG175)+AG172+AG165</f>
        <v>20333.630000000005</v>
      </c>
      <c r="AH176" s="36">
        <f t="shared" si="1112"/>
        <v>15333.75</v>
      </c>
      <c r="AI176" s="36">
        <f t="shared" ref="AI176:AJ176" si="1113">+SUM(AI173:AI175)+AI172+AI165</f>
        <v>17213.899999999994</v>
      </c>
      <c r="AJ176" s="36">
        <f t="shared" si="1113"/>
        <v>28079.64</v>
      </c>
      <c r="AK176" s="36">
        <f t="shared" ref="AK176:AL176" si="1114">+SUM(AK173:AK175)+AK172+AK165</f>
        <v>29636.339999999997</v>
      </c>
      <c r="AL176" s="36">
        <f t="shared" si="1114"/>
        <v>27053.800000000003</v>
      </c>
      <c r="AM176" s="36">
        <f t="shared" ref="AM176:AN176" si="1115">+SUM(AM173:AM175)+AM172+AM165</f>
        <v>16785.839999999997</v>
      </c>
      <c r="AN176" s="36">
        <f t="shared" si="1115"/>
        <v>44080.600000000006</v>
      </c>
      <c r="AO176" s="36">
        <f t="shared" ref="AO176:AP176" si="1116">+SUM(AO173:AO175)+AO172+AO165</f>
        <v>32420.340000000026</v>
      </c>
      <c r="AP176" s="36">
        <f t="shared" si="1116"/>
        <v>22752.87000000001</v>
      </c>
      <c r="AQ176" s="36">
        <f t="shared" ref="AQ176:AR176" si="1117">+SUM(AQ173:AQ175)+AQ172+AQ165</f>
        <v>14848.330000000002</v>
      </c>
      <c r="AR176" s="36">
        <f t="shared" si="1117"/>
        <v>8763.320000000007</v>
      </c>
      <c r="AS176" s="159">
        <f t="shared" ref="AS176" si="1118">+SUM(AS173:AS175)+AS172+AS165</f>
        <v>27229.49000000002</v>
      </c>
      <c r="AT176" s="36">
        <f t="shared" ref="AT176" si="1119">+SUM(AT173:AT175)+AT172+AT165</f>
        <v>18157.590000000011</v>
      </c>
      <c r="AU176" s="36">
        <f t="shared" ref="AU176:BO176" si="1120">+SUM(AU173:AU175)+AU172+AU165</f>
        <v>11545.690000000017</v>
      </c>
      <c r="AV176" s="36">
        <f t="shared" si="1120"/>
        <v>2623.7900000000081</v>
      </c>
      <c r="AW176" s="36">
        <f t="shared" si="1120"/>
        <v>-5324.109999999986</v>
      </c>
      <c r="AX176" s="36">
        <f t="shared" si="1120"/>
        <v>112605.20000000001</v>
      </c>
      <c r="AY176" s="159">
        <f t="shared" si="1120"/>
        <v>108453.8008051974</v>
      </c>
      <c r="AZ176" s="36">
        <f t="shared" si="1120"/>
        <v>89817.122696821476</v>
      </c>
      <c r="BA176" s="36">
        <f t="shared" si="1120"/>
        <v>52487.867926943101</v>
      </c>
      <c r="BB176" s="36">
        <f t="shared" si="1120"/>
        <v>280483.12135924672</v>
      </c>
      <c r="BC176" s="36">
        <f t="shared" si="1120"/>
        <v>468393.28313863487</v>
      </c>
      <c r="BD176" s="36">
        <f t="shared" si="1120"/>
        <v>446821.84287012229</v>
      </c>
      <c r="BE176" s="36">
        <f t="shared" si="1120"/>
        <v>295037.25753014692</v>
      </c>
      <c r="BF176" s="36">
        <f t="shared" si="1120"/>
        <v>381041.68587549927</v>
      </c>
      <c r="BG176" s="36">
        <f t="shared" si="1120"/>
        <v>355195.03499747766</v>
      </c>
      <c r="BH176" s="36">
        <f t="shared" si="1120"/>
        <v>385126.70746376424</v>
      </c>
      <c r="BI176" s="36">
        <f t="shared" si="1120"/>
        <v>339617.99234963109</v>
      </c>
      <c r="BJ176" s="36">
        <f t="shared" si="1120"/>
        <v>546578.03151629772</v>
      </c>
      <c r="BK176" s="159">
        <f t="shared" si="1120"/>
        <v>456445.77178090467</v>
      </c>
      <c r="BL176" s="36">
        <f t="shared" si="1120"/>
        <v>437035.22166085633</v>
      </c>
      <c r="BM176" s="36">
        <f t="shared" si="1120"/>
        <v>398410.88465777208</v>
      </c>
      <c r="BN176" s="36">
        <f t="shared" si="1120"/>
        <v>803050.99028382706</v>
      </c>
      <c r="BO176" s="36">
        <f t="shared" si="1120"/>
        <v>1200904.9920365785</v>
      </c>
      <c r="BP176" s="36">
        <f t="shared" ref="BP176:CU176" si="1121">+SUM(BP173:BP175)+BP172+BP165</f>
        <v>1290503.7781350419</v>
      </c>
      <c r="BQ176" s="36">
        <f t="shared" si="1121"/>
        <v>1118223.0438191809</v>
      </c>
      <c r="BR176" s="36">
        <f t="shared" si="1121"/>
        <v>1326126.2143466915</v>
      </c>
      <c r="BS176" s="36">
        <f t="shared" si="1121"/>
        <v>1297786.4950877114</v>
      </c>
      <c r="BT176" s="36">
        <f t="shared" si="1121"/>
        <v>1441410.2089522807</v>
      </c>
      <c r="BU176" s="36">
        <f t="shared" si="1121"/>
        <v>1390124.9502257076</v>
      </c>
      <c r="BV176" s="36">
        <f t="shared" si="1121"/>
        <v>1677027.3183507074</v>
      </c>
      <c r="BW176" s="159">
        <f t="shared" si="1121"/>
        <v>1425865.900756612</v>
      </c>
      <c r="BX176" s="36">
        <f t="shared" si="1121"/>
        <v>1400238.4957469734</v>
      </c>
      <c r="BY176" s="36">
        <f t="shared" si="1121"/>
        <v>1352621.0410773815</v>
      </c>
      <c r="BZ176" s="36">
        <f t="shared" si="1121"/>
        <v>1909609.4470706261</v>
      </c>
      <c r="CA176" s="36">
        <f t="shared" si="1121"/>
        <v>2483360.7339150808</v>
      </c>
      <c r="CB176" s="36">
        <f t="shared" si="1121"/>
        <v>2655789.7880972647</v>
      </c>
      <c r="CC176" s="36">
        <f t="shared" si="1121"/>
        <v>2454406.3526865463</v>
      </c>
      <c r="CD176" s="36">
        <f t="shared" si="1121"/>
        <v>2761889.5860667545</v>
      </c>
      <c r="CE176" s="36">
        <f t="shared" si="1121"/>
        <v>2726038.5164565765</v>
      </c>
      <c r="CF176" s="36">
        <f t="shared" si="1121"/>
        <v>2959282.2671939991</v>
      </c>
      <c r="CG176" s="36">
        <f t="shared" si="1121"/>
        <v>2896731.3140768758</v>
      </c>
      <c r="CH176" s="36">
        <f t="shared" si="1121"/>
        <v>3224166.5785247926</v>
      </c>
      <c r="CI176" s="159">
        <f t="shared" si="1121"/>
        <v>2844118.3447006159</v>
      </c>
      <c r="CJ176" s="36">
        <f t="shared" si="1121"/>
        <v>2815465.0813758606</v>
      </c>
      <c r="CK176" s="36">
        <f t="shared" si="1121"/>
        <v>2758577.4453927008</v>
      </c>
      <c r="CL176" s="36">
        <f t="shared" si="1121"/>
        <v>3400874.9225330325</v>
      </c>
      <c r="CM176" s="36">
        <f t="shared" si="1121"/>
        <v>4051736.4030286996</v>
      </c>
      <c r="CN176" s="36">
        <f t="shared" si="1121"/>
        <v>4231635.0202477248</v>
      </c>
      <c r="CO176" s="36">
        <f t="shared" si="1121"/>
        <v>3986821.80335241</v>
      </c>
      <c r="CP176" s="36">
        <f t="shared" si="1121"/>
        <v>4334372.7003536196</v>
      </c>
      <c r="CQ176" s="36">
        <f t="shared" si="1121"/>
        <v>4294596.2805974307</v>
      </c>
      <c r="CR176" s="36">
        <f t="shared" si="1121"/>
        <v>4549731.1781921349</v>
      </c>
      <c r="CS176" s="36">
        <f t="shared" si="1121"/>
        <v>4476217.0556581682</v>
      </c>
      <c r="CT176" s="36">
        <f t="shared" si="1121"/>
        <v>4915206.6139734806</v>
      </c>
      <c r="CU176" s="159">
        <f t="shared" si="1121"/>
        <v>4488489.342869252</v>
      </c>
      <c r="CV176" s="36">
        <f t="shared" ref="CV176:DG176" si="1122">+SUM(CV173:CV175)+CV172+CV165</f>
        <v>4454474.7409846112</v>
      </c>
      <c r="CW176" s="36">
        <f t="shared" si="1122"/>
        <v>4383386.750776967</v>
      </c>
      <c r="CX176" s="36">
        <f t="shared" si="1122"/>
        <v>5238487.2669736855</v>
      </c>
      <c r="CY176" s="36">
        <f t="shared" si="1122"/>
        <v>6115773.3648645729</v>
      </c>
      <c r="CZ176" s="36">
        <f t="shared" si="1122"/>
        <v>6378775.758659659</v>
      </c>
      <c r="DA176" s="36">
        <f t="shared" si="1122"/>
        <v>6075067.1923118196</v>
      </c>
      <c r="DB176" s="36">
        <f t="shared" si="1122"/>
        <v>6547895.7723346371</v>
      </c>
      <c r="DC176" s="36">
        <f t="shared" si="1122"/>
        <v>6497403.244910704</v>
      </c>
      <c r="DD176" s="36">
        <f t="shared" si="1122"/>
        <v>6855577.3641753886</v>
      </c>
      <c r="DE176" s="36">
        <f t="shared" si="1122"/>
        <v>6764296.7082792353</v>
      </c>
      <c r="DF176" s="36">
        <f t="shared" si="1122"/>
        <v>7239876.3509446792</v>
      </c>
      <c r="DG176" s="36">
        <f t="shared" si="1122"/>
        <v>6657623.2308430094</v>
      </c>
    </row>
    <row r="177" spans="1:111" x14ac:dyDescent="0.25">
      <c r="A177" s="3"/>
      <c r="B177" s="4" t="s">
        <v>30</v>
      </c>
      <c r="C177" s="4"/>
      <c r="D177" s="37">
        <f t="shared" ref="D177:AF177" si="1123">D176+D160</f>
        <v>0</v>
      </c>
      <c r="E177" s="37">
        <f t="shared" si="1123"/>
        <v>0</v>
      </c>
      <c r="F177" s="37">
        <f t="shared" si="1123"/>
        <v>0</v>
      </c>
      <c r="G177" s="37">
        <f t="shared" si="1123"/>
        <v>99.999999999999986</v>
      </c>
      <c r="H177" s="37">
        <f t="shared" si="1123"/>
        <v>100.00000000000006</v>
      </c>
      <c r="I177" s="37">
        <f t="shared" si="1123"/>
        <v>100</v>
      </c>
      <c r="J177" s="37">
        <f t="shared" si="1123"/>
        <v>1600</v>
      </c>
      <c r="K177" s="37">
        <f t="shared" si="1123"/>
        <v>1399</v>
      </c>
      <c r="L177" s="37">
        <f t="shared" si="1123"/>
        <v>280.5</v>
      </c>
      <c r="M177" s="37">
        <f t="shared" si="1123"/>
        <v>329.19999999999982</v>
      </c>
      <c r="N177" s="37">
        <f t="shared" si="1123"/>
        <v>118.19999999999982</v>
      </c>
      <c r="O177" s="37">
        <f t="shared" si="1123"/>
        <v>307.8100000000004</v>
      </c>
      <c r="P177" s="37">
        <f t="shared" si="1123"/>
        <v>1685.4099999999983</v>
      </c>
      <c r="Q177" s="37">
        <f t="shared" si="1123"/>
        <v>1215.7899999999979</v>
      </c>
      <c r="R177" s="37">
        <f t="shared" si="1123"/>
        <v>888.599999999999</v>
      </c>
      <c r="S177" s="37">
        <f t="shared" si="1123"/>
        <v>721.96999999999935</v>
      </c>
      <c r="T177" s="37">
        <f t="shared" si="1123"/>
        <v>75385.05</v>
      </c>
      <c r="U177" s="37">
        <f t="shared" si="1123"/>
        <v>71768.56</v>
      </c>
      <c r="V177" s="37">
        <f t="shared" si="1123"/>
        <v>71854.92</v>
      </c>
      <c r="W177" s="37">
        <f t="shared" si="1123"/>
        <v>51317.030000000013</v>
      </c>
      <c r="X177" s="37">
        <f t="shared" si="1123"/>
        <v>48758.800000000017</v>
      </c>
      <c r="Y177" s="37">
        <f t="shared" si="1123"/>
        <v>118050.04999999999</v>
      </c>
      <c r="Z177" s="37">
        <f t="shared" si="1123"/>
        <v>143860.09999999998</v>
      </c>
      <c r="AA177" s="37">
        <f t="shared" si="1123"/>
        <v>194649.22999999998</v>
      </c>
      <c r="AB177" s="37">
        <f t="shared" si="1123"/>
        <v>95197.939999999988</v>
      </c>
      <c r="AC177" s="37">
        <f t="shared" si="1123"/>
        <v>146721.93</v>
      </c>
      <c r="AD177" s="37">
        <f t="shared" si="1123"/>
        <v>152555.53999999998</v>
      </c>
      <c r="AE177" s="37">
        <f t="shared" si="1123"/>
        <v>97184.299999999988</v>
      </c>
      <c r="AF177" s="37">
        <f t="shared" si="1123"/>
        <v>80293.639999999985</v>
      </c>
      <c r="AG177" s="37">
        <f t="shared" ref="AG177:AH177" si="1124">AG176+AG160</f>
        <v>69509.600000000006</v>
      </c>
      <c r="AH177" s="37">
        <f t="shared" si="1124"/>
        <v>42799.97</v>
      </c>
      <c r="AI177" s="37">
        <f t="shared" ref="AI177:AJ177" si="1125">AI176+AI160</f>
        <v>48687.539999999994</v>
      </c>
      <c r="AJ177" s="37">
        <f t="shared" si="1125"/>
        <v>61444.22</v>
      </c>
      <c r="AK177" s="37">
        <f t="shared" ref="AK177:AL177" si="1126">AK176+AK160</f>
        <v>111450.70999999999</v>
      </c>
      <c r="AL177" s="37">
        <f t="shared" si="1126"/>
        <v>106260.86</v>
      </c>
      <c r="AM177" s="37">
        <f t="shared" ref="AM177:AN177" si="1127">AM176+AM160</f>
        <v>129700.56999999999</v>
      </c>
      <c r="AN177" s="37">
        <f t="shared" si="1127"/>
        <v>108955.03</v>
      </c>
      <c r="AO177" s="37">
        <f t="shared" ref="AO177:AP177" si="1128">AO176+AO160</f>
        <v>81455.170000000027</v>
      </c>
      <c r="AP177" s="37">
        <f t="shared" si="1128"/>
        <v>38493.210000000006</v>
      </c>
      <c r="AQ177" s="37">
        <f t="shared" ref="AQ177:AR177" si="1129">AQ176+AQ160</f>
        <v>31380.81</v>
      </c>
      <c r="AR177" s="37">
        <f t="shared" si="1129"/>
        <v>111650.75</v>
      </c>
      <c r="AS177" s="156">
        <f t="shared" ref="AS177" si="1130">AS176+AS160</f>
        <v>100971.08000000002</v>
      </c>
      <c r="AT177" s="37">
        <f t="shared" ref="AT177" si="1131">AT176+AT160</f>
        <v>28226.910690679142</v>
      </c>
      <c r="AU177" s="37">
        <f t="shared" ref="AU177:BO177" si="1132">AU176+AU160</f>
        <v>22492.556668276058</v>
      </c>
      <c r="AV177" s="37">
        <f t="shared" si="1132"/>
        <v>12227.721133845014</v>
      </c>
      <c r="AW177" s="37">
        <f t="shared" si="1132"/>
        <v>4391.2122744705848</v>
      </c>
      <c r="AX177" s="37">
        <f t="shared" si="1132"/>
        <v>248978.19561255749</v>
      </c>
      <c r="AY177" s="156">
        <f t="shared" si="1132"/>
        <v>240802.08790244226</v>
      </c>
      <c r="AZ177" s="37">
        <f t="shared" si="1132"/>
        <v>232812.93345121393</v>
      </c>
      <c r="BA177" s="37">
        <f t="shared" si="1132"/>
        <v>177177.01221886103</v>
      </c>
      <c r="BB177" s="37">
        <f t="shared" si="1132"/>
        <v>626014.89722404687</v>
      </c>
      <c r="BC177" s="37">
        <f t="shared" si="1132"/>
        <v>1040867.157949239</v>
      </c>
      <c r="BD177" s="37">
        <f t="shared" si="1132"/>
        <v>963749.35288887157</v>
      </c>
      <c r="BE177" s="37">
        <f t="shared" si="1132"/>
        <v>529332.7385937362</v>
      </c>
      <c r="BF177" s="37">
        <f t="shared" si="1132"/>
        <v>621315.08858620701</v>
      </c>
      <c r="BG177" s="37">
        <f t="shared" si="1132"/>
        <v>507436.13554560277</v>
      </c>
      <c r="BH177" s="37">
        <f t="shared" si="1132"/>
        <v>597271.85278613609</v>
      </c>
      <c r="BI177" s="37">
        <f t="shared" si="1132"/>
        <v>400245.57339236641</v>
      </c>
      <c r="BJ177" s="37">
        <f t="shared" si="1132"/>
        <v>798637.86745219515</v>
      </c>
      <c r="BK177" s="156">
        <f t="shared" si="1132"/>
        <v>696099.01069611881</v>
      </c>
      <c r="BL177" s="37">
        <f t="shared" si="1132"/>
        <v>677531.01958419522</v>
      </c>
      <c r="BM177" s="37">
        <f t="shared" si="1132"/>
        <v>594333.96449841117</v>
      </c>
      <c r="BN177" s="37">
        <f t="shared" si="1132"/>
        <v>1391616.2930347845</v>
      </c>
      <c r="BO177" s="37">
        <f t="shared" si="1132"/>
        <v>2122994.3268105974</v>
      </c>
      <c r="BP177" s="37">
        <f t="shared" ref="BP177:CU177" si="1133">BP176+BP160</f>
        <v>2069901.6311246781</v>
      </c>
      <c r="BQ177" s="37">
        <f t="shared" si="1133"/>
        <v>1446180.3742620905</v>
      </c>
      <c r="BR177" s="37">
        <f t="shared" si="1133"/>
        <v>1679830.4789499021</v>
      </c>
      <c r="BS177" s="37">
        <f t="shared" si="1133"/>
        <v>1534579.4661036946</v>
      </c>
      <c r="BT177" s="37">
        <f t="shared" si="1133"/>
        <v>1718784.7133432962</v>
      </c>
      <c r="BU177" s="37">
        <f t="shared" si="1133"/>
        <v>1464092.9640953806</v>
      </c>
      <c r="BV177" s="37">
        <f t="shared" si="1133"/>
        <v>2019904.1979875527</v>
      </c>
      <c r="BW177" s="156">
        <f t="shared" si="1133"/>
        <v>1751103.3570781273</v>
      </c>
      <c r="BX177" s="37">
        <f t="shared" si="1133"/>
        <v>1727779.1620520446</v>
      </c>
      <c r="BY177" s="37">
        <f t="shared" si="1133"/>
        <v>1612278.9599555163</v>
      </c>
      <c r="BZ177" s="37">
        <f t="shared" si="1133"/>
        <v>2714498.9949767371</v>
      </c>
      <c r="CA177" s="37">
        <f t="shared" si="1133"/>
        <v>3721176.5182005214</v>
      </c>
      <c r="CB177" s="37">
        <f t="shared" si="1133"/>
        <v>3676159.5277795726</v>
      </c>
      <c r="CC177" s="37">
        <f t="shared" si="1133"/>
        <v>2871417.5061188811</v>
      </c>
      <c r="CD177" s="37">
        <f t="shared" si="1133"/>
        <v>3224784.3914895058</v>
      </c>
      <c r="CE177" s="37">
        <f t="shared" si="1133"/>
        <v>3043489.1436178954</v>
      </c>
      <c r="CF177" s="37">
        <f t="shared" si="1133"/>
        <v>3305324.7230514968</v>
      </c>
      <c r="CG177" s="37">
        <f t="shared" si="1133"/>
        <v>2988542.4574659122</v>
      </c>
      <c r="CH177" s="37">
        <f t="shared" si="1133"/>
        <v>3626382.3512735134</v>
      </c>
      <c r="CI177" s="156">
        <f t="shared" si="1133"/>
        <v>3226129.2529333606</v>
      </c>
      <c r="CJ177" s="37">
        <f t="shared" si="1133"/>
        <v>3196724.7986239744</v>
      </c>
      <c r="CK177" s="37">
        <f t="shared" si="1133"/>
        <v>3064305.8537410069</v>
      </c>
      <c r="CL177" s="37">
        <f t="shared" si="1133"/>
        <v>4332606.663856782</v>
      </c>
      <c r="CM177" s="37">
        <f t="shared" si="1133"/>
        <v>5492307.0100747831</v>
      </c>
      <c r="CN177" s="37">
        <f t="shared" si="1133"/>
        <v>5429586.1852713637</v>
      </c>
      <c r="CO177" s="37">
        <f t="shared" si="1133"/>
        <v>4483443.799009</v>
      </c>
      <c r="CP177" s="37">
        <f t="shared" si="1133"/>
        <v>4884579.3796388721</v>
      </c>
      <c r="CQ177" s="37">
        <f t="shared" si="1133"/>
        <v>4672394.197570039</v>
      </c>
      <c r="CR177" s="37">
        <f t="shared" si="1133"/>
        <v>4970437.3022834873</v>
      </c>
      <c r="CS177" s="37">
        <f t="shared" si="1133"/>
        <v>4593964.0262269005</v>
      </c>
      <c r="CT177" s="37">
        <f t="shared" si="1133"/>
        <v>5447330.5883684196</v>
      </c>
      <c r="CU177" s="156">
        <f t="shared" si="1133"/>
        <v>4993147.5902155666</v>
      </c>
      <c r="CV177" s="37">
        <f t="shared" ref="CV177:DG177" si="1134">CV176+CV160</f>
        <v>4952353.6499774791</v>
      </c>
      <c r="CW177" s="37">
        <f t="shared" si="1134"/>
        <v>4777230.5071503576</v>
      </c>
      <c r="CX177" s="37">
        <f t="shared" si="1134"/>
        <v>6464802.2705172179</v>
      </c>
      <c r="CY177" s="37">
        <f t="shared" si="1134"/>
        <v>8004224.5891981162</v>
      </c>
      <c r="CZ177" s="37">
        <f t="shared" si="1134"/>
        <v>7934765.8314548889</v>
      </c>
      <c r="DA177" s="37">
        <f t="shared" si="1134"/>
        <v>6711358.2619128032</v>
      </c>
      <c r="DB177" s="37">
        <f t="shared" si="1134"/>
        <v>7258479.7629254721</v>
      </c>
      <c r="DC177" s="37">
        <f t="shared" si="1134"/>
        <v>6985116.9051487213</v>
      </c>
      <c r="DD177" s="37">
        <f t="shared" si="1134"/>
        <v>7389036.2982953172</v>
      </c>
      <c r="DE177" s="37">
        <f t="shared" si="1134"/>
        <v>6908231.6712837983</v>
      </c>
      <c r="DF177" s="37">
        <f t="shared" si="1134"/>
        <v>7827818.1503974795</v>
      </c>
      <c r="DG177" s="37">
        <f t="shared" si="1134"/>
        <v>7216269.9504114725</v>
      </c>
    </row>
    <row r="178" spans="1:111" s="3" customFormat="1" ht="24" customHeight="1" x14ac:dyDescent="0.25">
      <c r="A178"/>
      <c r="B178" s="1"/>
      <c r="C178" s="40" t="s">
        <v>39</v>
      </c>
      <c r="D178" s="39">
        <f t="shared" ref="D178:AF178" si="1135">D177-D121</f>
        <v>0</v>
      </c>
      <c r="E178" s="39">
        <f t="shared" si="1135"/>
        <v>0</v>
      </c>
      <c r="F178" s="39">
        <f t="shared" si="1135"/>
        <v>0</v>
      </c>
      <c r="G178" s="39">
        <f t="shared" si="1135"/>
        <v>0</v>
      </c>
      <c r="H178" s="39">
        <f t="shared" si="1135"/>
        <v>0</v>
      </c>
      <c r="I178" s="39">
        <f t="shared" si="1135"/>
        <v>0</v>
      </c>
      <c r="J178" s="39">
        <f t="shared" si="1135"/>
        <v>0</v>
      </c>
      <c r="K178" s="39">
        <f t="shared" si="1135"/>
        <v>0</v>
      </c>
      <c r="L178" s="39">
        <f t="shared" si="1135"/>
        <v>0</v>
      </c>
      <c r="M178" s="39">
        <f t="shared" si="1135"/>
        <v>0</v>
      </c>
      <c r="N178" s="39">
        <f t="shared" si="1135"/>
        <v>-1.8474111129762605E-13</v>
      </c>
      <c r="O178" s="39">
        <f t="shared" si="1135"/>
        <v>0</v>
      </c>
      <c r="P178" s="39">
        <f t="shared" si="1135"/>
        <v>-1.8189894035458565E-12</v>
      </c>
      <c r="Q178" s="39">
        <f t="shared" si="1135"/>
        <v>-2.0463630789890885E-12</v>
      </c>
      <c r="R178" s="39">
        <f t="shared" si="1135"/>
        <v>-1.0231815394945443E-12</v>
      </c>
      <c r="S178" s="39">
        <f t="shared" si="1135"/>
        <v>0</v>
      </c>
      <c r="T178" s="39">
        <f t="shared" si="1135"/>
        <v>0</v>
      </c>
      <c r="U178" s="39">
        <f t="shared" si="1135"/>
        <v>0</v>
      </c>
      <c r="V178" s="39">
        <f t="shared" si="1135"/>
        <v>0</v>
      </c>
      <c r="W178" s="39">
        <f t="shared" si="1135"/>
        <v>0</v>
      </c>
      <c r="X178" s="39">
        <f t="shared" si="1135"/>
        <v>0</v>
      </c>
      <c r="Y178" s="39">
        <f t="shared" si="1135"/>
        <v>0</v>
      </c>
      <c r="Z178" s="39">
        <f t="shared" si="1135"/>
        <v>0</v>
      </c>
      <c r="AA178" s="39">
        <f t="shared" si="1135"/>
        <v>0</v>
      </c>
      <c r="AB178" s="39">
        <f t="shared" si="1135"/>
        <v>0</v>
      </c>
      <c r="AC178" s="39">
        <f t="shared" si="1135"/>
        <v>0</v>
      </c>
      <c r="AD178" s="39">
        <f t="shared" si="1135"/>
        <v>0</v>
      </c>
      <c r="AE178" s="39">
        <f t="shared" si="1135"/>
        <v>0</v>
      </c>
      <c r="AF178" s="39">
        <f t="shared" si="1135"/>
        <v>0</v>
      </c>
      <c r="AG178" s="39">
        <f t="shared" ref="AG178:AH178" si="1136">AG177-AG121</f>
        <v>0</v>
      </c>
      <c r="AH178" s="39">
        <f t="shared" si="1136"/>
        <v>0</v>
      </c>
      <c r="AI178" s="39">
        <f t="shared" ref="AI178:AJ178" si="1137">AI177-AI121</f>
        <v>0</v>
      </c>
      <c r="AJ178" s="39">
        <f t="shared" si="1137"/>
        <v>0</v>
      </c>
      <c r="AK178" s="39">
        <f t="shared" ref="AK178:AL178" si="1138">AK177-AK121</f>
        <v>0</v>
      </c>
      <c r="AL178" s="39">
        <f t="shared" si="1138"/>
        <v>0</v>
      </c>
      <c r="AM178" s="39">
        <f t="shared" ref="AM178:AN178" si="1139">AM177-AM121</f>
        <v>0</v>
      </c>
      <c r="AN178" s="39">
        <f t="shared" si="1139"/>
        <v>0</v>
      </c>
      <c r="AO178" s="39">
        <f t="shared" ref="AO178:AP178" si="1140">AO177-AO121</f>
        <v>0</v>
      </c>
      <c r="AP178" s="39">
        <f t="shared" si="1140"/>
        <v>0</v>
      </c>
      <c r="AQ178" s="39">
        <f t="shared" ref="AQ178:AR178" si="1141">AQ177-AQ121</f>
        <v>0</v>
      </c>
      <c r="AR178" s="39">
        <f t="shared" si="1141"/>
        <v>0</v>
      </c>
      <c r="AS178" s="157">
        <f t="shared" ref="AS178" si="1142">AS177-AS121</f>
        <v>0</v>
      </c>
      <c r="AT178" s="39">
        <f t="shared" ref="AT178" si="1143">AT177-AT121</f>
        <v>0</v>
      </c>
      <c r="AU178" s="39">
        <f t="shared" ref="AU178:BO178" si="1144">AU177-AU121</f>
        <v>0</v>
      </c>
      <c r="AV178" s="39">
        <f t="shared" si="1144"/>
        <v>0</v>
      </c>
      <c r="AW178" s="39">
        <f t="shared" si="1144"/>
        <v>1.3642420526593924E-11</v>
      </c>
      <c r="AX178" s="39">
        <f t="shared" si="1144"/>
        <v>0</v>
      </c>
      <c r="AY178" s="157">
        <f t="shared" si="1144"/>
        <v>0</v>
      </c>
      <c r="AZ178" s="39">
        <f t="shared" si="1144"/>
        <v>0</v>
      </c>
      <c r="BA178" s="39">
        <f t="shared" si="1144"/>
        <v>0</v>
      </c>
      <c r="BB178" s="39">
        <f t="shared" si="1144"/>
        <v>0</v>
      </c>
      <c r="BC178" s="39">
        <f t="shared" si="1144"/>
        <v>0</v>
      </c>
      <c r="BD178" s="39">
        <f t="shared" si="1144"/>
        <v>0</v>
      </c>
      <c r="BE178" s="39">
        <f t="shared" si="1144"/>
        <v>0</v>
      </c>
      <c r="BF178" s="39">
        <f t="shared" si="1144"/>
        <v>0</v>
      </c>
      <c r="BG178" s="39">
        <f t="shared" si="1144"/>
        <v>0</v>
      </c>
      <c r="BH178" s="39">
        <f t="shared" si="1144"/>
        <v>0</v>
      </c>
      <c r="BI178" s="39">
        <f t="shared" si="1144"/>
        <v>0</v>
      </c>
      <c r="BJ178" s="39">
        <f t="shared" si="1144"/>
        <v>0</v>
      </c>
      <c r="BK178" s="157">
        <f t="shared" si="1144"/>
        <v>0</v>
      </c>
      <c r="BL178" s="39">
        <f t="shared" si="1144"/>
        <v>0</v>
      </c>
      <c r="BM178" s="39">
        <f t="shared" si="1144"/>
        <v>0</v>
      </c>
      <c r="BN178" s="39">
        <f t="shared" si="1144"/>
        <v>0</v>
      </c>
      <c r="BO178" s="39">
        <f t="shared" si="1144"/>
        <v>0</v>
      </c>
      <c r="BP178" s="39">
        <f t="shared" ref="BP178:CU178" si="1145">BP177-BP121</f>
        <v>0</v>
      </c>
      <c r="BQ178" s="39">
        <f t="shared" si="1145"/>
        <v>0</v>
      </c>
      <c r="BR178" s="39">
        <f t="shared" si="1145"/>
        <v>0</v>
      </c>
      <c r="BS178" s="39">
        <f t="shared" si="1145"/>
        <v>0</v>
      </c>
      <c r="BT178" s="39">
        <f t="shared" si="1145"/>
        <v>0</v>
      </c>
      <c r="BU178" s="39">
        <f t="shared" si="1145"/>
        <v>0</v>
      </c>
      <c r="BV178" s="39">
        <f t="shared" si="1145"/>
        <v>0</v>
      </c>
      <c r="BW178" s="157">
        <f t="shared" si="1145"/>
        <v>0</v>
      </c>
      <c r="BX178" s="39">
        <f t="shared" si="1145"/>
        <v>0</v>
      </c>
      <c r="BY178" s="39">
        <f t="shared" si="1145"/>
        <v>0</v>
      </c>
      <c r="BZ178" s="39">
        <f t="shared" si="1145"/>
        <v>0</v>
      </c>
      <c r="CA178" s="39">
        <f t="shared" si="1145"/>
        <v>0</v>
      </c>
      <c r="CB178" s="39">
        <f t="shared" si="1145"/>
        <v>0</v>
      </c>
      <c r="CC178" s="39">
        <f t="shared" si="1145"/>
        <v>0</v>
      </c>
      <c r="CD178" s="39">
        <f t="shared" si="1145"/>
        <v>0</v>
      </c>
      <c r="CE178" s="39">
        <f t="shared" si="1145"/>
        <v>0</v>
      </c>
      <c r="CF178" s="39">
        <f t="shared" si="1145"/>
        <v>0</v>
      </c>
      <c r="CG178" s="39">
        <f t="shared" si="1145"/>
        <v>0</v>
      </c>
      <c r="CH178" s="39">
        <f t="shared" si="1145"/>
        <v>0</v>
      </c>
      <c r="CI178" s="157">
        <f t="shared" si="1145"/>
        <v>0</v>
      </c>
      <c r="CJ178" s="39">
        <f t="shared" si="1145"/>
        <v>0</v>
      </c>
      <c r="CK178" s="39">
        <f t="shared" si="1145"/>
        <v>0</v>
      </c>
      <c r="CL178" s="39">
        <f t="shared" si="1145"/>
        <v>0</v>
      </c>
      <c r="CM178" s="39">
        <f t="shared" si="1145"/>
        <v>0</v>
      </c>
      <c r="CN178" s="39">
        <f t="shared" si="1145"/>
        <v>0</v>
      </c>
      <c r="CO178" s="39">
        <f t="shared" si="1145"/>
        <v>0</v>
      </c>
      <c r="CP178" s="39">
        <f t="shared" si="1145"/>
        <v>0</v>
      </c>
      <c r="CQ178" s="39">
        <f t="shared" si="1145"/>
        <v>0</v>
      </c>
      <c r="CR178" s="39">
        <f t="shared" si="1145"/>
        <v>0</v>
      </c>
      <c r="CS178" s="39">
        <f t="shared" si="1145"/>
        <v>0</v>
      </c>
      <c r="CT178" s="39">
        <f t="shared" si="1145"/>
        <v>0</v>
      </c>
      <c r="CU178" s="157">
        <f t="shared" si="1145"/>
        <v>0</v>
      </c>
      <c r="CV178" s="39">
        <f t="shared" ref="CV178:DG178" si="1146">CV177-CV121</f>
        <v>0</v>
      </c>
      <c r="CW178" s="39">
        <f t="shared" si="1146"/>
        <v>0</v>
      </c>
      <c r="CX178" s="39">
        <f t="shared" si="1146"/>
        <v>0</v>
      </c>
      <c r="CY178" s="39">
        <f t="shared" si="1146"/>
        <v>0</v>
      </c>
      <c r="CZ178" s="39">
        <f t="shared" si="1146"/>
        <v>0</v>
      </c>
      <c r="DA178" s="39">
        <f t="shared" si="1146"/>
        <v>0</v>
      </c>
      <c r="DB178" s="39">
        <f t="shared" si="1146"/>
        <v>0</v>
      </c>
      <c r="DC178" s="39">
        <f t="shared" si="1146"/>
        <v>0</v>
      </c>
      <c r="DD178" s="39">
        <f t="shared" si="1146"/>
        <v>0</v>
      </c>
      <c r="DE178" s="39">
        <f t="shared" si="1146"/>
        <v>0</v>
      </c>
      <c r="DF178" s="39">
        <f t="shared" si="1146"/>
        <v>0</v>
      </c>
      <c r="DG178" s="39">
        <f t="shared" si="1146"/>
        <v>0</v>
      </c>
    </row>
    <row r="179" spans="1:111" x14ac:dyDescent="0.25">
      <c r="P179" s="137"/>
      <c r="Q179" s="137"/>
      <c r="R179" s="137"/>
      <c r="AS179" s="154"/>
      <c r="AY179" s="154"/>
      <c r="BK179" s="154"/>
      <c r="BW179" s="154"/>
      <c r="CI179" s="154"/>
      <c r="CU179" s="154"/>
    </row>
    <row r="180" spans="1:11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62"/>
      <c r="AT180" s="15"/>
      <c r="AU180" s="15"/>
      <c r="AV180" s="15"/>
      <c r="AW180" s="15"/>
      <c r="AX180" s="15"/>
      <c r="AY180" s="162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62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62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62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62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</row>
    <row r="181" spans="1:111" x14ac:dyDescent="0.25">
      <c r="AS181" s="154"/>
      <c r="AY181" s="154"/>
      <c r="BK181" s="154"/>
      <c r="BW181" s="154"/>
      <c r="CI181" s="154"/>
      <c r="CU181" s="154"/>
    </row>
    <row r="182" spans="1:111" x14ac:dyDescent="0.25">
      <c r="B182" s="1" t="s">
        <v>12</v>
      </c>
      <c r="D182" s="91"/>
      <c r="E182" s="91">
        <f t="shared" ref="E182:AG182" si="1147">E92</f>
        <v>-12</v>
      </c>
      <c r="F182" s="91">
        <f t="shared" si="1147"/>
        <v>-11.83</v>
      </c>
      <c r="G182" s="91">
        <f t="shared" si="1147"/>
        <v>-12</v>
      </c>
      <c r="H182" s="91">
        <f t="shared" si="1147"/>
        <v>-132</v>
      </c>
      <c r="I182" s="91">
        <f t="shared" si="1147"/>
        <v>-817.36</v>
      </c>
      <c r="J182" s="91">
        <f t="shared" si="1147"/>
        <v>-12</v>
      </c>
      <c r="K182" s="91">
        <f t="shared" si="1147"/>
        <v>-213</v>
      </c>
      <c r="L182" s="91">
        <f t="shared" si="1147"/>
        <v>-1880.5</v>
      </c>
      <c r="M182" s="91">
        <f t="shared" si="1147"/>
        <v>-263.3</v>
      </c>
      <c r="N182" s="91">
        <f t="shared" si="1147"/>
        <v>-223</v>
      </c>
      <c r="O182" s="91">
        <f t="shared" si="1147"/>
        <v>-2910.3900000000003</v>
      </c>
      <c r="P182" s="91">
        <f t="shared" si="1147"/>
        <v>-1759.16</v>
      </c>
      <c r="Q182" s="91">
        <f t="shared" si="1147"/>
        <v>-467.18</v>
      </c>
      <c r="R182" s="91">
        <f t="shared" si="1147"/>
        <v>-1525.78</v>
      </c>
      <c r="S182" s="91">
        <f t="shared" si="1147"/>
        <v>-598.99</v>
      </c>
      <c r="T182" s="91">
        <f t="shared" si="1147"/>
        <v>-2060.8900000000003</v>
      </c>
      <c r="U182" s="91">
        <f t="shared" si="1147"/>
        <v>-3880.07</v>
      </c>
      <c r="V182" s="91">
        <f t="shared" si="1147"/>
        <v>-2030.9500000000003</v>
      </c>
      <c r="W182" s="91">
        <f t="shared" si="1147"/>
        <v>-21628.43</v>
      </c>
      <c r="X182" s="91">
        <f t="shared" si="1147"/>
        <v>-4028.06</v>
      </c>
      <c r="Y182" s="91">
        <f t="shared" si="1147"/>
        <v>67120.009999999995</v>
      </c>
      <c r="Z182" s="91">
        <f t="shared" si="1147"/>
        <v>39897.00999999998</v>
      </c>
      <c r="AA182" s="91">
        <f t="shared" si="1147"/>
        <v>11672.430000000004</v>
      </c>
      <c r="AB182" s="91">
        <f t="shared" si="1147"/>
        <v>-67320.260000000009</v>
      </c>
      <c r="AC182" s="91">
        <f t="shared" si="1147"/>
        <v>92246.720000000001</v>
      </c>
      <c r="AD182" s="91">
        <f t="shared" si="1147"/>
        <v>5735.720000000003</v>
      </c>
      <c r="AE182" s="91">
        <f t="shared" si="1147"/>
        <v>-28857.11</v>
      </c>
      <c r="AF182" s="91">
        <f t="shared" si="1147"/>
        <v>53032.210000000006</v>
      </c>
      <c r="AG182" s="91">
        <f t="shared" si="1147"/>
        <v>-30499.549999999996</v>
      </c>
      <c r="AH182" s="91">
        <f t="shared" ref="AH182:AI182" si="1148">AH92</f>
        <v>-4999.88</v>
      </c>
      <c r="AI182" s="91">
        <f t="shared" si="1148"/>
        <v>1880.1499999999996</v>
      </c>
      <c r="AJ182" s="91">
        <f t="shared" ref="AJ182" si="1149">AJ92</f>
        <v>10865.740000000002</v>
      </c>
      <c r="AK182" s="91">
        <f>AK92</f>
        <v>1556.6999999999989</v>
      </c>
      <c r="AL182" s="91">
        <f>AL92</f>
        <v>-2582.5399999999986</v>
      </c>
      <c r="AM182" s="91">
        <f>AM92</f>
        <v>-267.96000000000095</v>
      </c>
      <c r="AN182" s="91">
        <f>AN92</f>
        <v>27294.760000000009</v>
      </c>
      <c r="AO182" s="91">
        <f>AO92</f>
        <v>-11660.26</v>
      </c>
      <c r="AP182" s="91">
        <f t="shared" ref="AP182:AQ182" si="1150">AP92</f>
        <v>-9667.4699999999993</v>
      </c>
      <c r="AQ182" s="91">
        <f t="shared" si="1150"/>
        <v>-7904.5399999999991</v>
      </c>
      <c r="AR182" s="91">
        <f t="shared" ref="AR182:BP182" si="1151">AR92</f>
        <v>-6085.0099999999984</v>
      </c>
      <c r="AS182" s="155">
        <f t="shared" si="1151"/>
        <v>18466.170000000006</v>
      </c>
      <c r="AT182" s="91">
        <f t="shared" si="1151"/>
        <v>-9071.9</v>
      </c>
      <c r="AU182" s="91">
        <f t="shared" si="1151"/>
        <v>-6611.9000000000015</v>
      </c>
      <c r="AV182" s="91">
        <f t="shared" si="1151"/>
        <v>-8921.9000000000015</v>
      </c>
      <c r="AW182" s="91">
        <f t="shared" si="1151"/>
        <v>-7947.9000000000015</v>
      </c>
      <c r="AX182" s="91">
        <f t="shared" si="1151"/>
        <v>117929.31</v>
      </c>
      <c r="AY182" s="155">
        <f t="shared" si="1151"/>
        <v>-15413.729877767026</v>
      </c>
      <c r="AZ182" s="91">
        <f>AZ92</f>
        <v>-18636.678108375942</v>
      </c>
      <c r="BA182" s="91">
        <f t="shared" si="1151"/>
        <v>-37329.254769878353</v>
      </c>
      <c r="BB182" s="91">
        <f t="shared" si="1151"/>
        <v>227995.25343230358</v>
      </c>
      <c r="BC182" s="91">
        <f t="shared" si="1151"/>
        <v>187910.16177938829</v>
      </c>
      <c r="BD182" s="91">
        <f t="shared" si="1151"/>
        <v>-21571.44026851267</v>
      </c>
      <c r="BE182" s="91">
        <f t="shared" si="1151"/>
        <v>-151784.58533997537</v>
      </c>
      <c r="BF182" s="91">
        <f t="shared" si="1151"/>
        <v>86004.428345352339</v>
      </c>
      <c r="BG182" s="91">
        <f t="shared" si="1151"/>
        <v>-25846.650878021625</v>
      </c>
      <c r="BH182" s="91">
        <f t="shared" si="1151"/>
        <v>29931.672466286545</v>
      </c>
      <c r="BI182" s="91">
        <f t="shared" si="1151"/>
        <v>-45508.715114133105</v>
      </c>
      <c r="BJ182" s="91">
        <f t="shared" si="1151"/>
        <v>206960.03916666665</v>
      </c>
      <c r="BK182" s="155">
        <f t="shared" si="1151"/>
        <v>-24978.198028135965</v>
      </c>
      <c r="BL182" s="91">
        <f t="shared" si="1151"/>
        <v>-19410.55012004829</v>
      </c>
      <c r="BM182" s="91">
        <f t="shared" si="1151"/>
        <v>-38624.337003084358</v>
      </c>
      <c r="BN182" s="91">
        <f t="shared" si="1151"/>
        <v>404640.10562605516</v>
      </c>
      <c r="BO182" s="91">
        <f t="shared" si="1151"/>
        <v>397854.00175275118</v>
      </c>
      <c r="BP182" s="91">
        <f t="shared" si="1151"/>
        <v>89598.786098463403</v>
      </c>
      <c r="BQ182" s="91">
        <f t="shared" ref="BQ182:CV182" si="1152">BQ92</f>
        <v>-172280.73431586099</v>
      </c>
      <c r="BR182" s="91">
        <f t="shared" si="1152"/>
        <v>207903.17052751043</v>
      </c>
      <c r="BS182" s="91">
        <f t="shared" si="1152"/>
        <v>-28339.719258980062</v>
      </c>
      <c r="BT182" s="91">
        <f t="shared" si="1152"/>
        <v>143623.71386456917</v>
      </c>
      <c r="BU182" s="91">
        <f t="shared" si="1152"/>
        <v>-51285.258726573076</v>
      </c>
      <c r="BV182" s="91">
        <f t="shared" si="1152"/>
        <v>286902.36812499998</v>
      </c>
      <c r="BW182" s="155">
        <f t="shared" si="1152"/>
        <v>-28600.990716097134</v>
      </c>
      <c r="BX182" s="91">
        <f t="shared" si="1152"/>
        <v>-25627.405009638718</v>
      </c>
      <c r="BY182" s="91">
        <f t="shared" si="1152"/>
        <v>-47617.45466959184</v>
      </c>
      <c r="BZ182" s="91">
        <f t="shared" si="1152"/>
        <v>556988.40599324473</v>
      </c>
      <c r="CA182" s="91">
        <f t="shared" si="1152"/>
        <v>573751.28684445482</v>
      </c>
      <c r="CB182" s="91">
        <f t="shared" si="1152"/>
        <v>172429.05418218355</v>
      </c>
      <c r="CC182" s="91">
        <f t="shared" si="1152"/>
        <v>-201383.435410718</v>
      </c>
      <c r="CD182" s="91">
        <f t="shared" si="1152"/>
        <v>307483.23338020802</v>
      </c>
      <c r="CE182" s="91">
        <f t="shared" si="1152"/>
        <v>-35851.069610178107</v>
      </c>
      <c r="CF182" s="91">
        <f t="shared" si="1152"/>
        <v>233243.7507374225</v>
      </c>
      <c r="CG182" s="91">
        <f t="shared" si="1152"/>
        <v>-62550.953117123034</v>
      </c>
      <c r="CH182" s="91">
        <f t="shared" si="1152"/>
        <v>327435.26444791665</v>
      </c>
      <c r="CI182" s="155">
        <f t="shared" si="1152"/>
        <v>-37257.088356510569</v>
      </c>
      <c r="CJ182" s="91">
        <f t="shared" si="1152"/>
        <v>-28653.263324755666</v>
      </c>
      <c r="CK182" s="91">
        <f t="shared" si="1152"/>
        <v>-56887.635983159533</v>
      </c>
      <c r="CL182" s="91">
        <f t="shared" si="1152"/>
        <v>642297.47714033152</v>
      </c>
      <c r="CM182" s="91">
        <f t="shared" si="1152"/>
        <v>650861.48049566709</v>
      </c>
      <c r="CN182" s="91">
        <f t="shared" si="1152"/>
        <v>179898.61721902559</v>
      </c>
      <c r="CO182" s="91">
        <f t="shared" si="1152"/>
        <v>-244813.21689531475</v>
      </c>
      <c r="CP182" s="91">
        <f t="shared" si="1152"/>
        <v>347550.89700120955</v>
      </c>
      <c r="CQ182" s="91">
        <f t="shared" si="1152"/>
        <v>-39776.419756188756</v>
      </c>
      <c r="CR182" s="91">
        <f t="shared" si="1152"/>
        <v>255134.89759470432</v>
      </c>
      <c r="CS182" s="91">
        <f t="shared" si="1152"/>
        <v>-73514.122533967136</v>
      </c>
      <c r="CT182" s="91">
        <f t="shared" si="1152"/>
        <v>438989.55831531249</v>
      </c>
      <c r="CU182" s="155">
        <f t="shared" si="1152"/>
        <v>-42967.103940221554</v>
      </c>
      <c r="CV182" s="91">
        <f t="shared" si="1152"/>
        <v>-34014.601884640419</v>
      </c>
      <c r="CW182" s="91">
        <f t="shared" ref="CW182:DG182" si="1153">CW92</f>
        <v>-71087.990207645242</v>
      </c>
      <c r="CX182" s="91">
        <f t="shared" si="1153"/>
        <v>855100.51619671856</v>
      </c>
      <c r="CY182" s="91">
        <f t="shared" si="1153"/>
        <v>877286.09789088799</v>
      </c>
      <c r="CZ182" s="91">
        <f t="shared" si="1153"/>
        <v>263002.39379508613</v>
      </c>
      <c r="DA182" s="91">
        <f t="shared" si="1153"/>
        <v>-303708.56634783931</v>
      </c>
      <c r="DB182" s="91">
        <f t="shared" si="1153"/>
        <v>472828.5800228162</v>
      </c>
      <c r="DC182" s="91">
        <f t="shared" si="1153"/>
        <v>-50492.527423931781</v>
      </c>
      <c r="DD182" s="91">
        <f t="shared" si="1153"/>
        <v>358174.11926468456</v>
      </c>
      <c r="DE182" s="91">
        <f t="shared" si="1153"/>
        <v>-91280.655896154742</v>
      </c>
      <c r="DF182" s="91">
        <f t="shared" si="1153"/>
        <v>475579.64266544482</v>
      </c>
      <c r="DG182" s="91">
        <f t="shared" si="1153"/>
        <v>-51066.950791196068</v>
      </c>
    </row>
    <row r="183" spans="1:111" x14ac:dyDescent="0.25">
      <c r="B183" s="11" t="s">
        <v>32</v>
      </c>
      <c r="D183" s="91"/>
      <c r="E183" s="91">
        <f t="shared" ref="E183:AJ183" si="1154">-(E111-D111)</f>
        <v>0</v>
      </c>
      <c r="F183" s="91">
        <f t="shared" si="1154"/>
        <v>0</v>
      </c>
      <c r="G183" s="91">
        <f t="shared" si="1154"/>
        <v>0</v>
      </c>
      <c r="H183" s="91">
        <f t="shared" si="1154"/>
        <v>0</v>
      </c>
      <c r="I183" s="91">
        <f t="shared" si="1154"/>
        <v>0</v>
      </c>
      <c r="J183" s="91">
        <f t="shared" si="1154"/>
        <v>0</v>
      </c>
      <c r="K183" s="91">
        <f t="shared" si="1154"/>
        <v>0</v>
      </c>
      <c r="L183" s="91">
        <f t="shared" si="1154"/>
        <v>0</v>
      </c>
      <c r="M183" s="91">
        <f t="shared" si="1154"/>
        <v>0</v>
      </c>
      <c r="N183" s="91">
        <f t="shared" si="1154"/>
        <v>0</v>
      </c>
      <c r="O183" s="91">
        <f t="shared" si="1154"/>
        <v>0</v>
      </c>
      <c r="P183" s="91">
        <f t="shared" si="1154"/>
        <v>0</v>
      </c>
      <c r="Q183" s="91">
        <f t="shared" si="1154"/>
        <v>0</v>
      </c>
      <c r="R183" s="91">
        <f t="shared" si="1154"/>
        <v>0</v>
      </c>
      <c r="S183" s="91">
        <f t="shared" si="1154"/>
        <v>0</v>
      </c>
      <c r="T183" s="91">
        <f t="shared" si="1154"/>
        <v>0</v>
      </c>
      <c r="U183" s="91">
        <f t="shared" si="1154"/>
        <v>0</v>
      </c>
      <c r="V183" s="91">
        <f t="shared" si="1154"/>
        <v>0</v>
      </c>
      <c r="W183" s="91">
        <f t="shared" si="1154"/>
        <v>0</v>
      </c>
      <c r="X183" s="91">
        <f t="shared" si="1154"/>
        <v>0</v>
      </c>
      <c r="Y183" s="91">
        <f t="shared" si="1154"/>
        <v>0</v>
      </c>
      <c r="Z183" s="91">
        <f t="shared" si="1154"/>
        <v>0</v>
      </c>
      <c r="AA183" s="91">
        <f t="shared" si="1154"/>
        <v>0</v>
      </c>
      <c r="AB183" s="91">
        <f t="shared" si="1154"/>
        <v>0</v>
      </c>
      <c r="AC183" s="91">
        <f t="shared" si="1154"/>
        <v>0</v>
      </c>
      <c r="AD183" s="91">
        <f t="shared" si="1154"/>
        <v>0</v>
      </c>
      <c r="AE183" s="91">
        <f t="shared" si="1154"/>
        <v>-14766</v>
      </c>
      <c r="AF183" s="91">
        <f t="shared" si="1154"/>
        <v>2201</v>
      </c>
      <c r="AG183" s="91">
        <f t="shared" si="1154"/>
        <v>12165</v>
      </c>
      <c r="AH183" s="91">
        <f t="shared" si="1154"/>
        <v>-1100</v>
      </c>
      <c r="AI183" s="91">
        <f t="shared" si="1154"/>
        <v>1500</v>
      </c>
      <c r="AJ183" s="91">
        <f t="shared" si="1154"/>
        <v>0</v>
      </c>
      <c r="AK183" s="91">
        <f t="shared" ref="AK183:BP183" si="1155">-(AK111-AJ111)</f>
        <v>0</v>
      </c>
      <c r="AL183" s="91">
        <f t="shared" si="1155"/>
        <v>0</v>
      </c>
      <c r="AM183" s="91">
        <f t="shared" si="1155"/>
        <v>-55151.44</v>
      </c>
      <c r="AN183" s="91">
        <f t="shared" si="1155"/>
        <v>8587.86</v>
      </c>
      <c r="AO183" s="91">
        <f t="shared" si="1155"/>
        <v>0</v>
      </c>
      <c r="AP183" s="91">
        <f t="shared" si="1155"/>
        <v>46563.58</v>
      </c>
      <c r="AQ183" s="91">
        <f t="shared" si="1155"/>
        <v>-1199.8</v>
      </c>
      <c r="AR183" s="91">
        <f t="shared" si="1155"/>
        <v>1199.8</v>
      </c>
      <c r="AS183" s="155">
        <f t="shared" si="1155"/>
        <v>0</v>
      </c>
      <c r="AT183" s="91">
        <f t="shared" si="1155"/>
        <v>-434.07018769888299</v>
      </c>
      <c r="AU183" s="91">
        <f t="shared" si="1155"/>
        <v>0</v>
      </c>
      <c r="AV183" s="91">
        <f t="shared" si="1155"/>
        <v>0</v>
      </c>
      <c r="AW183" s="91">
        <f t="shared" si="1155"/>
        <v>0</v>
      </c>
      <c r="AX183" s="91">
        <f t="shared" si="1155"/>
        <v>0</v>
      </c>
      <c r="AY183" s="155">
        <f t="shared" si="1155"/>
        <v>0</v>
      </c>
      <c r="AZ183" s="91">
        <f t="shared" si="1155"/>
        <v>-868.14037539776609</v>
      </c>
      <c r="BA183" s="91">
        <f t="shared" si="1155"/>
        <v>0</v>
      </c>
      <c r="BB183" s="91">
        <f t="shared" si="1155"/>
        <v>0</v>
      </c>
      <c r="BC183" s="91">
        <f t="shared" si="1155"/>
        <v>0</v>
      </c>
      <c r="BD183" s="91">
        <f t="shared" si="1155"/>
        <v>0</v>
      </c>
      <c r="BE183" s="91">
        <f t="shared" si="1155"/>
        <v>0</v>
      </c>
      <c r="BF183" s="91">
        <f t="shared" si="1155"/>
        <v>-434.07018769888282</v>
      </c>
      <c r="BG183" s="91">
        <f t="shared" si="1155"/>
        <v>0</v>
      </c>
      <c r="BH183" s="91">
        <f t="shared" si="1155"/>
        <v>0</v>
      </c>
      <c r="BI183" s="91">
        <f t="shared" si="1155"/>
        <v>0</v>
      </c>
      <c r="BJ183" s="91">
        <f t="shared" si="1155"/>
        <v>0</v>
      </c>
      <c r="BK183" s="155">
        <f t="shared" si="1155"/>
        <v>0</v>
      </c>
      <c r="BL183" s="91">
        <f t="shared" si="1155"/>
        <v>-434.07018769888305</v>
      </c>
      <c r="BM183" s="91">
        <f t="shared" si="1155"/>
        <v>0</v>
      </c>
      <c r="BN183" s="91">
        <f t="shared" si="1155"/>
        <v>0</v>
      </c>
      <c r="BO183" s="91">
        <f t="shared" si="1155"/>
        <v>0</v>
      </c>
      <c r="BP183" s="91">
        <f t="shared" si="1155"/>
        <v>0</v>
      </c>
      <c r="BQ183" s="91">
        <f t="shared" ref="BQ183:CV183" si="1156">-(BQ111-BP111)</f>
        <v>0</v>
      </c>
      <c r="BR183" s="91">
        <f t="shared" si="1156"/>
        <v>0</v>
      </c>
      <c r="BS183" s="91">
        <f t="shared" si="1156"/>
        <v>0</v>
      </c>
      <c r="BT183" s="91">
        <f t="shared" si="1156"/>
        <v>0</v>
      </c>
      <c r="BU183" s="91">
        <f t="shared" si="1156"/>
        <v>0</v>
      </c>
      <c r="BV183" s="91">
        <f t="shared" si="1156"/>
        <v>0</v>
      </c>
      <c r="BW183" s="155">
        <f t="shared" si="1156"/>
        <v>0</v>
      </c>
      <c r="BX183" s="91">
        <f t="shared" si="1156"/>
        <v>-434.07018769888327</v>
      </c>
      <c r="BY183" s="91">
        <f t="shared" si="1156"/>
        <v>0</v>
      </c>
      <c r="BZ183" s="91">
        <f t="shared" si="1156"/>
        <v>0</v>
      </c>
      <c r="CA183" s="91">
        <f t="shared" si="1156"/>
        <v>0</v>
      </c>
      <c r="CB183" s="91">
        <f t="shared" si="1156"/>
        <v>0</v>
      </c>
      <c r="CC183" s="91">
        <f t="shared" si="1156"/>
        <v>0</v>
      </c>
      <c r="CD183" s="91">
        <f t="shared" si="1156"/>
        <v>0</v>
      </c>
      <c r="CE183" s="91">
        <f t="shared" si="1156"/>
        <v>0</v>
      </c>
      <c r="CF183" s="91">
        <f t="shared" si="1156"/>
        <v>0</v>
      </c>
      <c r="CG183" s="91">
        <f t="shared" si="1156"/>
        <v>0</v>
      </c>
      <c r="CH183" s="91">
        <f t="shared" si="1156"/>
        <v>0</v>
      </c>
      <c r="CI183" s="155">
        <f t="shared" si="1156"/>
        <v>0</v>
      </c>
      <c r="CJ183" s="91">
        <f t="shared" si="1156"/>
        <v>-434.07018769888327</v>
      </c>
      <c r="CK183" s="91">
        <f t="shared" si="1156"/>
        <v>0</v>
      </c>
      <c r="CL183" s="91">
        <f t="shared" si="1156"/>
        <v>0</v>
      </c>
      <c r="CM183" s="91">
        <f t="shared" si="1156"/>
        <v>0</v>
      </c>
      <c r="CN183" s="91">
        <f t="shared" si="1156"/>
        <v>0</v>
      </c>
      <c r="CO183" s="91">
        <f t="shared" si="1156"/>
        <v>0</v>
      </c>
      <c r="CP183" s="91">
        <f t="shared" si="1156"/>
        <v>-434.07018769888236</v>
      </c>
      <c r="CQ183" s="91">
        <f t="shared" si="1156"/>
        <v>0</v>
      </c>
      <c r="CR183" s="91">
        <f t="shared" si="1156"/>
        <v>0</v>
      </c>
      <c r="CS183" s="91">
        <f t="shared" si="1156"/>
        <v>0</v>
      </c>
      <c r="CT183" s="91">
        <f t="shared" si="1156"/>
        <v>0</v>
      </c>
      <c r="CU183" s="155">
        <f t="shared" si="1156"/>
        <v>0</v>
      </c>
      <c r="CV183" s="91">
        <f t="shared" si="1156"/>
        <v>0</v>
      </c>
      <c r="CW183" s="91">
        <f t="shared" ref="CW183:DG183" si="1157">-(CW111-CV111)</f>
        <v>0</v>
      </c>
      <c r="CX183" s="91">
        <f t="shared" si="1157"/>
        <v>0</v>
      </c>
      <c r="CY183" s="91">
        <f t="shared" si="1157"/>
        <v>0</v>
      </c>
      <c r="CZ183" s="91">
        <f t="shared" si="1157"/>
        <v>0</v>
      </c>
      <c r="DA183" s="91">
        <f t="shared" si="1157"/>
        <v>0</v>
      </c>
      <c r="DB183" s="91">
        <f t="shared" si="1157"/>
        <v>-434.07018769888327</v>
      </c>
      <c r="DC183" s="91">
        <f t="shared" si="1157"/>
        <v>0</v>
      </c>
      <c r="DD183" s="91">
        <f t="shared" si="1157"/>
        <v>0</v>
      </c>
      <c r="DE183" s="91">
        <f t="shared" si="1157"/>
        <v>0</v>
      </c>
      <c r="DF183" s="91">
        <f t="shared" si="1157"/>
        <v>0</v>
      </c>
      <c r="DG183" s="91">
        <f t="shared" si="1157"/>
        <v>0</v>
      </c>
    </row>
    <row r="184" spans="1:111" x14ac:dyDescent="0.25">
      <c r="B184" s="1" t="s">
        <v>33</v>
      </c>
      <c r="D184" s="91"/>
      <c r="E184" s="91">
        <f t="shared" ref="E184:AI184" si="1158">E160-D160-(E117-D117)</f>
        <v>0</v>
      </c>
      <c r="F184" s="91">
        <f t="shared" si="1158"/>
        <v>0</v>
      </c>
      <c r="G184" s="91">
        <f t="shared" si="1158"/>
        <v>0</v>
      </c>
      <c r="H184" s="91">
        <f t="shared" si="1158"/>
        <v>0</v>
      </c>
      <c r="I184" s="91">
        <f t="shared" si="1158"/>
        <v>0</v>
      </c>
      <c r="J184" s="91">
        <f t="shared" si="1158"/>
        <v>0</v>
      </c>
      <c r="K184" s="91">
        <f t="shared" si="1158"/>
        <v>0</v>
      </c>
      <c r="L184" s="91">
        <f t="shared" si="1158"/>
        <v>0</v>
      </c>
      <c r="M184" s="91">
        <f t="shared" si="1158"/>
        <v>0</v>
      </c>
      <c r="N184" s="91">
        <f t="shared" si="1158"/>
        <v>0</v>
      </c>
      <c r="O184" s="91">
        <f t="shared" si="1158"/>
        <v>0</v>
      </c>
      <c r="P184" s="91">
        <f t="shared" si="1158"/>
        <v>32.49</v>
      </c>
      <c r="Q184" s="91">
        <f t="shared" si="1158"/>
        <v>-2.4400000000000013</v>
      </c>
      <c r="R184" s="91">
        <f t="shared" si="1158"/>
        <v>1198.5899999999999</v>
      </c>
      <c r="S184" s="91">
        <f t="shared" si="1158"/>
        <v>-67.639999999999873</v>
      </c>
      <c r="T184" s="91">
        <f t="shared" si="1158"/>
        <v>76723.97</v>
      </c>
      <c r="U184" s="91">
        <f t="shared" si="1158"/>
        <v>263.58000000000175</v>
      </c>
      <c r="V184" s="91">
        <f t="shared" si="1158"/>
        <v>923.61999999999534</v>
      </c>
      <c r="W184" s="91">
        <f t="shared" si="1158"/>
        <v>1090.5400000000081</v>
      </c>
      <c r="X184" s="91">
        <f t="shared" si="1158"/>
        <v>1289.6399999999994</v>
      </c>
      <c r="Y184" s="91">
        <f t="shared" si="1158"/>
        <v>2171.2399999999907</v>
      </c>
      <c r="Z184" s="91">
        <f t="shared" si="1158"/>
        <v>-4086.9600000000064</v>
      </c>
      <c r="AA184" s="91">
        <f t="shared" si="1158"/>
        <v>49116.700000000012</v>
      </c>
      <c r="AB184" s="91">
        <f t="shared" si="1158"/>
        <v>-32131.03</v>
      </c>
      <c r="AC184" s="91">
        <f t="shared" si="1158"/>
        <v>-20722.729999999996</v>
      </c>
      <c r="AD184" s="91">
        <f t="shared" si="1158"/>
        <v>97.889999999999418</v>
      </c>
      <c r="AE184" s="91">
        <f t="shared" si="1158"/>
        <v>23485.869999999995</v>
      </c>
      <c r="AF184" s="91">
        <f t="shared" si="1158"/>
        <v>-83922.87</v>
      </c>
      <c r="AG184" s="91">
        <f t="shared" si="1158"/>
        <v>9145.510000000002</v>
      </c>
      <c r="AH184" s="91">
        <f t="shared" si="1158"/>
        <v>-11139.75</v>
      </c>
      <c r="AI184" s="91">
        <f t="shared" si="1158"/>
        <v>-10170.579999999998</v>
      </c>
      <c r="AJ184" s="91">
        <f>AJ160-AI160-(AJ117-AI117)</f>
        <v>1890.9399999999987</v>
      </c>
      <c r="AK184" s="91">
        <f t="shared" ref="AK184" si="1159">AK160-AJ160-(AK117-AJ117)</f>
        <v>1752.6699999999983</v>
      </c>
      <c r="AL184" s="91">
        <f t="shared" ref="AL184:BQ184" si="1160">AL160-AK160-(AL117-AK117)-(AL120-AK120)</f>
        <v>-3857.3099999999977</v>
      </c>
      <c r="AM184" s="91">
        <f t="shared" si="1160"/>
        <v>74870.25</v>
      </c>
      <c r="AN184" s="91">
        <f t="shared" si="1160"/>
        <v>-23065.279999999995</v>
      </c>
      <c r="AO184" s="91">
        <f t="shared" si="1160"/>
        <v>-8352.0799999999981</v>
      </c>
      <c r="AP184" s="91">
        <f t="shared" si="1160"/>
        <v>-34792.490000000005</v>
      </c>
      <c r="AQ184" s="91">
        <f t="shared" si="1160"/>
        <v>792.13999999999942</v>
      </c>
      <c r="AR184" s="91">
        <f t="shared" si="1160"/>
        <v>81554.95</v>
      </c>
      <c r="AS184" s="155">
        <f t="shared" si="1160"/>
        <v>-28621.009999999995</v>
      </c>
      <c r="AT184" s="91">
        <f t="shared" si="1160"/>
        <v>-57899.099309320867</v>
      </c>
      <c r="AU184" s="91">
        <f t="shared" si="1160"/>
        <v>877.54597759691023</v>
      </c>
      <c r="AV184" s="91">
        <f t="shared" si="1160"/>
        <v>-1342.9355344310352</v>
      </c>
      <c r="AW184" s="91">
        <f t="shared" si="1160"/>
        <v>111.39114062556473</v>
      </c>
      <c r="AX184" s="91">
        <f t="shared" si="1160"/>
        <v>126657.67333808691</v>
      </c>
      <c r="AY184" s="155">
        <f t="shared" si="1160"/>
        <v>-4024.70851531261</v>
      </c>
      <c r="AZ184" s="91">
        <f>AZ160-AY160-(AZ117-AY117)-(AZ120-AY120)</f>
        <v>10647.523657147598</v>
      </c>
      <c r="BA184" s="91">
        <f t="shared" si="1160"/>
        <v>-18306.666462474561</v>
      </c>
      <c r="BB184" s="91">
        <f t="shared" si="1160"/>
        <v>220842.63157288224</v>
      </c>
      <c r="BC184" s="91">
        <f t="shared" si="1160"/>
        <v>226942.098945804</v>
      </c>
      <c r="BD184" s="91">
        <f t="shared" si="1160"/>
        <v>-55546.364791854867</v>
      </c>
      <c r="BE184" s="91">
        <f t="shared" si="1160"/>
        <v>-282632.02895516</v>
      </c>
      <c r="BF184" s="91">
        <f t="shared" si="1160"/>
        <v>5977.9216471185209</v>
      </c>
      <c r="BG184" s="91">
        <f t="shared" si="1160"/>
        <v>-88032.302162582666</v>
      </c>
      <c r="BH184" s="91">
        <f t="shared" si="1160"/>
        <v>59904.04477424678</v>
      </c>
      <c r="BI184" s="91">
        <f t="shared" si="1160"/>
        <v>-151517.56427963663</v>
      </c>
      <c r="BJ184" s="91">
        <f t="shared" si="1160"/>
        <v>191432.25489316217</v>
      </c>
      <c r="BK184" s="155">
        <f t="shared" si="1160"/>
        <v>-12406.597020683315</v>
      </c>
      <c r="BL184" s="91">
        <f t="shared" si="1160"/>
        <v>842.55900812475011</v>
      </c>
      <c r="BM184" s="91">
        <f t="shared" si="1160"/>
        <v>-44572.718082699779</v>
      </c>
      <c r="BN184" s="91">
        <f t="shared" si="1160"/>
        <v>392642.22291031841</v>
      </c>
      <c r="BO184" s="91">
        <f t="shared" si="1160"/>
        <v>333524.03202306165</v>
      </c>
      <c r="BP184" s="91">
        <f t="shared" si="1160"/>
        <v>-142691.48178438307</v>
      </c>
      <c r="BQ184" s="91">
        <f t="shared" si="1160"/>
        <v>-451440.52254672651</v>
      </c>
      <c r="BR184" s="91">
        <f t="shared" ref="BR184:CX184" si="1161">BR160-BQ160-(BR117-BQ117)-(BR120-BQ120)</f>
        <v>25746.934160301054</v>
      </c>
      <c r="BS184" s="91">
        <f t="shared" si="1161"/>
        <v>-116911.29358722732</v>
      </c>
      <c r="BT184" s="91">
        <f t="shared" si="1161"/>
        <v>40581.533375032159</v>
      </c>
      <c r="BU184" s="91">
        <f t="shared" si="1161"/>
        <v>-203406.49052134246</v>
      </c>
      <c r="BV184" s="91">
        <f t="shared" si="1161"/>
        <v>268908.86576717219</v>
      </c>
      <c r="BW184" s="155">
        <f t="shared" si="1161"/>
        <v>-17639.423315329943</v>
      </c>
      <c r="BX184" s="91">
        <f t="shared" si="1161"/>
        <v>2303.2099835559493</v>
      </c>
      <c r="BY184" s="91">
        <f t="shared" si="1161"/>
        <v>-67882.747426936578</v>
      </c>
      <c r="BZ184" s="91">
        <f t="shared" si="1161"/>
        <v>545231.62902797642</v>
      </c>
      <c r="CA184" s="91">
        <f t="shared" si="1161"/>
        <v>432926.23637932923</v>
      </c>
      <c r="CB184" s="91">
        <f t="shared" si="1161"/>
        <v>-217446.04460313241</v>
      </c>
      <c r="CC184" s="91">
        <f t="shared" si="1161"/>
        <v>-603358.58624997316</v>
      </c>
      <c r="CD184" s="91">
        <f t="shared" si="1161"/>
        <v>45883.65199041646</v>
      </c>
      <c r="CE184" s="91">
        <f t="shared" si="1161"/>
        <v>-145444.1782614321</v>
      </c>
      <c r="CF184" s="91">
        <f t="shared" si="1161"/>
        <v>28591.828696178563</v>
      </c>
      <c r="CG184" s="91">
        <f t="shared" si="1161"/>
        <v>-254231.31246846152</v>
      </c>
      <c r="CH184" s="91">
        <f t="shared" si="1161"/>
        <v>310404.62935968471</v>
      </c>
      <c r="CI184" s="155">
        <f t="shared" si="1161"/>
        <v>-20204.864515976107</v>
      </c>
      <c r="CJ184" s="91">
        <f t="shared" si="1161"/>
        <v>-751.19098463078262</v>
      </c>
      <c r="CK184" s="91">
        <f t="shared" si="1161"/>
        <v>-75531.308899807744</v>
      </c>
      <c r="CL184" s="91">
        <f t="shared" si="1161"/>
        <v>626003.33297544322</v>
      </c>
      <c r="CM184" s="91">
        <f t="shared" si="1161"/>
        <v>508838.86572233436</v>
      </c>
      <c r="CN184" s="91">
        <f t="shared" si="1161"/>
        <v>-242619.44202244468</v>
      </c>
      <c r="CO184" s="91">
        <f t="shared" si="1161"/>
        <v>-701329.16936704959</v>
      </c>
      <c r="CP184" s="91">
        <f t="shared" si="1161"/>
        <v>53584.683628662897</v>
      </c>
      <c r="CQ184" s="91">
        <f t="shared" si="1161"/>
        <v>-172408.76231264434</v>
      </c>
      <c r="CR184" s="91">
        <f t="shared" si="1161"/>
        <v>42908.207118743856</v>
      </c>
      <c r="CS184" s="91">
        <f t="shared" si="1161"/>
        <v>-302959.15352262004</v>
      </c>
      <c r="CT184" s="91">
        <f t="shared" si="1161"/>
        <v>414377.00382620731</v>
      </c>
      <c r="CU184" s="155">
        <f t="shared" si="1161"/>
        <v>-27465.727048625005</v>
      </c>
      <c r="CV184" s="91">
        <f t="shared" si="1161"/>
        <v>-6779.3383534466848</v>
      </c>
      <c r="CW184" s="91">
        <f t="shared" si="1161"/>
        <v>-104035.1526194773</v>
      </c>
      <c r="CX184" s="91">
        <f t="shared" si="1161"/>
        <v>832471.2471701419</v>
      </c>
      <c r="CY184" s="91">
        <f t="shared" ref="CY184:DG184" si="1162">CY160-CX160-(CY117-CX117)-(CY120-CX120)</f>
        <v>662136.22079001111</v>
      </c>
      <c r="CZ184" s="91">
        <f t="shared" si="1162"/>
        <v>-332461.1515383136</v>
      </c>
      <c r="DA184" s="91">
        <f t="shared" si="1162"/>
        <v>-919699.00319424598</v>
      </c>
      <c r="DB184" s="91">
        <f t="shared" si="1162"/>
        <v>74292.920989851584</v>
      </c>
      <c r="DC184" s="91">
        <f t="shared" si="1162"/>
        <v>-222870.33035281813</v>
      </c>
      <c r="DD184" s="91">
        <f t="shared" si="1162"/>
        <v>45745.273881910951</v>
      </c>
      <c r="DE184" s="91">
        <f t="shared" si="1162"/>
        <v>-389523.97111536493</v>
      </c>
      <c r="DF184" s="91">
        <f t="shared" si="1162"/>
        <v>444006.83644823753</v>
      </c>
      <c r="DG184" s="91">
        <f t="shared" si="1162"/>
        <v>-29295.079884337378</v>
      </c>
    </row>
    <row r="185" spans="1:111" x14ac:dyDescent="0.25">
      <c r="B185" s="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155"/>
      <c r="AT185" s="91"/>
      <c r="AU185" s="91"/>
      <c r="AV185" s="91"/>
      <c r="AW185" s="91"/>
      <c r="AX185" s="91"/>
      <c r="AY185" s="155"/>
      <c r="AZ185" s="91"/>
      <c r="BA185" s="91"/>
      <c r="BB185" s="91"/>
      <c r="BC185" s="91"/>
      <c r="BD185" s="91"/>
      <c r="BE185" s="91"/>
      <c r="BF185" s="91"/>
      <c r="BG185" s="91"/>
      <c r="BH185" s="91"/>
      <c r="BI185" s="91"/>
      <c r="BJ185" s="91"/>
      <c r="BK185" s="155"/>
      <c r="BL185" s="91"/>
      <c r="BM185" s="91"/>
      <c r="BN185" s="91"/>
      <c r="BO185" s="91"/>
      <c r="BP185" s="91"/>
      <c r="BQ185" s="91"/>
      <c r="BR185" s="91"/>
      <c r="BS185" s="91"/>
      <c r="BT185" s="91"/>
      <c r="BU185" s="91"/>
      <c r="BV185" s="91"/>
      <c r="BW185" s="155"/>
      <c r="BX185" s="91"/>
      <c r="BY185" s="91"/>
      <c r="BZ185" s="91"/>
      <c r="CA185" s="91"/>
      <c r="CB185" s="91"/>
      <c r="CC185" s="91"/>
      <c r="CD185" s="91"/>
      <c r="CE185" s="91"/>
      <c r="CF185" s="91"/>
      <c r="CG185" s="91"/>
      <c r="CH185" s="91"/>
      <c r="CI185" s="155"/>
      <c r="CJ185" s="91"/>
      <c r="CK185" s="91"/>
      <c r="CL185" s="91"/>
      <c r="CM185" s="91"/>
      <c r="CN185" s="91"/>
      <c r="CO185" s="91"/>
      <c r="CP185" s="91"/>
      <c r="CQ185" s="91"/>
      <c r="CR185" s="91"/>
      <c r="CS185" s="91"/>
      <c r="CT185" s="91"/>
      <c r="CU185" s="155"/>
      <c r="CV185" s="91"/>
      <c r="CW185" s="91"/>
      <c r="CX185" s="91"/>
      <c r="CY185" s="91"/>
      <c r="CZ185" s="91"/>
      <c r="DA185" s="91"/>
      <c r="DB185" s="91"/>
      <c r="DC185" s="91"/>
      <c r="DD185" s="91"/>
      <c r="DE185" s="91"/>
      <c r="DF185" s="91"/>
      <c r="DG185" s="91"/>
    </row>
    <row r="186" spans="1:111" s="3" customFormat="1" x14ac:dyDescent="0.25">
      <c r="A186"/>
      <c r="B186" s="4" t="s">
        <v>31</v>
      </c>
      <c r="D186" s="10"/>
      <c r="E186" s="10">
        <f t="shared" ref="E186:AG186" si="1163">SUM(E182:E184)</f>
        <v>-12</v>
      </c>
      <c r="F186" s="10">
        <f t="shared" si="1163"/>
        <v>-11.83</v>
      </c>
      <c r="G186" s="10">
        <f t="shared" si="1163"/>
        <v>-12</v>
      </c>
      <c r="H186" s="10">
        <f t="shared" si="1163"/>
        <v>-132</v>
      </c>
      <c r="I186" s="10">
        <f t="shared" si="1163"/>
        <v>-817.36</v>
      </c>
      <c r="J186" s="10">
        <f t="shared" si="1163"/>
        <v>-12</v>
      </c>
      <c r="K186" s="10">
        <f t="shared" si="1163"/>
        <v>-213</v>
      </c>
      <c r="L186" s="10">
        <f t="shared" si="1163"/>
        <v>-1880.5</v>
      </c>
      <c r="M186" s="10">
        <f t="shared" si="1163"/>
        <v>-263.3</v>
      </c>
      <c r="N186" s="10">
        <f t="shared" si="1163"/>
        <v>-223</v>
      </c>
      <c r="O186" s="10">
        <f t="shared" si="1163"/>
        <v>-2910.3900000000003</v>
      </c>
      <c r="P186" s="10">
        <f t="shared" si="1163"/>
        <v>-1726.67</v>
      </c>
      <c r="Q186" s="10">
        <f t="shared" si="1163"/>
        <v>-469.62</v>
      </c>
      <c r="R186" s="10">
        <f t="shared" si="1163"/>
        <v>-327.19000000000005</v>
      </c>
      <c r="S186" s="10">
        <f t="shared" si="1163"/>
        <v>-666.62999999999988</v>
      </c>
      <c r="T186" s="10">
        <f t="shared" si="1163"/>
        <v>74663.08</v>
      </c>
      <c r="U186" s="10">
        <f t="shared" si="1163"/>
        <v>-3616.4899999999984</v>
      </c>
      <c r="V186" s="10">
        <f t="shared" si="1163"/>
        <v>-1107.3300000000049</v>
      </c>
      <c r="W186" s="10">
        <f t="shared" si="1163"/>
        <v>-20537.889999999992</v>
      </c>
      <c r="X186" s="10">
        <f t="shared" si="1163"/>
        <v>-2738.4200000000005</v>
      </c>
      <c r="Y186" s="10">
        <f t="shared" si="1163"/>
        <v>69291.249999999985</v>
      </c>
      <c r="Z186" s="10">
        <f t="shared" si="1163"/>
        <v>35810.049999999974</v>
      </c>
      <c r="AA186" s="10">
        <f t="shared" si="1163"/>
        <v>60789.130000000019</v>
      </c>
      <c r="AB186" s="10">
        <f t="shared" si="1163"/>
        <v>-99451.290000000008</v>
      </c>
      <c r="AC186" s="10">
        <f t="shared" si="1163"/>
        <v>71523.990000000005</v>
      </c>
      <c r="AD186" s="10">
        <f t="shared" si="1163"/>
        <v>5833.6100000000024</v>
      </c>
      <c r="AE186" s="10">
        <f t="shared" si="1163"/>
        <v>-20137.240000000005</v>
      </c>
      <c r="AF186" s="10">
        <f t="shared" si="1163"/>
        <v>-28689.659999999989</v>
      </c>
      <c r="AG186" s="10">
        <f t="shared" si="1163"/>
        <v>-9189.0399999999936</v>
      </c>
      <c r="AH186" s="10">
        <f t="shared" ref="AH186:AI186" si="1164">SUM(AH182:AH184)</f>
        <v>-17239.63</v>
      </c>
      <c r="AI186" s="10">
        <f t="shared" si="1164"/>
        <v>-6790.4299999999985</v>
      </c>
      <c r="AJ186" s="10">
        <f t="shared" ref="AJ186" si="1165">SUM(AJ182:AJ184)</f>
        <v>12756.68</v>
      </c>
      <c r="AK186" s="10">
        <f t="shared" ref="AK186:BP186" si="1166">SUM(AK182:AK184)</f>
        <v>3309.3699999999972</v>
      </c>
      <c r="AL186" s="10">
        <f t="shared" si="1166"/>
        <v>-6439.8499999999967</v>
      </c>
      <c r="AM186" s="10">
        <f t="shared" si="1166"/>
        <v>19450.849999999999</v>
      </c>
      <c r="AN186" s="10">
        <f t="shared" si="1166"/>
        <v>12817.340000000015</v>
      </c>
      <c r="AO186" s="10">
        <f t="shared" si="1166"/>
        <v>-20012.339999999997</v>
      </c>
      <c r="AP186" s="10">
        <f t="shared" ref="AP186:AQ186" si="1167">SUM(AP182:AP184)</f>
        <v>2103.6199999999953</v>
      </c>
      <c r="AQ186" s="10">
        <f t="shared" si="1167"/>
        <v>-8312.1999999999989</v>
      </c>
      <c r="AR186" s="10">
        <f t="shared" ref="AR186" si="1168">SUM(AR182:AR184)</f>
        <v>76669.740000000005</v>
      </c>
      <c r="AS186" s="163">
        <f t="shared" si="1166"/>
        <v>-10154.839999999989</v>
      </c>
      <c r="AT186" s="10">
        <f t="shared" si="1166"/>
        <v>-67405.069497019751</v>
      </c>
      <c r="AU186" s="10">
        <f t="shared" si="1166"/>
        <v>-5734.3540224030912</v>
      </c>
      <c r="AV186" s="10">
        <f t="shared" si="1166"/>
        <v>-10264.835534431037</v>
      </c>
      <c r="AW186" s="10">
        <f t="shared" si="1166"/>
        <v>-7836.5088593744367</v>
      </c>
      <c r="AX186" s="10">
        <f t="shared" si="1166"/>
        <v>244586.98333808692</v>
      </c>
      <c r="AY186" s="163">
        <f t="shared" si="1166"/>
        <v>-19438.438393079636</v>
      </c>
      <c r="AZ186" s="10">
        <f>SUM(AZ182:AZ184)</f>
        <v>-8857.2948266261083</v>
      </c>
      <c r="BA186" s="10">
        <f t="shared" si="1166"/>
        <v>-55635.921232352914</v>
      </c>
      <c r="BB186" s="10">
        <f t="shared" si="1166"/>
        <v>448837.88500518585</v>
      </c>
      <c r="BC186" s="10">
        <f t="shared" si="1166"/>
        <v>414852.26072519226</v>
      </c>
      <c r="BD186" s="10">
        <f t="shared" si="1166"/>
        <v>-77117.805060367536</v>
      </c>
      <c r="BE186" s="10">
        <f t="shared" si="1166"/>
        <v>-434416.61429513537</v>
      </c>
      <c r="BF186" s="10">
        <f t="shared" si="1166"/>
        <v>91548.27980477197</v>
      </c>
      <c r="BG186" s="10">
        <f t="shared" si="1166"/>
        <v>-113878.95304060429</v>
      </c>
      <c r="BH186" s="10">
        <f t="shared" si="1166"/>
        <v>89835.717240533326</v>
      </c>
      <c r="BI186" s="10">
        <f t="shared" si="1166"/>
        <v>-197026.27939376974</v>
      </c>
      <c r="BJ186" s="10">
        <f t="shared" si="1166"/>
        <v>398392.29405982886</v>
      </c>
      <c r="BK186" s="163">
        <f t="shared" si="1166"/>
        <v>-37384.79504881928</v>
      </c>
      <c r="BL186" s="10">
        <f t="shared" si="1166"/>
        <v>-19002.061299622423</v>
      </c>
      <c r="BM186" s="10">
        <f t="shared" si="1166"/>
        <v>-83197.055085784144</v>
      </c>
      <c r="BN186" s="10">
        <f t="shared" si="1166"/>
        <v>797282.32853637356</v>
      </c>
      <c r="BO186" s="10">
        <f t="shared" si="1166"/>
        <v>731378.03377581283</v>
      </c>
      <c r="BP186" s="10">
        <f t="shared" si="1166"/>
        <v>-53092.695685919665</v>
      </c>
      <c r="BQ186" s="10">
        <f t="shared" ref="BQ186:CV186" si="1169">SUM(BQ182:BQ184)</f>
        <v>-623721.25686258753</v>
      </c>
      <c r="BR186" s="10">
        <f t="shared" si="1169"/>
        <v>233650.10468781149</v>
      </c>
      <c r="BS186" s="10">
        <f t="shared" si="1169"/>
        <v>-145251.01284620739</v>
      </c>
      <c r="BT186" s="10">
        <f t="shared" si="1169"/>
        <v>184205.24723960133</v>
      </c>
      <c r="BU186" s="10">
        <f t="shared" si="1169"/>
        <v>-254691.74924791555</v>
      </c>
      <c r="BV186" s="10">
        <f t="shared" si="1169"/>
        <v>555811.23389217211</v>
      </c>
      <c r="BW186" s="163">
        <f t="shared" si="1169"/>
        <v>-46240.414031427077</v>
      </c>
      <c r="BX186" s="10">
        <f t="shared" si="1169"/>
        <v>-23758.265213781651</v>
      </c>
      <c r="BY186" s="10">
        <f t="shared" si="1169"/>
        <v>-115500.20209652842</v>
      </c>
      <c r="BZ186" s="10">
        <f t="shared" si="1169"/>
        <v>1102220.0350212213</v>
      </c>
      <c r="CA186" s="10">
        <f t="shared" si="1169"/>
        <v>1006677.5232237841</v>
      </c>
      <c r="CB186" s="10">
        <f t="shared" si="1169"/>
        <v>-45016.99042094886</v>
      </c>
      <c r="CC186" s="10">
        <f t="shared" si="1169"/>
        <v>-804742.02166069113</v>
      </c>
      <c r="CD186" s="10">
        <f t="shared" si="1169"/>
        <v>353366.88537062448</v>
      </c>
      <c r="CE186" s="10">
        <f t="shared" si="1169"/>
        <v>-181295.24787161022</v>
      </c>
      <c r="CF186" s="10">
        <f t="shared" si="1169"/>
        <v>261835.57943360106</v>
      </c>
      <c r="CG186" s="10">
        <f t="shared" si="1169"/>
        <v>-316782.26558558457</v>
      </c>
      <c r="CH186" s="10">
        <f t="shared" si="1169"/>
        <v>637839.89380760142</v>
      </c>
      <c r="CI186" s="163">
        <f t="shared" si="1169"/>
        <v>-57461.952872486676</v>
      </c>
      <c r="CJ186" s="10">
        <f t="shared" si="1169"/>
        <v>-29838.524497085331</v>
      </c>
      <c r="CK186" s="10">
        <f t="shared" si="1169"/>
        <v>-132418.94488296728</v>
      </c>
      <c r="CL186" s="10">
        <f t="shared" si="1169"/>
        <v>1268300.8101157746</v>
      </c>
      <c r="CM186" s="10">
        <f t="shared" si="1169"/>
        <v>1159700.3462180016</v>
      </c>
      <c r="CN186" s="10">
        <f t="shared" si="1169"/>
        <v>-62720.824803419091</v>
      </c>
      <c r="CO186" s="10">
        <f t="shared" si="1169"/>
        <v>-946142.38626236434</v>
      </c>
      <c r="CP186" s="10">
        <f t="shared" si="1169"/>
        <v>400701.51044217357</v>
      </c>
      <c r="CQ186" s="10">
        <f t="shared" si="1169"/>
        <v>-212185.18206883309</v>
      </c>
      <c r="CR186" s="10">
        <f t="shared" si="1169"/>
        <v>298043.10471344821</v>
      </c>
      <c r="CS186" s="10">
        <f t="shared" si="1169"/>
        <v>-376473.27605658717</v>
      </c>
      <c r="CT186" s="10">
        <f t="shared" si="1169"/>
        <v>853366.56214151974</v>
      </c>
      <c r="CU186" s="163">
        <f t="shared" si="1169"/>
        <v>-70432.830988846559</v>
      </c>
      <c r="CV186" s="10">
        <f t="shared" si="1169"/>
        <v>-40793.940238087103</v>
      </c>
      <c r="CW186" s="10">
        <f t="shared" ref="CW186:DG186" si="1170">SUM(CW182:CW184)</f>
        <v>-175123.14282712253</v>
      </c>
      <c r="CX186" s="10">
        <f t="shared" si="1170"/>
        <v>1687571.7633668603</v>
      </c>
      <c r="CY186" s="10">
        <f t="shared" si="1170"/>
        <v>1539422.3186808992</v>
      </c>
      <c r="CZ186" s="10">
        <f t="shared" si="1170"/>
        <v>-69458.75774322747</v>
      </c>
      <c r="DA186" s="10">
        <f t="shared" si="1170"/>
        <v>-1223407.5695420853</v>
      </c>
      <c r="DB186" s="10">
        <f t="shared" si="1170"/>
        <v>546687.43082496896</v>
      </c>
      <c r="DC186" s="10">
        <f t="shared" si="1170"/>
        <v>-273362.85777674988</v>
      </c>
      <c r="DD186" s="10">
        <f t="shared" si="1170"/>
        <v>403919.39314659551</v>
      </c>
      <c r="DE186" s="10">
        <f t="shared" si="1170"/>
        <v>-480804.62701151968</v>
      </c>
      <c r="DF186" s="10">
        <f t="shared" si="1170"/>
        <v>919586.47911368241</v>
      </c>
      <c r="DG186" s="10">
        <f t="shared" si="1170"/>
        <v>-80362.030675533446</v>
      </c>
    </row>
    <row r="187" spans="1:111" x14ac:dyDescent="0.25">
      <c r="AS187" s="154"/>
      <c r="AY187" s="154"/>
      <c r="BK187" s="154"/>
      <c r="BW187" s="154"/>
      <c r="CI187" s="154"/>
      <c r="CU187" s="154"/>
    </row>
    <row r="188" spans="1:111" x14ac:dyDescent="0.25">
      <c r="AS188" s="154"/>
      <c r="AY188" s="154"/>
      <c r="BK188" s="154"/>
      <c r="BW188" s="154"/>
      <c r="CI188" s="154"/>
      <c r="CU188" s="154"/>
    </row>
    <row r="189" spans="1:111" x14ac:dyDescent="0.25">
      <c r="B189" s="1" t="s">
        <v>34</v>
      </c>
      <c r="E189" s="91">
        <f t="shared" ref="E189:AJ189" si="1171">(E165-D165)+(E172-D172)</f>
        <v>12</v>
      </c>
      <c r="F189" s="91">
        <f t="shared" si="1171"/>
        <v>11.829999999999998</v>
      </c>
      <c r="G189" s="91">
        <f t="shared" si="1171"/>
        <v>111.99999999999999</v>
      </c>
      <c r="H189" s="91">
        <f t="shared" si="1171"/>
        <v>132.00000000000006</v>
      </c>
      <c r="I189" s="91">
        <f t="shared" si="1171"/>
        <v>817.36</v>
      </c>
      <c r="J189" s="91">
        <f t="shared" si="1171"/>
        <v>1512</v>
      </c>
      <c r="K189" s="91">
        <f t="shared" si="1171"/>
        <v>12</v>
      </c>
      <c r="L189" s="91">
        <f t="shared" si="1171"/>
        <v>762</v>
      </c>
      <c r="M189" s="91">
        <f t="shared" si="1171"/>
        <v>312</v>
      </c>
      <c r="N189" s="91">
        <f t="shared" si="1171"/>
        <v>12</v>
      </c>
      <c r="O189" s="91">
        <f t="shared" si="1171"/>
        <v>3100.0000000000005</v>
      </c>
      <c r="P189" s="254">
        <f t="shared" si="1171"/>
        <v>3104.2699999999986</v>
      </c>
      <c r="Q189" s="91">
        <f t="shared" si="1171"/>
        <v>0</v>
      </c>
      <c r="R189" s="91">
        <f t="shared" si="1171"/>
        <v>0</v>
      </c>
      <c r="S189" s="91">
        <f t="shared" si="1171"/>
        <v>500</v>
      </c>
      <c r="T189" s="91">
        <f t="shared" si="1171"/>
        <v>0</v>
      </c>
      <c r="U189" s="91">
        <f t="shared" si="1171"/>
        <v>0</v>
      </c>
      <c r="V189" s="91">
        <f t="shared" si="1171"/>
        <v>1193.6900000000005</v>
      </c>
      <c r="W189" s="91">
        <f t="shared" si="1171"/>
        <v>0</v>
      </c>
      <c r="X189" s="91">
        <f t="shared" si="1171"/>
        <v>180.19000000000051</v>
      </c>
      <c r="Y189" s="91">
        <f t="shared" si="1171"/>
        <v>0</v>
      </c>
      <c r="Z189" s="91">
        <f t="shared" si="1171"/>
        <v>-10000</v>
      </c>
      <c r="AA189" s="91">
        <f t="shared" si="1171"/>
        <v>-10000</v>
      </c>
      <c r="AB189" s="91">
        <f t="shared" si="1171"/>
        <v>0</v>
      </c>
      <c r="AC189" s="91">
        <f t="shared" si="1171"/>
        <v>-20000</v>
      </c>
      <c r="AD189" s="91">
        <f t="shared" si="1171"/>
        <v>0</v>
      </c>
      <c r="AE189" s="91">
        <f t="shared" si="1171"/>
        <v>-50000</v>
      </c>
      <c r="AF189" s="91">
        <f t="shared" si="1171"/>
        <v>0</v>
      </c>
      <c r="AG189" s="91">
        <f t="shared" si="1171"/>
        <v>0</v>
      </c>
      <c r="AH189" s="91">
        <f t="shared" si="1171"/>
        <v>0</v>
      </c>
      <c r="AI189" s="91">
        <f t="shared" si="1171"/>
        <v>0</v>
      </c>
      <c r="AJ189" s="91">
        <f t="shared" si="1171"/>
        <v>0</v>
      </c>
      <c r="AK189" s="91">
        <f t="shared" ref="AK189:BP189" si="1172">(AK165-AJ165)+(AK172-AJ172)</f>
        <v>0</v>
      </c>
      <c r="AL189" s="91">
        <f t="shared" si="1172"/>
        <v>0</v>
      </c>
      <c r="AM189" s="91">
        <f t="shared" si="1172"/>
        <v>-10000</v>
      </c>
      <c r="AN189" s="91">
        <f t="shared" si="1172"/>
        <v>0</v>
      </c>
      <c r="AO189" s="91">
        <f t="shared" si="1172"/>
        <v>0</v>
      </c>
      <c r="AP189" s="91">
        <f t="shared" si="1172"/>
        <v>0</v>
      </c>
      <c r="AQ189" s="91">
        <f t="shared" si="1172"/>
        <v>0</v>
      </c>
      <c r="AR189" s="91">
        <f t="shared" si="1172"/>
        <v>0</v>
      </c>
      <c r="AS189" s="155">
        <f t="shared" si="1172"/>
        <v>0</v>
      </c>
      <c r="AT189" s="91">
        <f t="shared" si="1172"/>
        <v>0</v>
      </c>
      <c r="AU189" s="91">
        <f t="shared" si="1172"/>
        <v>0</v>
      </c>
      <c r="AV189" s="91">
        <f t="shared" si="1172"/>
        <v>0</v>
      </c>
      <c r="AW189" s="91">
        <f t="shared" si="1172"/>
        <v>0</v>
      </c>
      <c r="AX189" s="91">
        <f t="shared" si="1172"/>
        <v>0</v>
      </c>
      <c r="AY189" s="155">
        <f t="shared" si="1172"/>
        <v>11262.330682964399</v>
      </c>
      <c r="AZ189" s="91">
        <f t="shared" si="1172"/>
        <v>0</v>
      </c>
      <c r="BA189" s="91">
        <f t="shared" si="1172"/>
        <v>0</v>
      </c>
      <c r="BB189" s="91">
        <f t="shared" si="1172"/>
        <v>0</v>
      </c>
      <c r="BC189" s="91">
        <f t="shared" si="1172"/>
        <v>0</v>
      </c>
      <c r="BD189" s="91">
        <f t="shared" si="1172"/>
        <v>0</v>
      </c>
      <c r="BE189" s="91">
        <f t="shared" si="1172"/>
        <v>0</v>
      </c>
      <c r="BF189" s="91">
        <f t="shared" si="1172"/>
        <v>0</v>
      </c>
      <c r="BG189" s="91">
        <f t="shared" si="1172"/>
        <v>0</v>
      </c>
      <c r="BH189" s="91">
        <f t="shared" si="1172"/>
        <v>0</v>
      </c>
      <c r="BI189" s="91">
        <f t="shared" si="1172"/>
        <v>0</v>
      </c>
      <c r="BJ189" s="91">
        <f t="shared" si="1172"/>
        <v>0</v>
      </c>
      <c r="BK189" s="155">
        <f t="shared" si="1172"/>
        <v>-65154.061707256988</v>
      </c>
      <c r="BL189" s="91">
        <f t="shared" si="1172"/>
        <v>0</v>
      </c>
      <c r="BM189" s="91">
        <f t="shared" si="1172"/>
        <v>0</v>
      </c>
      <c r="BN189" s="91">
        <f t="shared" si="1172"/>
        <v>0</v>
      </c>
      <c r="BO189" s="91">
        <f t="shared" si="1172"/>
        <v>0</v>
      </c>
      <c r="BP189" s="91">
        <f t="shared" si="1172"/>
        <v>0</v>
      </c>
      <c r="BQ189" s="91">
        <f t="shared" ref="BQ189:CV189" si="1173">(BQ165-BP165)+(BQ172-BP172)</f>
        <v>0</v>
      </c>
      <c r="BR189" s="91">
        <f t="shared" si="1173"/>
        <v>0</v>
      </c>
      <c r="BS189" s="91">
        <f t="shared" si="1173"/>
        <v>0</v>
      </c>
      <c r="BT189" s="91">
        <f t="shared" si="1173"/>
        <v>0</v>
      </c>
      <c r="BU189" s="91">
        <f t="shared" si="1173"/>
        <v>0</v>
      </c>
      <c r="BV189" s="91">
        <f t="shared" si="1173"/>
        <v>0</v>
      </c>
      <c r="BW189" s="155">
        <f t="shared" si="1173"/>
        <v>-222560.42687799811</v>
      </c>
      <c r="BX189" s="91">
        <f t="shared" si="1173"/>
        <v>0</v>
      </c>
      <c r="BY189" s="91">
        <f t="shared" si="1173"/>
        <v>0</v>
      </c>
      <c r="BZ189" s="91">
        <f t="shared" si="1173"/>
        <v>0</v>
      </c>
      <c r="CA189" s="91">
        <f t="shared" si="1173"/>
        <v>0</v>
      </c>
      <c r="CB189" s="91">
        <f t="shared" si="1173"/>
        <v>0</v>
      </c>
      <c r="CC189" s="91">
        <f t="shared" si="1173"/>
        <v>0</v>
      </c>
      <c r="CD189" s="91">
        <f t="shared" si="1173"/>
        <v>0</v>
      </c>
      <c r="CE189" s="91">
        <f t="shared" si="1173"/>
        <v>0</v>
      </c>
      <c r="CF189" s="91">
        <f t="shared" si="1173"/>
        <v>0</v>
      </c>
      <c r="CG189" s="91">
        <f t="shared" si="1173"/>
        <v>0</v>
      </c>
      <c r="CH189" s="91">
        <f t="shared" si="1173"/>
        <v>0</v>
      </c>
      <c r="CI189" s="155">
        <f t="shared" si="1173"/>
        <v>-342791.14546766609</v>
      </c>
      <c r="CJ189" s="91">
        <f t="shared" si="1173"/>
        <v>0</v>
      </c>
      <c r="CK189" s="91">
        <f t="shared" si="1173"/>
        <v>0</v>
      </c>
      <c r="CL189" s="91">
        <f t="shared" si="1173"/>
        <v>0</v>
      </c>
      <c r="CM189" s="91">
        <f t="shared" si="1173"/>
        <v>0</v>
      </c>
      <c r="CN189" s="91">
        <f t="shared" si="1173"/>
        <v>0</v>
      </c>
      <c r="CO189" s="91">
        <f t="shared" si="1173"/>
        <v>0</v>
      </c>
      <c r="CP189" s="91">
        <f t="shared" si="1173"/>
        <v>0</v>
      </c>
      <c r="CQ189" s="91">
        <f t="shared" si="1173"/>
        <v>0</v>
      </c>
      <c r="CR189" s="91">
        <f t="shared" si="1173"/>
        <v>0</v>
      </c>
      <c r="CS189" s="91">
        <f t="shared" si="1173"/>
        <v>0</v>
      </c>
      <c r="CT189" s="91">
        <f t="shared" si="1173"/>
        <v>0</v>
      </c>
      <c r="CU189" s="155">
        <f t="shared" si="1173"/>
        <v>-383750.16716400697</v>
      </c>
      <c r="CV189" s="91">
        <f t="shared" si="1173"/>
        <v>0</v>
      </c>
      <c r="CW189" s="91">
        <f t="shared" ref="CW189:DG189" si="1174">(CW165-CV165)+(CW172-CV172)</f>
        <v>0</v>
      </c>
      <c r="CX189" s="91">
        <f t="shared" si="1174"/>
        <v>0</v>
      </c>
      <c r="CY189" s="91">
        <f t="shared" si="1174"/>
        <v>0</v>
      </c>
      <c r="CZ189" s="91">
        <f t="shared" si="1174"/>
        <v>0</v>
      </c>
      <c r="DA189" s="91">
        <f t="shared" si="1174"/>
        <v>0</v>
      </c>
      <c r="DB189" s="91">
        <f t="shared" si="1174"/>
        <v>0</v>
      </c>
      <c r="DC189" s="91">
        <f t="shared" si="1174"/>
        <v>0</v>
      </c>
      <c r="DD189" s="91">
        <f t="shared" si="1174"/>
        <v>0</v>
      </c>
      <c r="DE189" s="91">
        <f t="shared" si="1174"/>
        <v>0</v>
      </c>
      <c r="DF189" s="91">
        <f t="shared" si="1174"/>
        <v>0</v>
      </c>
      <c r="DG189" s="91">
        <f t="shared" si="1174"/>
        <v>-531186.16931047477</v>
      </c>
    </row>
    <row r="190" spans="1:111" x14ac:dyDescent="0.25">
      <c r="A190" s="3"/>
      <c r="B190" s="4" t="s">
        <v>35</v>
      </c>
      <c r="C190" s="3"/>
      <c r="D190" s="10"/>
      <c r="E190" s="10">
        <f>E189</f>
        <v>12</v>
      </c>
      <c r="F190" s="10">
        <f t="shared" ref="F190:P190" si="1175">F189</f>
        <v>11.829999999999998</v>
      </c>
      <c r="G190" s="10">
        <f t="shared" si="1175"/>
        <v>111.99999999999999</v>
      </c>
      <c r="H190" s="10">
        <f t="shared" si="1175"/>
        <v>132.00000000000006</v>
      </c>
      <c r="I190" s="10">
        <f t="shared" si="1175"/>
        <v>817.36</v>
      </c>
      <c r="J190" s="10">
        <f t="shared" si="1175"/>
        <v>1512</v>
      </c>
      <c r="K190" s="10">
        <f t="shared" si="1175"/>
        <v>12</v>
      </c>
      <c r="L190" s="10">
        <f t="shared" si="1175"/>
        <v>762</v>
      </c>
      <c r="M190" s="10">
        <f t="shared" si="1175"/>
        <v>312</v>
      </c>
      <c r="N190" s="10">
        <f t="shared" si="1175"/>
        <v>12</v>
      </c>
      <c r="O190" s="10">
        <f t="shared" si="1175"/>
        <v>3100.0000000000005</v>
      </c>
      <c r="P190" s="10">
        <f t="shared" si="1175"/>
        <v>3104.2699999999986</v>
      </c>
      <c r="Q190" s="10">
        <f t="shared" ref="Q190:BQ190" si="1176">Q189</f>
        <v>0</v>
      </c>
      <c r="R190" s="10">
        <f t="shared" si="1176"/>
        <v>0</v>
      </c>
      <c r="S190" s="10">
        <f t="shared" si="1176"/>
        <v>500</v>
      </c>
      <c r="T190" s="10">
        <f t="shared" si="1176"/>
        <v>0</v>
      </c>
      <c r="U190" s="10">
        <f t="shared" si="1176"/>
        <v>0</v>
      </c>
      <c r="V190" s="10">
        <f t="shared" si="1176"/>
        <v>1193.6900000000005</v>
      </c>
      <c r="W190" s="10">
        <f t="shared" si="1176"/>
        <v>0</v>
      </c>
      <c r="X190" s="10">
        <f t="shared" si="1176"/>
        <v>180.19000000000051</v>
      </c>
      <c r="Y190" s="10">
        <f t="shared" si="1176"/>
        <v>0</v>
      </c>
      <c r="Z190" s="10">
        <f t="shared" si="1176"/>
        <v>-10000</v>
      </c>
      <c r="AA190" s="10">
        <f t="shared" ref="AA190:AB190" si="1177">AA189</f>
        <v>-10000</v>
      </c>
      <c r="AB190" s="10">
        <f t="shared" si="1177"/>
        <v>0</v>
      </c>
      <c r="AC190" s="10">
        <f t="shared" ref="AC190" si="1178">AC189</f>
        <v>-20000</v>
      </c>
      <c r="AD190" s="10">
        <f t="shared" si="1176"/>
        <v>0</v>
      </c>
      <c r="AE190" s="10">
        <f t="shared" si="1176"/>
        <v>-50000</v>
      </c>
      <c r="AF190" s="10">
        <f t="shared" ref="AF190" si="1179">AF189</f>
        <v>0</v>
      </c>
      <c r="AG190" s="10">
        <f t="shared" ref="AG190:AH190" si="1180">AG189</f>
        <v>0</v>
      </c>
      <c r="AH190" s="10">
        <f t="shared" si="1180"/>
        <v>0</v>
      </c>
      <c r="AI190" s="10">
        <f t="shared" ref="AI190" si="1181">AI189</f>
        <v>0</v>
      </c>
      <c r="AJ190" s="10">
        <f t="shared" ref="AJ190" si="1182">AJ189</f>
        <v>0</v>
      </c>
      <c r="AK190" s="10">
        <f t="shared" si="1176"/>
        <v>0</v>
      </c>
      <c r="AL190" s="10">
        <f t="shared" si="1176"/>
        <v>0</v>
      </c>
      <c r="AM190" s="10">
        <f t="shared" si="1176"/>
        <v>-10000</v>
      </c>
      <c r="AN190" s="10">
        <f t="shared" si="1176"/>
        <v>0</v>
      </c>
      <c r="AO190" s="10">
        <f t="shared" si="1176"/>
        <v>0</v>
      </c>
      <c r="AP190" s="10">
        <f t="shared" ref="AP190:AQ190" si="1183">AP189</f>
        <v>0</v>
      </c>
      <c r="AQ190" s="10">
        <f t="shared" si="1183"/>
        <v>0</v>
      </c>
      <c r="AR190" s="10">
        <f t="shared" ref="AR190" si="1184">AR189</f>
        <v>0</v>
      </c>
      <c r="AS190" s="163">
        <f t="shared" si="1176"/>
        <v>0</v>
      </c>
      <c r="AT190" s="10">
        <f t="shared" si="1176"/>
        <v>0</v>
      </c>
      <c r="AU190" s="10">
        <f t="shared" si="1176"/>
        <v>0</v>
      </c>
      <c r="AV190" s="10">
        <f t="shared" si="1176"/>
        <v>0</v>
      </c>
      <c r="AW190" s="10">
        <f t="shared" si="1176"/>
        <v>0</v>
      </c>
      <c r="AX190" s="10">
        <f t="shared" si="1176"/>
        <v>0</v>
      </c>
      <c r="AY190" s="163">
        <f t="shared" si="1176"/>
        <v>11262.330682964399</v>
      </c>
      <c r="AZ190" s="10">
        <f t="shared" si="1176"/>
        <v>0</v>
      </c>
      <c r="BA190" s="10">
        <f t="shared" si="1176"/>
        <v>0</v>
      </c>
      <c r="BB190" s="10">
        <f t="shared" si="1176"/>
        <v>0</v>
      </c>
      <c r="BC190" s="10">
        <f t="shared" si="1176"/>
        <v>0</v>
      </c>
      <c r="BD190" s="10">
        <f t="shared" si="1176"/>
        <v>0</v>
      </c>
      <c r="BE190" s="10">
        <f t="shared" si="1176"/>
        <v>0</v>
      </c>
      <c r="BF190" s="10">
        <f t="shared" si="1176"/>
        <v>0</v>
      </c>
      <c r="BG190" s="10">
        <f t="shared" si="1176"/>
        <v>0</v>
      </c>
      <c r="BH190" s="10">
        <f t="shared" si="1176"/>
        <v>0</v>
      </c>
      <c r="BI190" s="10">
        <f t="shared" si="1176"/>
        <v>0</v>
      </c>
      <c r="BJ190" s="10">
        <f t="shared" si="1176"/>
        <v>0</v>
      </c>
      <c r="BK190" s="163">
        <f t="shared" si="1176"/>
        <v>-65154.061707256988</v>
      </c>
      <c r="BL190" s="10">
        <f t="shared" si="1176"/>
        <v>0</v>
      </c>
      <c r="BM190" s="10">
        <f t="shared" si="1176"/>
        <v>0</v>
      </c>
      <c r="BN190" s="10">
        <f t="shared" si="1176"/>
        <v>0</v>
      </c>
      <c r="BO190" s="10">
        <f t="shared" si="1176"/>
        <v>0</v>
      </c>
      <c r="BP190" s="10">
        <f t="shared" si="1176"/>
        <v>0</v>
      </c>
      <c r="BQ190" s="10">
        <f t="shared" si="1176"/>
        <v>0</v>
      </c>
      <c r="BR190" s="10">
        <f t="shared" ref="BR190:DG190" si="1185">BR189</f>
        <v>0</v>
      </c>
      <c r="BS190" s="10">
        <f t="shared" si="1185"/>
        <v>0</v>
      </c>
      <c r="BT190" s="10">
        <f t="shared" si="1185"/>
        <v>0</v>
      </c>
      <c r="BU190" s="10">
        <f t="shared" si="1185"/>
        <v>0</v>
      </c>
      <c r="BV190" s="10">
        <f t="shared" si="1185"/>
        <v>0</v>
      </c>
      <c r="BW190" s="163">
        <f t="shared" si="1185"/>
        <v>-222560.42687799811</v>
      </c>
      <c r="BX190" s="10">
        <f t="shared" si="1185"/>
        <v>0</v>
      </c>
      <c r="BY190" s="10">
        <f t="shared" si="1185"/>
        <v>0</v>
      </c>
      <c r="BZ190" s="10">
        <f t="shared" si="1185"/>
        <v>0</v>
      </c>
      <c r="CA190" s="10">
        <f t="shared" si="1185"/>
        <v>0</v>
      </c>
      <c r="CB190" s="10">
        <f t="shared" si="1185"/>
        <v>0</v>
      </c>
      <c r="CC190" s="10">
        <f t="shared" si="1185"/>
        <v>0</v>
      </c>
      <c r="CD190" s="10">
        <f t="shared" si="1185"/>
        <v>0</v>
      </c>
      <c r="CE190" s="10">
        <f t="shared" si="1185"/>
        <v>0</v>
      </c>
      <c r="CF190" s="10">
        <f t="shared" si="1185"/>
        <v>0</v>
      </c>
      <c r="CG190" s="10">
        <f t="shared" si="1185"/>
        <v>0</v>
      </c>
      <c r="CH190" s="10">
        <f t="shared" si="1185"/>
        <v>0</v>
      </c>
      <c r="CI190" s="163">
        <f t="shared" si="1185"/>
        <v>-342791.14546766609</v>
      </c>
      <c r="CJ190" s="10">
        <f t="shared" si="1185"/>
        <v>0</v>
      </c>
      <c r="CK190" s="10">
        <f t="shared" si="1185"/>
        <v>0</v>
      </c>
      <c r="CL190" s="10">
        <f t="shared" si="1185"/>
        <v>0</v>
      </c>
      <c r="CM190" s="10">
        <f t="shared" si="1185"/>
        <v>0</v>
      </c>
      <c r="CN190" s="10">
        <f t="shared" si="1185"/>
        <v>0</v>
      </c>
      <c r="CO190" s="10">
        <f t="shared" si="1185"/>
        <v>0</v>
      </c>
      <c r="CP190" s="10">
        <f t="shared" si="1185"/>
        <v>0</v>
      </c>
      <c r="CQ190" s="10">
        <f t="shared" si="1185"/>
        <v>0</v>
      </c>
      <c r="CR190" s="10">
        <f t="shared" si="1185"/>
        <v>0</v>
      </c>
      <c r="CS190" s="10">
        <f t="shared" si="1185"/>
        <v>0</v>
      </c>
      <c r="CT190" s="10">
        <f t="shared" si="1185"/>
        <v>0</v>
      </c>
      <c r="CU190" s="163">
        <f t="shared" si="1185"/>
        <v>-383750.16716400697</v>
      </c>
      <c r="CV190" s="10">
        <f t="shared" si="1185"/>
        <v>0</v>
      </c>
      <c r="CW190" s="10">
        <f t="shared" si="1185"/>
        <v>0</v>
      </c>
      <c r="CX190" s="10">
        <f t="shared" si="1185"/>
        <v>0</v>
      </c>
      <c r="CY190" s="10">
        <f t="shared" si="1185"/>
        <v>0</v>
      </c>
      <c r="CZ190" s="10">
        <f t="shared" si="1185"/>
        <v>0</v>
      </c>
      <c r="DA190" s="10">
        <f t="shared" si="1185"/>
        <v>0</v>
      </c>
      <c r="DB190" s="10">
        <f t="shared" si="1185"/>
        <v>0</v>
      </c>
      <c r="DC190" s="10">
        <f t="shared" si="1185"/>
        <v>0</v>
      </c>
      <c r="DD190" s="10">
        <f t="shared" si="1185"/>
        <v>0</v>
      </c>
      <c r="DE190" s="10">
        <f t="shared" si="1185"/>
        <v>0</v>
      </c>
      <c r="DF190" s="10">
        <f t="shared" si="1185"/>
        <v>0</v>
      </c>
      <c r="DG190" s="10">
        <f t="shared" si="1185"/>
        <v>-531186.16931047477</v>
      </c>
    </row>
    <row r="191" spans="1:111" x14ac:dyDescent="0.25">
      <c r="AS191" s="154"/>
      <c r="AY191" s="154"/>
      <c r="BK191" s="154"/>
      <c r="BW191" s="154"/>
      <c r="CI191" s="154"/>
      <c r="CU191" s="154"/>
    </row>
    <row r="192" spans="1:111" x14ac:dyDescent="0.25">
      <c r="B192" s="1" t="s">
        <v>36</v>
      </c>
      <c r="D192" s="9"/>
      <c r="E192" s="9">
        <f t="shared" ref="E192:P192" si="1186">E190+E186</f>
        <v>0</v>
      </c>
      <c r="F192" s="9">
        <f t="shared" si="1186"/>
        <v>0</v>
      </c>
      <c r="G192" s="9">
        <f t="shared" si="1186"/>
        <v>99.999999999999986</v>
      </c>
      <c r="H192" s="9">
        <f t="shared" si="1186"/>
        <v>0</v>
      </c>
      <c r="I192" s="9">
        <f t="shared" si="1186"/>
        <v>0</v>
      </c>
      <c r="J192" s="9">
        <f t="shared" si="1186"/>
        <v>1500</v>
      </c>
      <c r="K192" s="9">
        <f t="shared" si="1186"/>
        <v>-201</v>
      </c>
      <c r="L192" s="9">
        <f t="shared" si="1186"/>
        <v>-1118.5</v>
      </c>
      <c r="M192" s="9">
        <f t="shared" si="1186"/>
        <v>48.699999999999989</v>
      </c>
      <c r="N192" s="9">
        <f t="shared" si="1186"/>
        <v>-211</v>
      </c>
      <c r="O192" s="9">
        <f>O190+O186</f>
        <v>189.61000000000013</v>
      </c>
      <c r="P192" s="9">
        <f t="shared" si="1186"/>
        <v>1377.5999999999985</v>
      </c>
      <c r="Q192" s="9">
        <f t="shared" ref="Q192:BP192" si="1187">Q190+Q186</f>
        <v>-469.62</v>
      </c>
      <c r="R192" s="9">
        <f t="shared" si="1187"/>
        <v>-327.19000000000005</v>
      </c>
      <c r="S192" s="9">
        <f t="shared" si="1187"/>
        <v>-166.62999999999988</v>
      </c>
      <c r="T192" s="9">
        <f t="shared" si="1187"/>
        <v>74663.08</v>
      </c>
      <c r="U192" s="9">
        <f t="shared" si="1187"/>
        <v>-3616.4899999999984</v>
      </c>
      <c r="V192" s="9">
        <f t="shared" si="1187"/>
        <v>86.35999999999558</v>
      </c>
      <c r="W192" s="9">
        <f t="shared" si="1187"/>
        <v>-20537.889999999992</v>
      </c>
      <c r="X192" s="9">
        <f t="shared" si="1187"/>
        <v>-2558.23</v>
      </c>
      <c r="Y192" s="9">
        <f t="shared" si="1187"/>
        <v>69291.249999999985</v>
      </c>
      <c r="Z192" s="9">
        <f t="shared" si="1187"/>
        <v>25810.049999999974</v>
      </c>
      <c r="AA192" s="9">
        <f t="shared" ref="AA192:AB192" si="1188">AA190+AA186</f>
        <v>50789.130000000019</v>
      </c>
      <c r="AB192" s="9">
        <f t="shared" si="1188"/>
        <v>-99451.290000000008</v>
      </c>
      <c r="AC192" s="9">
        <f t="shared" ref="AC192" si="1189">AC190+AC186</f>
        <v>51523.990000000005</v>
      </c>
      <c r="AD192" s="9">
        <f t="shared" si="1187"/>
        <v>5833.6100000000024</v>
      </c>
      <c r="AE192" s="9">
        <f t="shared" si="1187"/>
        <v>-70137.240000000005</v>
      </c>
      <c r="AF192" s="9">
        <f t="shared" ref="AF192" si="1190">AF190+AF186</f>
        <v>-28689.659999999989</v>
      </c>
      <c r="AG192" s="9">
        <f t="shared" ref="AG192:AH192" si="1191">AG190+AG186</f>
        <v>-9189.0399999999936</v>
      </c>
      <c r="AH192" s="9">
        <f t="shared" si="1191"/>
        <v>-17239.63</v>
      </c>
      <c r="AI192" s="9">
        <f t="shared" ref="AI192" si="1192">AI190+AI186</f>
        <v>-6790.4299999999985</v>
      </c>
      <c r="AJ192" s="9">
        <f t="shared" ref="AJ192" si="1193">AJ190+AJ186</f>
        <v>12756.68</v>
      </c>
      <c r="AK192" s="9">
        <f t="shared" si="1187"/>
        <v>3309.3699999999972</v>
      </c>
      <c r="AL192" s="9">
        <f t="shared" si="1187"/>
        <v>-6439.8499999999967</v>
      </c>
      <c r="AM192" s="9">
        <f t="shared" si="1187"/>
        <v>9450.8499999999985</v>
      </c>
      <c r="AN192" s="9">
        <f t="shared" si="1187"/>
        <v>12817.340000000015</v>
      </c>
      <c r="AO192" s="9">
        <f t="shared" si="1187"/>
        <v>-20012.339999999997</v>
      </c>
      <c r="AP192" s="9">
        <f t="shared" ref="AP192:AQ192" si="1194">AP190+AP186</f>
        <v>2103.6199999999953</v>
      </c>
      <c r="AQ192" s="9">
        <f t="shared" si="1194"/>
        <v>-8312.1999999999989</v>
      </c>
      <c r="AR192" s="9">
        <f t="shared" ref="AR192" si="1195">AR190+AR186</f>
        <v>76669.740000000005</v>
      </c>
      <c r="AS192" s="164">
        <f t="shared" si="1187"/>
        <v>-10154.839999999989</v>
      </c>
      <c r="AT192" s="9">
        <f t="shared" si="1187"/>
        <v>-67405.069497019751</v>
      </c>
      <c r="AU192" s="9">
        <f t="shared" si="1187"/>
        <v>-5734.3540224030912</v>
      </c>
      <c r="AV192" s="9">
        <f t="shared" si="1187"/>
        <v>-10264.835534431037</v>
      </c>
      <c r="AW192" s="9">
        <f t="shared" si="1187"/>
        <v>-7836.5088593744367</v>
      </c>
      <c r="AX192" s="9">
        <f t="shared" si="1187"/>
        <v>244586.98333808692</v>
      </c>
      <c r="AY192" s="164">
        <f t="shared" si="1187"/>
        <v>-8176.1077101152368</v>
      </c>
      <c r="AZ192" s="9">
        <f>AZ190+AZ186</f>
        <v>-8857.2948266261083</v>
      </c>
      <c r="BA192" s="9">
        <f t="shared" si="1187"/>
        <v>-55635.921232352914</v>
      </c>
      <c r="BB192" s="9">
        <f t="shared" si="1187"/>
        <v>448837.88500518585</v>
      </c>
      <c r="BC192" s="9">
        <f t="shared" si="1187"/>
        <v>414852.26072519226</v>
      </c>
      <c r="BD192" s="9">
        <f t="shared" si="1187"/>
        <v>-77117.805060367536</v>
      </c>
      <c r="BE192" s="9">
        <f t="shared" si="1187"/>
        <v>-434416.61429513537</v>
      </c>
      <c r="BF192" s="9">
        <f t="shared" si="1187"/>
        <v>91548.27980477197</v>
      </c>
      <c r="BG192" s="9">
        <f t="shared" si="1187"/>
        <v>-113878.95304060429</v>
      </c>
      <c r="BH192" s="9">
        <f t="shared" si="1187"/>
        <v>89835.717240533326</v>
      </c>
      <c r="BI192" s="9">
        <f t="shared" si="1187"/>
        <v>-197026.27939376974</v>
      </c>
      <c r="BJ192" s="9">
        <f t="shared" si="1187"/>
        <v>398392.29405982886</v>
      </c>
      <c r="BK192" s="164">
        <f t="shared" si="1187"/>
        <v>-102538.85675607627</v>
      </c>
      <c r="BL192" s="9">
        <f t="shared" si="1187"/>
        <v>-19002.061299622423</v>
      </c>
      <c r="BM192" s="9">
        <f t="shared" si="1187"/>
        <v>-83197.055085784144</v>
      </c>
      <c r="BN192" s="9">
        <f t="shared" si="1187"/>
        <v>797282.32853637356</v>
      </c>
      <c r="BO192" s="9">
        <f t="shared" si="1187"/>
        <v>731378.03377581283</v>
      </c>
      <c r="BP192" s="9">
        <f t="shared" si="1187"/>
        <v>-53092.695685919665</v>
      </c>
      <c r="BQ192" s="9">
        <f t="shared" ref="BQ192:DG192" si="1196">BQ190+BQ186</f>
        <v>-623721.25686258753</v>
      </c>
      <c r="BR192" s="9">
        <f t="shared" si="1196"/>
        <v>233650.10468781149</v>
      </c>
      <c r="BS192" s="9">
        <f t="shared" si="1196"/>
        <v>-145251.01284620739</v>
      </c>
      <c r="BT192" s="9">
        <f t="shared" si="1196"/>
        <v>184205.24723960133</v>
      </c>
      <c r="BU192" s="9">
        <f t="shared" si="1196"/>
        <v>-254691.74924791555</v>
      </c>
      <c r="BV192" s="9">
        <f t="shared" si="1196"/>
        <v>555811.23389217211</v>
      </c>
      <c r="BW192" s="164">
        <f t="shared" si="1196"/>
        <v>-268800.84090942517</v>
      </c>
      <c r="BX192" s="9">
        <f t="shared" si="1196"/>
        <v>-23758.265213781651</v>
      </c>
      <c r="BY192" s="9">
        <f t="shared" si="1196"/>
        <v>-115500.20209652842</v>
      </c>
      <c r="BZ192" s="9">
        <f t="shared" si="1196"/>
        <v>1102220.0350212213</v>
      </c>
      <c r="CA192" s="9">
        <f t="shared" si="1196"/>
        <v>1006677.5232237841</v>
      </c>
      <c r="CB192" s="9">
        <f t="shared" si="1196"/>
        <v>-45016.99042094886</v>
      </c>
      <c r="CC192" s="9">
        <f t="shared" si="1196"/>
        <v>-804742.02166069113</v>
      </c>
      <c r="CD192" s="9">
        <f t="shared" si="1196"/>
        <v>353366.88537062448</v>
      </c>
      <c r="CE192" s="9">
        <f t="shared" si="1196"/>
        <v>-181295.24787161022</v>
      </c>
      <c r="CF192" s="9">
        <f t="shared" si="1196"/>
        <v>261835.57943360106</v>
      </c>
      <c r="CG192" s="9">
        <f t="shared" si="1196"/>
        <v>-316782.26558558457</v>
      </c>
      <c r="CH192" s="9">
        <f t="shared" si="1196"/>
        <v>637839.89380760142</v>
      </c>
      <c r="CI192" s="164">
        <f t="shared" si="1196"/>
        <v>-400253.09834015276</v>
      </c>
      <c r="CJ192" s="9">
        <f t="shared" si="1196"/>
        <v>-29838.524497085331</v>
      </c>
      <c r="CK192" s="9">
        <f t="shared" si="1196"/>
        <v>-132418.94488296728</v>
      </c>
      <c r="CL192" s="9">
        <f t="shared" si="1196"/>
        <v>1268300.8101157746</v>
      </c>
      <c r="CM192" s="9">
        <f t="shared" si="1196"/>
        <v>1159700.3462180016</v>
      </c>
      <c r="CN192" s="9">
        <f t="shared" si="1196"/>
        <v>-62720.824803419091</v>
      </c>
      <c r="CO192" s="9">
        <f t="shared" si="1196"/>
        <v>-946142.38626236434</v>
      </c>
      <c r="CP192" s="9">
        <f t="shared" si="1196"/>
        <v>400701.51044217357</v>
      </c>
      <c r="CQ192" s="9">
        <f t="shared" si="1196"/>
        <v>-212185.18206883309</v>
      </c>
      <c r="CR192" s="9">
        <f t="shared" si="1196"/>
        <v>298043.10471344821</v>
      </c>
      <c r="CS192" s="9">
        <f t="shared" si="1196"/>
        <v>-376473.27605658717</v>
      </c>
      <c r="CT192" s="9">
        <f t="shared" si="1196"/>
        <v>853366.56214151974</v>
      </c>
      <c r="CU192" s="164">
        <f t="shared" si="1196"/>
        <v>-454182.99815285351</v>
      </c>
      <c r="CV192" s="9">
        <f t="shared" si="1196"/>
        <v>-40793.940238087103</v>
      </c>
      <c r="CW192" s="9">
        <f t="shared" si="1196"/>
        <v>-175123.14282712253</v>
      </c>
      <c r="CX192" s="9">
        <f t="shared" si="1196"/>
        <v>1687571.7633668603</v>
      </c>
      <c r="CY192" s="9">
        <f t="shared" si="1196"/>
        <v>1539422.3186808992</v>
      </c>
      <c r="CZ192" s="9">
        <f t="shared" si="1196"/>
        <v>-69458.75774322747</v>
      </c>
      <c r="DA192" s="9">
        <f t="shared" si="1196"/>
        <v>-1223407.5695420853</v>
      </c>
      <c r="DB192" s="9">
        <f t="shared" si="1196"/>
        <v>546687.43082496896</v>
      </c>
      <c r="DC192" s="9">
        <f t="shared" si="1196"/>
        <v>-273362.85777674988</v>
      </c>
      <c r="DD192" s="9">
        <f t="shared" si="1196"/>
        <v>403919.39314659551</v>
      </c>
      <c r="DE192" s="9">
        <f t="shared" si="1196"/>
        <v>-480804.62701151968</v>
      </c>
      <c r="DF192" s="9">
        <f t="shared" si="1196"/>
        <v>919586.47911368241</v>
      </c>
      <c r="DG192" s="9">
        <f t="shared" si="1196"/>
        <v>-611548.19998600823</v>
      </c>
    </row>
    <row r="193" spans="1:111" x14ac:dyDescent="0.25">
      <c r="AS193" s="154"/>
      <c r="AY193" s="154"/>
      <c r="BK193" s="154"/>
      <c r="BW193" s="154"/>
      <c r="CI193" s="154"/>
      <c r="CU193" s="154"/>
    </row>
    <row r="194" spans="1:111" x14ac:dyDescent="0.25">
      <c r="B194" s="1" t="s">
        <v>37</v>
      </c>
      <c r="D194" s="9"/>
      <c r="E194" s="9">
        <f>D195</f>
        <v>0</v>
      </c>
      <c r="F194" s="9">
        <f t="shared" ref="F194:O194" si="1197">E195</f>
        <v>0</v>
      </c>
      <c r="G194" s="9">
        <f t="shared" si="1197"/>
        <v>0</v>
      </c>
      <c r="H194" s="9">
        <f t="shared" si="1197"/>
        <v>99.999999999999986</v>
      </c>
      <c r="I194" s="9">
        <f t="shared" si="1197"/>
        <v>99.999999999999986</v>
      </c>
      <c r="J194" s="9">
        <f t="shared" si="1197"/>
        <v>99.999999999999986</v>
      </c>
      <c r="K194" s="9">
        <f t="shared" si="1197"/>
        <v>1600</v>
      </c>
      <c r="L194" s="9">
        <f t="shared" si="1197"/>
        <v>1399</v>
      </c>
      <c r="M194" s="9">
        <f t="shared" si="1197"/>
        <v>280.5</v>
      </c>
      <c r="N194" s="9">
        <f t="shared" si="1197"/>
        <v>329.2</v>
      </c>
      <c r="O194" s="9">
        <f t="shared" si="1197"/>
        <v>118.19999999999999</v>
      </c>
      <c r="P194" s="9">
        <f>O195</f>
        <v>307.81000000000012</v>
      </c>
      <c r="Q194" s="9">
        <f t="shared" ref="Q194:BQ194" si="1198">P195</f>
        <v>1685.4099999999987</v>
      </c>
      <c r="R194" s="9">
        <f t="shared" si="1198"/>
        <v>1215.7899999999986</v>
      </c>
      <c r="S194" s="9">
        <f t="shared" si="1198"/>
        <v>888.59999999999854</v>
      </c>
      <c r="T194" s="9">
        <f t="shared" si="1198"/>
        <v>721.96999999999866</v>
      </c>
      <c r="U194" s="9">
        <f t="shared" si="1198"/>
        <v>75385.05</v>
      </c>
      <c r="V194" s="9">
        <f t="shared" si="1198"/>
        <v>71768.56</v>
      </c>
      <c r="W194" s="9">
        <f t="shared" si="1198"/>
        <v>71854.92</v>
      </c>
      <c r="X194" s="9">
        <f t="shared" si="1198"/>
        <v>51317.030000000006</v>
      </c>
      <c r="Y194" s="9">
        <f t="shared" si="1198"/>
        <v>48758.8</v>
      </c>
      <c r="Z194" s="9">
        <f t="shared" si="1198"/>
        <v>118050.04999999999</v>
      </c>
      <c r="AA194" s="9">
        <f t="shared" si="1198"/>
        <v>143860.09999999998</v>
      </c>
      <c r="AB194" s="9">
        <f t="shared" si="1198"/>
        <v>194649.22999999998</v>
      </c>
      <c r="AC194" s="9">
        <f t="shared" si="1198"/>
        <v>95197.939999999973</v>
      </c>
      <c r="AD194" s="9">
        <f t="shared" si="1198"/>
        <v>146721.93</v>
      </c>
      <c r="AE194" s="9">
        <f t="shared" si="1198"/>
        <v>152555.54</v>
      </c>
      <c r="AF194" s="9">
        <f t="shared" si="1198"/>
        <v>82418.3</v>
      </c>
      <c r="AG194" s="9">
        <f t="shared" si="1198"/>
        <v>53728.640000000014</v>
      </c>
      <c r="AH194" s="9">
        <f t="shared" si="1198"/>
        <v>44539.60000000002</v>
      </c>
      <c r="AI194" s="9">
        <f t="shared" si="1198"/>
        <v>27299.970000000019</v>
      </c>
      <c r="AJ194" s="9">
        <f t="shared" si="1198"/>
        <v>20509.540000000023</v>
      </c>
      <c r="AK194" s="9">
        <f t="shared" si="1198"/>
        <v>33266.220000000023</v>
      </c>
      <c r="AL194" s="9">
        <f t="shared" si="1198"/>
        <v>36575.590000000018</v>
      </c>
      <c r="AM194" s="9">
        <f t="shared" si="1198"/>
        <v>30135.74000000002</v>
      </c>
      <c r="AN194" s="9">
        <f t="shared" si="1198"/>
        <v>39586.590000000018</v>
      </c>
      <c r="AO194" s="9">
        <f t="shared" si="1198"/>
        <v>52403.930000000037</v>
      </c>
      <c r="AP194" s="9">
        <f t="shared" si="1198"/>
        <v>32391.59000000004</v>
      </c>
      <c r="AQ194" s="9">
        <f t="shared" si="1198"/>
        <v>34495.210000000036</v>
      </c>
      <c r="AR194" s="9">
        <f t="shared" si="1198"/>
        <v>26183.010000000038</v>
      </c>
      <c r="AS194" s="164">
        <f t="shared" si="1198"/>
        <v>102852.75000000004</v>
      </c>
      <c r="AT194" s="9">
        <f t="shared" si="1198"/>
        <v>92697.910000000062</v>
      </c>
      <c r="AU194" s="9">
        <f t="shared" si="1198"/>
        <v>25292.840502980311</v>
      </c>
      <c r="AV194" s="9">
        <f t="shared" si="1198"/>
        <v>19558.486480577219</v>
      </c>
      <c r="AW194" s="9">
        <f t="shared" si="1198"/>
        <v>9293.6509461461828</v>
      </c>
      <c r="AX194" s="9">
        <f t="shared" si="1198"/>
        <v>1457.1420867717461</v>
      </c>
      <c r="AY194" s="164">
        <f t="shared" si="1198"/>
        <v>246044.12542485868</v>
      </c>
      <c r="AZ194" s="9">
        <f t="shared" si="1198"/>
        <v>237868.01771474344</v>
      </c>
      <c r="BA194" s="9">
        <f t="shared" si="1198"/>
        <v>229010.72288811734</v>
      </c>
      <c r="BB194" s="9">
        <f t="shared" si="1198"/>
        <v>173374.80165576443</v>
      </c>
      <c r="BC194" s="9">
        <f t="shared" si="1198"/>
        <v>622212.6866609503</v>
      </c>
      <c r="BD194" s="9">
        <f t="shared" si="1198"/>
        <v>1037064.9473861426</v>
      </c>
      <c r="BE194" s="9">
        <f t="shared" si="1198"/>
        <v>959947.142325775</v>
      </c>
      <c r="BF194" s="9">
        <f t="shared" si="1198"/>
        <v>525530.52803063963</v>
      </c>
      <c r="BG194" s="9">
        <f t="shared" si="1198"/>
        <v>617078.80783541163</v>
      </c>
      <c r="BH194" s="9">
        <f t="shared" si="1198"/>
        <v>503199.85479480732</v>
      </c>
      <c r="BI194" s="9">
        <f t="shared" si="1198"/>
        <v>593035.57203534059</v>
      </c>
      <c r="BJ194" s="9">
        <f t="shared" si="1198"/>
        <v>396009.29264157085</v>
      </c>
      <c r="BK194" s="164">
        <f t="shared" si="1198"/>
        <v>794401.58670139965</v>
      </c>
      <c r="BL194" s="9">
        <f t="shared" si="1198"/>
        <v>691862.72994532343</v>
      </c>
      <c r="BM194" s="9">
        <f t="shared" si="1198"/>
        <v>672860.66864570102</v>
      </c>
      <c r="BN194" s="9">
        <f t="shared" si="1198"/>
        <v>589663.61355991685</v>
      </c>
      <c r="BO194" s="9">
        <f t="shared" si="1198"/>
        <v>1386945.9420962904</v>
      </c>
      <c r="BP194" s="9">
        <f t="shared" si="1198"/>
        <v>2118323.9758721031</v>
      </c>
      <c r="BQ194" s="9">
        <f t="shared" si="1198"/>
        <v>2065231.2801861835</v>
      </c>
      <c r="BR194" s="9">
        <f t="shared" ref="BR194:DG194" si="1199">BQ195</f>
        <v>1441510.023323596</v>
      </c>
      <c r="BS194" s="9">
        <f t="shared" si="1199"/>
        <v>1675160.1280114076</v>
      </c>
      <c r="BT194" s="9">
        <f t="shared" si="1199"/>
        <v>1529909.1151652001</v>
      </c>
      <c r="BU194" s="9">
        <f t="shared" si="1199"/>
        <v>1714114.3624048014</v>
      </c>
      <c r="BV194" s="9">
        <f t="shared" si="1199"/>
        <v>1459422.6131568858</v>
      </c>
      <c r="BW194" s="164">
        <f t="shared" si="1199"/>
        <v>2015233.8470490579</v>
      </c>
      <c r="BX194" s="9">
        <f t="shared" si="1199"/>
        <v>1746433.0061396328</v>
      </c>
      <c r="BY194" s="9">
        <f t="shared" si="1199"/>
        <v>1722674.740925851</v>
      </c>
      <c r="BZ194" s="9">
        <f t="shared" si="1199"/>
        <v>1607174.5388293227</v>
      </c>
      <c r="CA194" s="9">
        <f t="shared" si="1199"/>
        <v>2709394.5738505442</v>
      </c>
      <c r="CB194" s="9">
        <f t="shared" si="1199"/>
        <v>3716072.097074328</v>
      </c>
      <c r="CC194" s="9">
        <f t="shared" si="1199"/>
        <v>3671055.1066533793</v>
      </c>
      <c r="CD194" s="9">
        <f t="shared" si="1199"/>
        <v>2866313.0849926881</v>
      </c>
      <c r="CE194" s="9">
        <f t="shared" si="1199"/>
        <v>3219679.9703633124</v>
      </c>
      <c r="CF194" s="9">
        <f t="shared" si="1199"/>
        <v>3038384.7224917021</v>
      </c>
      <c r="CG194" s="9">
        <f t="shared" si="1199"/>
        <v>3300220.3019253029</v>
      </c>
      <c r="CH194" s="9">
        <f t="shared" si="1199"/>
        <v>2983438.0363397184</v>
      </c>
      <c r="CI194" s="164">
        <f t="shared" si="1199"/>
        <v>3621277.93014732</v>
      </c>
      <c r="CJ194" s="9">
        <f t="shared" si="1199"/>
        <v>3221024.8318071673</v>
      </c>
      <c r="CK194" s="9">
        <f t="shared" si="1199"/>
        <v>3191186.307310082</v>
      </c>
      <c r="CL194" s="9">
        <f t="shared" si="1199"/>
        <v>3058767.3624271145</v>
      </c>
      <c r="CM194" s="9">
        <f t="shared" si="1199"/>
        <v>4327068.1725428887</v>
      </c>
      <c r="CN194" s="9">
        <f t="shared" si="1199"/>
        <v>5486768.5187608898</v>
      </c>
      <c r="CO194" s="9">
        <f t="shared" si="1199"/>
        <v>5424047.6939574704</v>
      </c>
      <c r="CP194" s="9">
        <f t="shared" si="1199"/>
        <v>4477905.3076951057</v>
      </c>
      <c r="CQ194" s="9">
        <f t="shared" si="1199"/>
        <v>4878606.8181372788</v>
      </c>
      <c r="CR194" s="9">
        <f t="shared" si="1199"/>
        <v>4666421.6360684456</v>
      </c>
      <c r="CS194" s="9">
        <f t="shared" si="1199"/>
        <v>4964464.740781894</v>
      </c>
      <c r="CT194" s="9">
        <f t="shared" si="1199"/>
        <v>4587991.4647253072</v>
      </c>
      <c r="CU194" s="164">
        <f t="shared" si="1199"/>
        <v>5441358.0268668272</v>
      </c>
      <c r="CV194" s="9">
        <f t="shared" si="1199"/>
        <v>4987175.0287139732</v>
      </c>
      <c r="CW194" s="9">
        <f t="shared" si="1199"/>
        <v>4946381.0884758858</v>
      </c>
      <c r="CX194" s="9">
        <f t="shared" si="1199"/>
        <v>4771257.9456487633</v>
      </c>
      <c r="CY194" s="9">
        <f t="shared" si="1199"/>
        <v>6458829.7090156237</v>
      </c>
      <c r="CZ194" s="9">
        <f t="shared" si="1199"/>
        <v>7998252.0276965229</v>
      </c>
      <c r="DA194" s="9">
        <f t="shared" si="1199"/>
        <v>7928793.2699532956</v>
      </c>
      <c r="DB194" s="9">
        <f t="shared" si="1199"/>
        <v>6705385.7004112098</v>
      </c>
      <c r="DC194" s="9">
        <f t="shared" si="1199"/>
        <v>7252073.1312361788</v>
      </c>
      <c r="DD194" s="9">
        <f t="shared" si="1199"/>
        <v>6978710.2734594289</v>
      </c>
      <c r="DE194" s="9">
        <f t="shared" si="1199"/>
        <v>7382629.6666060248</v>
      </c>
      <c r="DF194" s="9">
        <f t="shared" si="1199"/>
        <v>6901825.039594505</v>
      </c>
      <c r="DG194" s="9">
        <f t="shared" si="1199"/>
        <v>7821411.5187081872</v>
      </c>
    </row>
    <row r="195" spans="1:111" x14ac:dyDescent="0.25">
      <c r="B195" s="1" t="s">
        <v>38</v>
      </c>
      <c r="D195" s="9"/>
      <c r="E195" s="9">
        <f>E194+E192</f>
        <v>0</v>
      </c>
      <c r="F195" s="9">
        <f t="shared" ref="F195:P195" si="1200">F194+F192</f>
        <v>0</v>
      </c>
      <c r="G195" s="9">
        <f t="shared" si="1200"/>
        <v>99.999999999999986</v>
      </c>
      <c r="H195" s="9">
        <f t="shared" si="1200"/>
        <v>99.999999999999986</v>
      </c>
      <c r="I195" s="9">
        <f t="shared" si="1200"/>
        <v>99.999999999999986</v>
      </c>
      <c r="J195" s="9">
        <f t="shared" si="1200"/>
        <v>1600</v>
      </c>
      <c r="K195" s="9">
        <f t="shared" si="1200"/>
        <v>1399</v>
      </c>
      <c r="L195" s="9">
        <f t="shared" si="1200"/>
        <v>280.5</v>
      </c>
      <c r="M195" s="9">
        <f t="shared" si="1200"/>
        <v>329.2</v>
      </c>
      <c r="N195" s="9">
        <f t="shared" si="1200"/>
        <v>118.19999999999999</v>
      </c>
      <c r="O195" s="9">
        <f>O194+O192</f>
        <v>307.81000000000012</v>
      </c>
      <c r="P195" s="9">
        <f t="shared" si="1200"/>
        <v>1685.4099999999987</v>
      </c>
      <c r="Q195" s="9">
        <f t="shared" ref="Q195:BQ195" si="1201">Q194+Q192</f>
        <v>1215.7899999999986</v>
      </c>
      <c r="R195" s="9">
        <f t="shared" si="1201"/>
        <v>888.59999999999854</v>
      </c>
      <c r="S195" s="9">
        <f t="shared" si="1201"/>
        <v>721.96999999999866</v>
      </c>
      <c r="T195" s="9">
        <f t="shared" si="1201"/>
        <v>75385.05</v>
      </c>
      <c r="U195" s="9">
        <f t="shared" si="1201"/>
        <v>71768.56</v>
      </c>
      <c r="V195" s="9">
        <f t="shared" si="1201"/>
        <v>71854.92</v>
      </c>
      <c r="W195" s="9">
        <f t="shared" si="1201"/>
        <v>51317.030000000006</v>
      </c>
      <c r="X195" s="9">
        <f t="shared" si="1201"/>
        <v>48758.8</v>
      </c>
      <c r="Y195" s="9">
        <f t="shared" si="1201"/>
        <v>118050.04999999999</v>
      </c>
      <c r="Z195" s="9">
        <f t="shared" si="1201"/>
        <v>143860.09999999998</v>
      </c>
      <c r="AA195" s="9">
        <f t="shared" ref="AA195:AB195" si="1202">AA194+AA192</f>
        <v>194649.22999999998</v>
      </c>
      <c r="AB195" s="9">
        <f t="shared" si="1202"/>
        <v>95197.939999999973</v>
      </c>
      <c r="AC195" s="9">
        <f t="shared" ref="AC195" si="1203">AC194+AC192</f>
        <v>146721.93</v>
      </c>
      <c r="AD195" s="9">
        <f t="shared" si="1201"/>
        <v>152555.54</v>
      </c>
      <c r="AE195" s="9">
        <f t="shared" si="1201"/>
        <v>82418.3</v>
      </c>
      <c r="AF195" s="9">
        <f t="shared" ref="AF195" si="1204">AF194+AF192</f>
        <v>53728.640000000014</v>
      </c>
      <c r="AG195" s="9">
        <f t="shared" ref="AG195:AH195" si="1205">AG194+AG192</f>
        <v>44539.60000000002</v>
      </c>
      <c r="AH195" s="9">
        <f t="shared" si="1205"/>
        <v>27299.970000000019</v>
      </c>
      <c r="AI195" s="9">
        <f t="shared" ref="AI195" si="1206">AI194+AI192</f>
        <v>20509.540000000023</v>
      </c>
      <c r="AJ195" s="9">
        <f t="shared" ref="AJ195" si="1207">AJ194+AJ192</f>
        <v>33266.220000000023</v>
      </c>
      <c r="AK195" s="9">
        <f t="shared" si="1201"/>
        <v>36575.590000000018</v>
      </c>
      <c r="AL195" s="9">
        <f t="shared" si="1201"/>
        <v>30135.74000000002</v>
      </c>
      <c r="AM195" s="9">
        <f t="shared" si="1201"/>
        <v>39586.590000000018</v>
      </c>
      <c r="AN195" s="9">
        <f t="shared" si="1201"/>
        <v>52403.930000000037</v>
      </c>
      <c r="AO195" s="9">
        <f t="shared" si="1201"/>
        <v>32391.59000000004</v>
      </c>
      <c r="AP195" s="9">
        <f t="shared" ref="AP195:AQ195" si="1208">AP194+AP192</f>
        <v>34495.210000000036</v>
      </c>
      <c r="AQ195" s="9">
        <f t="shared" si="1208"/>
        <v>26183.010000000038</v>
      </c>
      <c r="AR195" s="9">
        <f t="shared" ref="AR195" si="1209">AR194+AR192</f>
        <v>102852.75000000004</v>
      </c>
      <c r="AS195" s="164">
        <f t="shared" si="1201"/>
        <v>92697.910000000062</v>
      </c>
      <c r="AT195" s="9">
        <f t="shared" si="1201"/>
        <v>25292.840502980311</v>
      </c>
      <c r="AU195" s="9">
        <f t="shared" si="1201"/>
        <v>19558.486480577219</v>
      </c>
      <c r="AV195" s="9">
        <f t="shared" si="1201"/>
        <v>9293.6509461461828</v>
      </c>
      <c r="AW195" s="9">
        <f t="shared" si="1201"/>
        <v>1457.1420867717461</v>
      </c>
      <c r="AX195" s="9">
        <f t="shared" si="1201"/>
        <v>246044.12542485868</v>
      </c>
      <c r="AY195" s="164">
        <f t="shared" si="1201"/>
        <v>237868.01771474344</v>
      </c>
      <c r="AZ195" s="9">
        <f t="shared" si="1201"/>
        <v>229010.72288811734</v>
      </c>
      <c r="BA195" s="9">
        <f t="shared" si="1201"/>
        <v>173374.80165576443</v>
      </c>
      <c r="BB195" s="9">
        <f t="shared" si="1201"/>
        <v>622212.6866609503</v>
      </c>
      <c r="BC195" s="9">
        <f t="shared" si="1201"/>
        <v>1037064.9473861426</v>
      </c>
      <c r="BD195" s="9">
        <f t="shared" si="1201"/>
        <v>959947.142325775</v>
      </c>
      <c r="BE195" s="9">
        <f t="shared" si="1201"/>
        <v>525530.52803063963</v>
      </c>
      <c r="BF195" s="9">
        <f t="shared" si="1201"/>
        <v>617078.80783541163</v>
      </c>
      <c r="BG195" s="9">
        <f t="shared" si="1201"/>
        <v>503199.85479480732</v>
      </c>
      <c r="BH195" s="9">
        <f t="shared" si="1201"/>
        <v>593035.57203534059</v>
      </c>
      <c r="BI195" s="9">
        <f t="shared" si="1201"/>
        <v>396009.29264157085</v>
      </c>
      <c r="BJ195" s="9">
        <f t="shared" si="1201"/>
        <v>794401.58670139965</v>
      </c>
      <c r="BK195" s="164">
        <f t="shared" si="1201"/>
        <v>691862.72994532343</v>
      </c>
      <c r="BL195" s="9">
        <f t="shared" si="1201"/>
        <v>672860.66864570102</v>
      </c>
      <c r="BM195" s="9">
        <f t="shared" si="1201"/>
        <v>589663.61355991685</v>
      </c>
      <c r="BN195" s="9">
        <f t="shared" si="1201"/>
        <v>1386945.9420962904</v>
      </c>
      <c r="BO195" s="9">
        <f t="shared" si="1201"/>
        <v>2118323.9758721031</v>
      </c>
      <c r="BP195" s="9">
        <f t="shared" si="1201"/>
        <v>2065231.2801861835</v>
      </c>
      <c r="BQ195" s="9">
        <f t="shared" si="1201"/>
        <v>1441510.023323596</v>
      </c>
      <c r="BR195" s="9">
        <f t="shared" ref="BR195:DG195" si="1210">BR194+BR192</f>
        <v>1675160.1280114076</v>
      </c>
      <c r="BS195" s="9">
        <f t="shared" si="1210"/>
        <v>1529909.1151652001</v>
      </c>
      <c r="BT195" s="9">
        <f t="shared" si="1210"/>
        <v>1714114.3624048014</v>
      </c>
      <c r="BU195" s="9">
        <f t="shared" si="1210"/>
        <v>1459422.6131568858</v>
      </c>
      <c r="BV195" s="9">
        <f t="shared" si="1210"/>
        <v>2015233.8470490579</v>
      </c>
      <c r="BW195" s="164">
        <f t="shared" si="1210"/>
        <v>1746433.0061396328</v>
      </c>
      <c r="BX195" s="9">
        <f t="shared" si="1210"/>
        <v>1722674.740925851</v>
      </c>
      <c r="BY195" s="9">
        <f t="shared" si="1210"/>
        <v>1607174.5388293227</v>
      </c>
      <c r="BZ195" s="9">
        <f t="shared" si="1210"/>
        <v>2709394.5738505442</v>
      </c>
      <c r="CA195" s="9">
        <f t="shared" si="1210"/>
        <v>3716072.097074328</v>
      </c>
      <c r="CB195" s="9">
        <f t="shared" si="1210"/>
        <v>3671055.1066533793</v>
      </c>
      <c r="CC195" s="9">
        <f t="shared" si="1210"/>
        <v>2866313.0849926881</v>
      </c>
      <c r="CD195" s="9">
        <f t="shared" si="1210"/>
        <v>3219679.9703633124</v>
      </c>
      <c r="CE195" s="9">
        <f t="shared" si="1210"/>
        <v>3038384.7224917021</v>
      </c>
      <c r="CF195" s="9">
        <f t="shared" si="1210"/>
        <v>3300220.3019253029</v>
      </c>
      <c r="CG195" s="9">
        <f t="shared" si="1210"/>
        <v>2983438.0363397184</v>
      </c>
      <c r="CH195" s="9">
        <f t="shared" si="1210"/>
        <v>3621277.93014732</v>
      </c>
      <c r="CI195" s="164">
        <f t="shared" si="1210"/>
        <v>3221024.8318071673</v>
      </c>
      <c r="CJ195" s="9">
        <f t="shared" si="1210"/>
        <v>3191186.307310082</v>
      </c>
      <c r="CK195" s="9">
        <f t="shared" si="1210"/>
        <v>3058767.3624271145</v>
      </c>
      <c r="CL195" s="9">
        <f t="shared" si="1210"/>
        <v>4327068.1725428887</v>
      </c>
      <c r="CM195" s="9">
        <f t="shared" si="1210"/>
        <v>5486768.5187608898</v>
      </c>
      <c r="CN195" s="9">
        <f t="shared" si="1210"/>
        <v>5424047.6939574704</v>
      </c>
      <c r="CO195" s="9">
        <f t="shared" si="1210"/>
        <v>4477905.3076951057</v>
      </c>
      <c r="CP195" s="9">
        <f t="shared" si="1210"/>
        <v>4878606.8181372788</v>
      </c>
      <c r="CQ195" s="9">
        <f t="shared" si="1210"/>
        <v>4666421.6360684456</v>
      </c>
      <c r="CR195" s="9">
        <f t="shared" si="1210"/>
        <v>4964464.740781894</v>
      </c>
      <c r="CS195" s="9">
        <f t="shared" si="1210"/>
        <v>4587991.4647253072</v>
      </c>
      <c r="CT195" s="9">
        <f t="shared" si="1210"/>
        <v>5441358.0268668272</v>
      </c>
      <c r="CU195" s="164">
        <f t="shared" si="1210"/>
        <v>4987175.0287139732</v>
      </c>
      <c r="CV195" s="9">
        <f t="shared" si="1210"/>
        <v>4946381.0884758858</v>
      </c>
      <c r="CW195" s="9">
        <f t="shared" si="1210"/>
        <v>4771257.9456487633</v>
      </c>
      <c r="CX195" s="9">
        <f t="shared" si="1210"/>
        <v>6458829.7090156237</v>
      </c>
      <c r="CY195" s="9">
        <f t="shared" si="1210"/>
        <v>7998252.0276965229</v>
      </c>
      <c r="CZ195" s="9">
        <f t="shared" si="1210"/>
        <v>7928793.2699532956</v>
      </c>
      <c r="DA195" s="9">
        <f t="shared" si="1210"/>
        <v>6705385.7004112098</v>
      </c>
      <c r="DB195" s="9">
        <f t="shared" si="1210"/>
        <v>7252073.1312361788</v>
      </c>
      <c r="DC195" s="9">
        <f t="shared" si="1210"/>
        <v>6978710.2734594289</v>
      </c>
      <c r="DD195" s="9">
        <f t="shared" si="1210"/>
        <v>7382629.6666060248</v>
      </c>
      <c r="DE195" s="9">
        <f t="shared" si="1210"/>
        <v>6901825.039594505</v>
      </c>
      <c r="DF195" s="9">
        <f t="shared" si="1210"/>
        <v>7821411.5187081872</v>
      </c>
      <c r="DG195" s="9">
        <f t="shared" si="1210"/>
        <v>7209863.3187221792</v>
      </c>
    </row>
    <row r="196" spans="1:111" x14ac:dyDescent="0.25">
      <c r="C196" s="8" t="s">
        <v>39</v>
      </c>
      <c r="D196" s="9"/>
      <c r="E196" s="110">
        <f t="shared" ref="E196:AH196" si="1211">E195-E106</f>
        <v>0</v>
      </c>
      <c r="F196" s="110">
        <f t="shared" si="1211"/>
        <v>0</v>
      </c>
      <c r="G196" s="110">
        <f t="shared" si="1211"/>
        <v>0</v>
      </c>
      <c r="H196" s="110">
        <f t="shared" si="1211"/>
        <v>0</v>
      </c>
      <c r="I196" s="110">
        <f t="shared" si="1211"/>
        <v>0</v>
      </c>
      <c r="J196" s="110">
        <f t="shared" si="1211"/>
        <v>0</v>
      </c>
      <c r="K196" s="110">
        <f t="shared" si="1211"/>
        <v>0</v>
      </c>
      <c r="L196" s="110">
        <f t="shared" si="1211"/>
        <v>0</v>
      </c>
      <c r="M196" s="110">
        <f t="shared" si="1211"/>
        <v>0</v>
      </c>
      <c r="N196" s="110">
        <f t="shared" si="1211"/>
        <v>0</v>
      </c>
      <c r="O196" s="110">
        <f t="shared" si="1211"/>
        <v>0</v>
      </c>
      <c r="P196" s="110">
        <f t="shared" si="1211"/>
        <v>0</v>
      </c>
      <c r="Q196" s="9">
        <f t="shared" si="1211"/>
        <v>0</v>
      </c>
      <c r="R196" s="110">
        <f t="shared" si="1211"/>
        <v>-1.4779288903810084E-12</v>
      </c>
      <c r="S196" s="9">
        <f t="shared" si="1211"/>
        <v>-1.3642420526593924E-12</v>
      </c>
      <c r="T196" s="9">
        <f t="shared" si="1211"/>
        <v>0</v>
      </c>
      <c r="U196" s="9">
        <f t="shared" si="1211"/>
        <v>0</v>
      </c>
      <c r="V196" s="110">
        <f t="shared" si="1211"/>
        <v>0</v>
      </c>
      <c r="W196" s="110">
        <f t="shared" si="1211"/>
        <v>0</v>
      </c>
      <c r="X196" s="110">
        <f t="shared" si="1211"/>
        <v>0</v>
      </c>
      <c r="Y196" s="110">
        <f t="shared" si="1211"/>
        <v>0</v>
      </c>
      <c r="Z196" s="110">
        <f t="shared" si="1211"/>
        <v>0</v>
      </c>
      <c r="AA196" s="110">
        <f t="shared" si="1211"/>
        <v>0</v>
      </c>
      <c r="AB196" s="110">
        <f t="shared" si="1211"/>
        <v>0</v>
      </c>
      <c r="AC196" s="9">
        <f t="shared" si="1211"/>
        <v>0</v>
      </c>
      <c r="AD196" s="9">
        <f t="shared" si="1211"/>
        <v>0</v>
      </c>
      <c r="AE196" s="110">
        <f t="shared" si="1211"/>
        <v>0</v>
      </c>
      <c r="AF196" s="110">
        <f t="shared" si="1211"/>
        <v>0</v>
      </c>
      <c r="AG196" s="110">
        <f t="shared" si="1211"/>
        <v>0</v>
      </c>
      <c r="AH196" s="110">
        <f t="shared" si="1211"/>
        <v>0</v>
      </c>
      <c r="AI196" s="110">
        <f t="shared" ref="AI196" si="1212">AI195-AI106</f>
        <v>0</v>
      </c>
      <c r="AJ196" s="110">
        <f t="shared" ref="AJ196" si="1213">AJ195-AJ106</f>
        <v>0</v>
      </c>
      <c r="AK196" s="110">
        <f>AK195-AK106</f>
        <v>0</v>
      </c>
      <c r="AL196" s="110">
        <f>AL195-AL106</f>
        <v>0</v>
      </c>
      <c r="AM196" s="110">
        <f>AM195-AM106</f>
        <v>0</v>
      </c>
      <c r="AN196" s="110">
        <f>AN195-AN106</f>
        <v>0</v>
      </c>
      <c r="AO196" s="110">
        <f>AO195-AO106</f>
        <v>4.3655745685100555E-11</v>
      </c>
      <c r="AP196" s="110">
        <f t="shared" ref="AP196:AQ196" si="1214">AP195-AP106</f>
        <v>0</v>
      </c>
      <c r="AQ196" s="110">
        <f t="shared" si="1214"/>
        <v>4.0017766878008842E-11</v>
      </c>
      <c r="AR196" s="110">
        <f t="shared" ref="AR196:BP196" si="1215">AR195-AR106</f>
        <v>0</v>
      </c>
      <c r="AS196" s="285">
        <f t="shared" si="1215"/>
        <v>0</v>
      </c>
      <c r="AT196" s="9">
        <f t="shared" si="1215"/>
        <v>5.8207660913467407E-11</v>
      </c>
      <c r="AU196" s="9">
        <f t="shared" si="1215"/>
        <v>5.8207660913467407E-11</v>
      </c>
      <c r="AV196" s="9">
        <f t="shared" si="1215"/>
        <v>5.8207660913467407E-11</v>
      </c>
      <c r="AW196" s="9">
        <f t="shared" si="1215"/>
        <v>5.8207660913467407E-11</v>
      </c>
      <c r="AX196" s="9">
        <f t="shared" si="1215"/>
        <v>0</v>
      </c>
      <c r="AY196" s="285">
        <f t="shared" si="1215"/>
        <v>0</v>
      </c>
      <c r="AZ196" s="9">
        <f t="shared" si="1215"/>
        <v>0</v>
      </c>
      <c r="BA196" s="9">
        <f t="shared" si="1215"/>
        <v>0</v>
      </c>
      <c r="BB196" s="9">
        <f t="shared" si="1215"/>
        <v>0</v>
      </c>
      <c r="BC196" s="9">
        <f t="shared" si="1215"/>
        <v>0</v>
      </c>
      <c r="BD196" s="9">
        <f t="shared" si="1215"/>
        <v>0</v>
      </c>
      <c r="BE196" s="9">
        <f t="shared" si="1215"/>
        <v>0</v>
      </c>
      <c r="BF196" s="9">
        <f t="shared" si="1215"/>
        <v>0</v>
      </c>
      <c r="BG196" s="9">
        <f t="shared" si="1215"/>
        <v>0</v>
      </c>
      <c r="BH196" s="9">
        <f t="shared" si="1215"/>
        <v>0</v>
      </c>
      <c r="BI196" s="9">
        <f t="shared" si="1215"/>
        <v>0</v>
      </c>
      <c r="BJ196" s="9">
        <f t="shared" si="1215"/>
        <v>0</v>
      </c>
      <c r="BK196" s="285">
        <f t="shared" si="1215"/>
        <v>0</v>
      </c>
      <c r="BL196" s="9">
        <f t="shared" si="1215"/>
        <v>0</v>
      </c>
      <c r="BM196" s="9">
        <f t="shared" si="1215"/>
        <v>0</v>
      </c>
      <c r="BN196" s="9">
        <f t="shared" si="1215"/>
        <v>0</v>
      </c>
      <c r="BO196" s="9">
        <f t="shared" si="1215"/>
        <v>0</v>
      </c>
      <c r="BP196" s="9">
        <f t="shared" si="1215"/>
        <v>0</v>
      </c>
      <c r="BQ196" s="9">
        <f t="shared" ref="BQ196:CV196" si="1216">BQ195-BQ106</f>
        <v>0</v>
      </c>
      <c r="BR196" s="9">
        <f t="shared" si="1216"/>
        <v>0</v>
      </c>
      <c r="BS196" s="9">
        <f t="shared" si="1216"/>
        <v>0</v>
      </c>
      <c r="BT196" s="9">
        <f t="shared" si="1216"/>
        <v>0</v>
      </c>
      <c r="BU196" s="9">
        <f t="shared" si="1216"/>
        <v>0</v>
      </c>
      <c r="BV196" s="9">
        <f t="shared" si="1216"/>
        <v>0</v>
      </c>
      <c r="BW196" s="285">
        <f t="shared" si="1216"/>
        <v>0</v>
      </c>
      <c r="BX196" s="9">
        <f t="shared" si="1216"/>
        <v>0</v>
      </c>
      <c r="BY196" s="9">
        <f t="shared" si="1216"/>
        <v>0</v>
      </c>
      <c r="BZ196" s="9">
        <f t="shared" si="1216"/>
        <v>0</v>
      </c>
      <c r="CA196" s="9">
        <f t="shared" si="1216"/>
        <v>0</v>
      </c>
      <c r="CB196" s="9">
        <f t="shared" si="1216"/>
        <v>0</v>
      </c>
      <c r="CC196" s="9">
        <f t="shared" si="1216"/>
        <v>0</v>
      </c>
      <c r="CD196" s="9">
        <f t="shared" si="1216"/>
        <v>0</v>
      </c>
      <c r="CE196" s="9">
        <f t="shared" si="1216"/>
        <v>0</v>
      </c>
      <c r="CF196" s="9">
        <f t="shared" si="1216"/>
        <v>0</v>
      </c>
      <c r="CG196" s="9">
        <f t="shared" si="1216"/>
        <v>0</v>
      </c>
      <c r="CH196" s="9">
        <f t="shared" si="1216"/>
        <v>0</v>
      </c>
      <c r="CI196" s="285">
        <f t="shared" si="1216"/>
        <v>0</v>
      </c>
      <c r="CJ196" s="9">
        <f t="shared" si="1216"/>
        <v>0</v>
      </c>
      <c r="CK196" s="9">
        <f t="shared" si="1216"/>
        <v>0</v>
      </c>
      <c r="CL196" s="9">
        <f t="shared" si="1216"/>
        <v>0</v>
      </c>
      <c r="CM196" s="9">
        <f t="shared" si="1216"/>
        <v>0</v>
      </c>
      <c r="CN196" s="9">
        <f t="shared" si="1216"/>
        <v>0</v>
      </c>
      <c r="CO196" s="9">
        <f t="shared" si="1216"/>
        <v>0</v>
      </c>
      <c r="CP196" s="9">
        <f t="shared" si="1216"/>
        <v>0</v>
      </c>
      <c r="CQ196" s="9">
        <f t="shared" si="1216"/>
        <v>0</v>
      </c>
      <c r="CR196" s="9">
        <f t="shared" si="1216"/>
        <v>0</v>
      </c>
      <c r="CS196" s="9">
        <f t="shared" si="1216"/>
        <v>0</v>
      </c>
      <c r="CT196" s="9">
        <f t="shared" si="1216"/>
        <v>0</v>
      </c>
      <c r="CU196" s="285">
        <f t="shared" si="1216"/>
        <v>0</v>
      </c>
      <c r="CV196" s="9">
        <f t="shared" si="1216"/>
        <v>0</v>
      </c>
      <c r="CW196" s="9">
        <f t="shared" ref="CW196:DG196" si="1217">CW195-CW106</f>
        <v>0</v>
      </c>
      <c r="CX196" s="9">
        <f t="shared" si="1217"/>
        <v>0</v>
      </c>
      <c r="CY196" s="9">
        <f t="shared" si="1217"/>
        <v>0</v>
      </c>
      <c r="CZ196" s="9">
        <f t="shared" si="1217"/>
        <v>0</v>
      </c>
      <c r="DA196" s="9">
        <f t="shared" si="1217"/>
        <v>0</v>
      </c>
      <c r="DB196" s="9">
        <f t="shared" si="1217"/>
        <v>0</v>
      </c>
      <c r="DC196" s="9">
        <f t="shared" si="1217"/>
        <v>0</v>
      </c>
      <c r="DD196" s="9">
        <f t="shared" si="1217"/>
        <v>0</v>
      </c>
      <c r="DE196" s="9">
        <f t="shared" si="1217"/>
        <v>0</v>
      </c>
      <c r="DF196" s="9">
        <f t="shared" si="1217"/>
        <v>0</v>
      </c>
      <c r="DG196" s="9">
        <f t="shared" si="1217"/>
        <v>0</v>
      </c>
    </row>
    <row r="197" spans="1:1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41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</row>
  </sheetData>
  <conditionalFormatting sqref="E195:DG195">
    <cfRule type="cellIs" dxfId="1" priority="2" operator="lessThan">
      <formula>0</formula>
    </cfRule>
  </conditionalFormatting>
  <conditionalFormatting sqref="AN107:DG107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89A-5ECC-4624-A80F-C1B325ADF9BD}">
  <sheetPr>
    <tabColor theme="0" tint="-0.499984740745262"/>
    <pageSetUpPr fitToPage="1"/>
  </sheetPr>
  <dimension ref="B13:AO65"/>
  <sheetViews>
    <sheetView topLeftCell="C37" zoomScale="85" zoomScaleNormal="85" workbookViewId="0">
      <selection activeCell="B2" sqref="B2:BB65"/>
    </sheetView>
  </sheetViews>
  <sheetFormatPr defaultRowHeight="15" outlineLevelCol="1" x14ac:dyDescent="0.25"/>
  <cols>
    <col min="2" max="2" width="37.7109375" style="648" bestFit="1" customWidth="1"/>
    <col min="3" max="3" width="20.7109375" style="648" customWidth="1"/>
    <col min="4" max="4" width="0.28515625" hidden="1" customWidth="1"/>
    <col min="5" max="5" width="10.28515625" hidden="1" customWidth="1" outlineLevel="1" collapsed="1"/>
    <col min="6" max="6" width="12.5703125" hidden="1" customWidth="1" outlineLevel="1" collapsed="1"/>
    <col min="7" max="7" width="12.5703125" hidden="1" customWidth="1" outlineLevel="1"/>
    <col min="8" max="8" width="12.5703125" hidden="1" customWidth="1" outlineLevel="1" collapsed="1"/>
    <col min="9" max="9" width="12.5703125" hidden="1" customWidth="1" outlineLevel="1"/>
    <col min="10" max="15" width="12.5703125" hidden="1" customWidth="1" outlineLevel="1" collapsed="1"/>
    <col min="16" max="16" width="12.5703125" customWidth="1" collapsed="1"/>
    <col min="17" max="17" width="13.85546875" hidden="1" customWidth="1" outlineLevel="1" collapsed="1"/>
    <col min="18" max="19" width="11.7109375" hidden="1" customWidth="1" outlineLevel="1" collapsed="1"/>
    <col min="20" max="20" width="12.28515625" hidden="1" customWidth="1" outlineLevel="1"/>
    <col min="21" max="21" width="12.85546875" hidden="1" customWidth="1" outlineLevel="1" collapsed="1"/>
    <col min="22" max="22" width="12.85546875" hidden="1" customWidth="1" outlineLevel="1"/>
    <col min="23" max="26" width="13.7109375" hidden="1" customWidth="1" outlineLevel="1" collapsed="1"/>
    <col min="27" max="27" width="13.7109375" customWidth="1" collapsed="1"/>
    <col min="28" max="28" width="12.85546875" hidden="1" customWidth="1" outlineLevel="1"/>
    <col min="29" max="31" width="12.85546875" hidden="1" customWidth="1" outlineLevel="1" collapsed="1"/>
    <col min="32" max="32" width="13.85546875" hidden="1" customWidth="1" outlineLevel="1" collapsed="1"/>
    <col min="33" max="33" width="12.85546875" customWidth="1" collapsed="1"/>
    <col min="34" max="39" width="12.85546875" hidden="1" customWidth="1" outlineLevel="1"/>
    <col min="40" max="40" width="21.5703125" bestFit="1" customWidth="1" collapsed="1"/>
    <col min="41" max="41" width="21.5703125" bestFit="1" customWidth="1"/>
  </cols>
  <sheetData>
    <row r="13" spans="2:41" ht="15.75" thickBot="1" x14ac:dyDescent="0.3"/>
    <row r="14" spans="2:41" ht="17.25" thickTop="1" thickBot="1" x14ac:dyDescent="0.3">
      <c r="B14" s="777">
        <v>45838</v>
      </c>
      <c r="C14" s="778"/>
      <c r="D14" s="778"/>
      <c r="E14" s="778"/>
      <c r="F14" s="778"/>
      <c r="G14" s="778"/>
      <c r="H14" s="778"/>
      <c r="I14" s="778"/>
      <c r="J14" s="778"/>
      <c r="K14" s="778"/>
      <c r="L14" s="778"/>
      <c r="M14" s="778"/>
      <c r="N14" s="778"/>
      <c r="O14" s="778"/>
      <c r="P14" s="778"/>
      <c r="Q14" s="778"/>
      <c r="R14" s="778"/>
      <c r="S14" s="778"/>
      <c r="T14" s="778"/>
      <c r="U14" s="778"/>
      <c r="V14" s="778"/>
      <c r="W14" s="778"/>
      <c r="X14" s="778"/>
      <c r="Y14" s="778"/>
      <c r="Z14" s="778"/>
      <c r="AA14" s="778"/>
      <c r="AB14" s="778"/>
      <c r="AC14" s="778"/>
      <c r="AD14" s="778"/>
      <c r="AE14" s="778"/>
      <c r="AF14" s="778"/>
      <c r="AG14" s="778"/>
      <c r="AH14" s="778"/>
      <c r="AI14" s="778"/>
      <c r="AJ14" s="778"/>
      <c r="AK14" s="778"/>
      <c r="AL14" s="778"/>
      <c r="AM14" s="778"/>
      <c r="AN14" s="778"/>
      <c r="AO14" s="779"/>
    </row>
    <row r="15" spans="2:41" ht="15.75" thickTop="1" x14ac:dyDescent="0.25">
      <c r="B15" s="649"/>
      <c r="C15" s="650"/>
      <c r="D15" s="651"/>
      <c r="E15" s="652" t="s">
        <v>207</v>
      </c>
      <c r="F15" s="653">
        <v>45473</v>
      </c>
      <c r="G15" s="653">
        <v>45504</v>
      </c>
      <c r="H15" s="653">
        <v>45535</v>
      </c>
      <c r="I15" s="653">
        <v>45565</v>
      </c>
      <c r="J15" s="653">
        <v>45596</v>
      </c>
      <c r="K15" s="653">
        <v>45626</v>
      </c>
      <c r="L15" s="653">
        <v>45716</v>
      </c>
      <c r="M15" s="653">
        <v>45747</v>
      </c>
      <c r="N15" s="653">
        <v>45777</v>
      </c>
      <c r="O15" s="653">
        <v>45808</v>
      </c>
      <c r="P15" s="652" t="s">
        <v>207</v>
      </c>
      <c r="Q15" s="653">
        <v>45473</v>
      </c>
      <c r="R15" s="653">
        <v>45504</v>
      </c>
      <c r="S15" s="653">
        <v>45535</v>
      </c>
      <c r="T15" s="653">
        <v>45565</v>
      </c>
      <c r="U15" s="653">
        <v>45596</v>
      </c>
      <c r="V15" s="653">
        <v>45626</v>
      </c>
      <c r="W15" s="653">
        <v>45716</v>
      </c>
      <c r="X15" s="653">
        <v>45747</v>
      </c>
      <c r="Y15" s="653">
        <v>45777</v>
      </c>
      <c r="Z15" s="653">
        <v>45808</v>
      </c>
      <c r="AA15" s="653" t="s">
        <v>205</v>
      </c>
      <c r="AB15" s="653">
        <v>45688</v>
      </c>
      <c r="AC15" s="653">
        <v>45716</v>
      </c>
      <c r="AD15" s="653">
        <v>45747</v>
      </c>
      <c r="AE15" s="653">
        <v>45777</v>
      </c>
      <c r="AF15" s="653">
        <v>45808</v>
      </c>
      <c r="AG15" s="653" t="s">
        <v>558</v>
      </c>
      <c r="AH15" s="653">
        <v>45869</v>
      </c>
      <c r="AI15" s="653">
        <v>45900</v>
      </c>
      <c r="AJ15" s="653">
        <v>45930</v>
      </c>
      <c r="AK15" s="653">
        <v>45961</v>
      </c>
      <c r="AL15" s="653">
        <v>45991</v>
      </c>
      <c r="AM15" s="653">
        <v>46022</v>
      </c>
      <c r="AN15" s="654" t="s">
        <v>520</v>
      </c>
      <c r="AO15" s="654" t="s">
        <v>557</v>
      </c>
    </row>
    <row r="16" spans="2:41" x14ac:dyDescent="0.25">
      <c r="B16" s="782" t="s">
        <v>3</v>
      </c>
      <c r="C16" s="783"/>
      <c r="E16" s="146"/>
      <c r="F16" s="655">
        <v>11356.388803691116</v>
      </c>
      <c r="G16" s="655">
        <v>12767.593177718407</v>
      </c>
      <c r="H16" s="655">
        <v>11839.445281446575</v>
      </c>
      <c r="I16" s="655">
        <v>12882.102930588289</v>
      </c>
      <c r="J16" s="655">
        <v>10297.132981062774</v>
      </c>
      <c r="K16" s="655">
        <v>10409.198876581397</v>
      </c>
      <c r="L16" s="656">
        <v>6600</v>
      </c>
      <c r="M16" s="656">
        <v>6600</v>
      </c>
      <c r="N16" s="656">
        <v>10841.333333333334</v>
      </c>
      <c r="O16" s="656">
        <v>4100.5</v>
      </c>
      <c r="P16" s="656">
        <v>12024.275853320429</v>
      </c>
      <c r="Q16" s="656">
        <v>12226.72</v>
      </c>
      <c r="R16" s="656">
        <v>12232.12</v>
      </c>
      <c r="S16" s="656">
        <v>12073.09</v>
      </c>
      <c r="T16" s="656">
        <v>9051.9699999999993</v>
      </c>
      <c r="U16" s="656">
        <v>11082.04</v>
      </c>
      <c r="V16" s="656">
        <v>10319.18</v>
      </c>
      <c r="W16" s="656">
        <v>20473.86</v>
      </c>
      <c r="X16" s="656">
        <v>0</v>
      </c>
      <c r="Y16" s="656">
        <v>11761.5</v>
      </c>
      <c r="Z16" s="656">
        <v>4100.5</v>
      </c>
      <c r="AA16" s="656">
        <f>+SUMIF('Monthly Detail'!$3:$3, $B$14,'Monthly Detail'!$11:$11)+SUMIF('Monthly Detail'!$3:$3, $B$14,'Monthly Detail'!$12:$12)</f>
        <v>90000</v>
      </c>
      <c r="AB16" s="656">
        <f>+'2025 AOP'!C14</f>
        <v>77453.3</v>
      </c>
      <c r="AC16" s="656">
        <f>+'2025 AOP'!D14</f>
        <v>15114</v>
      </c>
      <c r="AD16" s="656">
        <f>+'2025 AOP'!E14</f>
        <v>12024.275853320429</v>
      </c>
      <c r="AE16" s="656">
        <f>+'2025 AOP'!F14</f>
        <v>7375.808730051127</v>
      </c>
      <c r="AF16" s="656">
        <f>+'2025 AOP'!G14</f>
        <v>38751.700723854017</v>
      </c>
      <c r="AG16" s="656">
        <f>+'2025 AOP'!H14</f>
        <v>9502.2908812357091</v>
      </c>
      <c r="AH16" s="656">
        <f>+'2025 AOP'!I14</f>
        <v>146936.8606202681</v>
      </c>
      <c r="AI16" s="656">
        <f>+'2025 AOP'!J14</f>
        <v>243351.93787230042</v>
      </c>
      <c r="AJ16" s="656">
        <f>+'2025 AOP'!K14</f>
        <v>225442.4692810605</v>
      </c>
      <c r="AK16" s="656">
        <f>+'2025 AOP'!L14</f>
        <v>122730.43245430337</v>
      </c>
      <c r="AL16" s="656">
        <f>+'2025 AOP'!M14</f>
        <v>253945.91082818271</v>
      </c>
      <c r="AM16" s="656">
        <f>+'2025 AOP'!N14</f>
        <v>573484.12691081478</v>
      </c>
      <c r="AN16" s="657">
        <f>+AA16-P16</f>
        <v>77975.724146679568</v>
      </c>
      <c r="AO16" s="657">
        <f>+AA16-AG16</f>
        <v>80497.709118764295</v>
      </c>
    </row>
    <row r="17" spans="2:41" ht="15.75" thickBot="1" x14ac:dyDescent="0.3">
      <c r="B17" s="730"/>
      <c r="C17" s="714" t="s">
        <v>442</v>
      </c>
      <c r="D17" s="715"/>
      <c r="E17" s="716"/>
      <c r="F17" s="717">
        <v>282.60004982472412</v>
      </c>
      <c r="G17" s="717">
        <v>256.51065311043124</v>
      </c>
      <c r="H17" s="717">
        <v>216.3502595249046</v>
      </c>
      <c r="I17" s="717">
        <v>272.23655445239865</v>
      </c>
      <c r="J17" s="717">
        <v>189.78013292904356</v>
      </c>
      <c r="K17" s="717">
        <v>228.47884785850385</v>
      </c>
      <c r="L17" s="731">
        <v>0</v>
      </c>
      <c r="M17" s="731">
        <v>0</v>
      </c>
      <c r="N17" s="731">
        <v>0</v>
      </c>
      <c r="O17" s="731">
        <v>0</v>
      </c>
      <c r="P17" s="731">
        <v>1</v>
      </c>
      <c r="Q17" s="731">
        <v>231</v>
      </c>
      <c r="R17" s="731">
        <v>220</v>
      </c>
      <c r="S17" s="731">
        <v>270</v>
      </c>
      <c r="T17" s="731">
        <v>183</v>
      </c>
      <c r="U17" s="731">
        <v>213</v>
      </c>
      <c r="V17" s="731">
        <v>234</v>
      </c>
      <c r="W17" s="731">
        <v>0</v>
      </c>
      <c r="X17" s="731">
        <v>1</v>
      </c>
      <c r="Y17" s="731">
        <v>0</v>
      </c>
      <c r="Z17" s="731">
        <v>0</v>
      </c>
      <c r="AA17" s="731">
        <f>+SUMIF('Monthly Detail'!$3:$3, $B$14,'Monthly Detail'!13:13)</f>
        <v>0</v>
      </c>
      <c r="AB17" s="731">
        <f>+'2025 AOP'!C15</f>
        <v>0</v>
      </c>
      <c r="AC17" s="731">
        <f>+'2025 AOP'!D15</f>
        <v>0</v>
      </c>
      <c r="AD17" s="731">
        <f>+'2025 AOP'!E15</f>
        <v>1</v>
      </c>
      <c r="AE17" s="731">
        <f>+'2025 AOP'!F15</f>
        <v>0</v>
      </c>
      <c r="AF17" s="731">
        <f>+'2025 AOP'!G15</f>
        <v>0</v>
      </c>
      <c r="AG17" s="731">
        <f>+'2025 AOP'!H15</f>
        <v>1</v>
      </c>
      <c r="AH17" s="731">
        <f>+'2025 AOP'!I15</f>
        <v>0</v>
      </c>
      <c r="AI17" s="731">
        <f>+'2025 AOP'!J15</f>
        <v>0</v>
      </c>
      <c r="AJ17" s="731">
        <f>+'2025 AOP'!K15</f>
        <v>2</v>
      </c>
      <c r="AK17" s="731">
        <f>+'2025 AOP'!L15</f>
        <v>0</v>
      </c>
      <c r="AL17" s="731">
        <f>+'2025 AOP'!M15</f>
        <v>0</v>
      </c>
      <c r="AM17" s="731">
        <f>+'2025 AOP'!N15</f>
        <v>2</v>
      </c>
      <c r="AN17" s="718">
        <f t="shared" ref="AN17" si="0">+AA17-P17</f>
        <v>-1</v>
      </c>
      <c r="AO17" s="718">
        <f t="shared" ref="AO17" si="1">+AA17-AG17</f>
        <v>-1</v>
      </c>
    </row>
    <row r="18" spans="2:41" ht="25.5" hidden="1" customHeight="1" thickTop="1" x14ac:dyDescent="0.25">
      <c r="B18" s="728"/>
      <c r="C18" s="658" t="s">
        <v>537</v>
      </c>
      <c r="D18" s="142"/>
      <c r="E18" s="719"/>
      <c r="F18" s="659">
        <v>163.16400105353586</v>
      </c>
      <c r="G18" s="659">
        <v>165.87293965570609</v>
      </c>
      <c r="H18" s="659">
        <v>139.90317013157804</v>
      </c>
      <c r="I18" s="659">
        <v>176.04211373365271</v>
      </c>
      <c r="J18" s="659">
        <v>128.85072183077168</v>
      </c>
      <c r="K18" s="659">
        <v>154.3447536065425</v>
      </c>
      <c r="L18" s="660">
        <v>0</v>
      </c>
      <c r="M18" s="660">
        <v>0</v>
      </c>
      <c r="N18" s="660">
        <v>0</v>
      </c>
      <c r="O18" s="660">
        <v>0</v>
      </c>
      <c r="P18" s="660">
        <v>0</v>
      </c>
      <c r="Q18" s="660">
        <v>150</v>
      </c>
      <c r="R18" s="660">
        <v>146</v>
      </c>
      <c r="S18" s="660">
        <v>163</v>
      </c>
      <c r="T18" s="660">
        <v>125</v>
      </c>
      <c r="U18" s="660">
        <v>134</v>
      </c>
      <c r="V18" s="660">
        <v>148</v>
      </c>
      <c r="W18" s="660">
        <v>0</v>
      </c>
      <c r="X18" s="660">
        <v>0</v>
      </c>
      <c r="Y18" s="660">
        <v>0</v>
      </c>
      <c r="Z18" s="660">
        <v>0</v>
      </c>
      <c r="AA18" s="660">
        <f>+SUMIF('Monthly Detail'!$4:$4, $B$14,'Monthly Detail'!13:13)</f>
        <v>0</v>
      </c>
      <c r="AB18" s="660"/>
      <c r="AC18" s="660"/>
      <c r="AD18" s="660"/>
      <c r="AE18" s="660"/>
      <c r="AF18" s="660"/>
      <c r="AG18" s="660"/>
      <c r="AH18" s="660"/>
      <c r="AI18" s="660"/>
      <c r="AJ18" s="660"/>
      <c r="AK18" s="660"/>
      <c r="AL18" s="660"/>
      <c r="AM18" s="660"/>
      <c r="AN18" s="661">
        <f t="shared" ref="AN18:AN31" si="2">+W18-L18</f>
        <v>0</v>
      </c>
      <c r="AO18" s="661">
        <f t="shared" ref="AO18:AO31" si="3">+AB18-Q18</f>
        <v>-150</v>
      </c>
    </row>
    <row r="19" spans="2:41" ht="15.75" hidden="1" thickTop="1" x14ac:dyDescent="0.25">
      <c r="B19" s="728"/>
      <c r="C19" s="662" t="s">
        <v>521</v>
      </c>
      <c r="D19" s="142"/>
      <c r="E19" s="719"/>
      <c r="F19" s="663">
        <v>106.81959781202708</v>
      </c>
      <c r="G19" s="663">
        <v>100.62958339112835</v>
      </c>
      <c r="H19" s="663">
        <v>82.408716652847346</v>
      </c>
      <c r="I19" s="663">
        <v>103.68124489834761</v>
      </c>
      <c r="J19" s="663">
        <v>93.803325492801775</v>
      </c>
      <c r="K19" s="663">
        <v>90.994295036692961</v>
      </c>
      <c r="L19" s="660">
        <v>0</v>
      </c>
      <c r="M19" s="660">
        <v>0</v>
      </c>
      <c r="N19" s="660">
        <v>0</v>
      </c>
      <c r="O19" s="660">
        <v>0</v>
      </c>
      <c r="P19" s="660">
        <v>0</v>
      </c>
      <c r="Q19" s="660">
        <v>91</v>
      </c>
      <c r="R19" s="660">
        <v>86</v>
      </c>
      <c r="S19" s="660">
        <v>96</v>
      </c>
      <c r="T19" s="660">
        <v>91</v>
      </c>
      <c r="U19" s="660">
        <v>79</v>
      </c>
      <c r="V19" s="660">
        <v>90</v>
      </c>
      <c r="W19" s="660">
        <v>0</v>
      </c>
      <c r="X19" s="660">
        <v>0</v>
      </c>
      <c r="Y19" s="660">
        <v>0</v>
      </c>
      <c r="Z19" s="660">
        <v>0</v>
      </c>
      <c r="AA19" s="660">
        <f>+SUMIF('Monthly Detail'!$4:$4, $B$14,'Monthly Detail'!14:14)</f>
        <v>0</v>
      </c>
      <c r="AB19" s="660"/>
      <c r="AC19" s="660"/>
      <c r="AD19" s="660"/>
      <c r="AE19" s="660"/>
      <c r="AF19" s="660"/>
      <c r="AG19" s="660"/>
      <c r="AH19" s="660"/>
      <c r="AI19" s="660"/>
      <c r="AJ19" s="660"/>
      <c r="AK19" s="660"/>
      <c r="AL19" s="660"/>
      <c r="AM19" s="660"/>
      <c r="AN19" s="661">
        <f t="shared" si="2"/>
        <v>0</v>
      </c>
      <c r="AO19" s="661">
        <f t="shared" si="3"/>
        <v>-91</v>
      </c>
    </row>
    <row r="20" spans="2:41" ht="15.75" hidden="1" thickTop="1" x14ac:dyDescent="0.25">
      <c r="B20" s="728"/>
      <c r="C20" s="664" t="s">
        <v>522</v>
      </c>
      <c r="D20" s="142"/>
      <c r="E20" s="720"/>
      <c r="F20" s="663">
        <v>26</v>
      </c>
      <c r="G20" s="663">
        <v>19</v>
      </c>
      <c r="H20" s="663">
        <v>-8</v>
      </c>
      <c r="I20" s="663">
        <v>15</v>
      </c>
      <c r="J20" s="663">
        <v>0</v>
      </c>
      <c r="K20" s="663">
        <v>22</v>
      </c>
      <c r="L20" s="665">
        <v>0</v>
      </c>
      <c r="M20" s="665">
        <v>0</v>
      </c>
      <c r="N20" s="665">
        <v>0</v>
      </c>
      <c r="O20" s="665">
        <v>0</v>
      </c>
      <c r="P20" s="665">
        <v>0</v>
      </c>
      <c r="Q20" s="665">
        <v>11</v>
      </c>
      <c r="R20" s="665">
        <v>-5</v>
      </c>
      <c r="S20" s="665">
        <v>17</v>
      </c>
      <c r="T20" s="665">
        <v>-38</v>
      </c>
      <c r="U20" s="665">
        <v>15</v>
      </c>
      <c r="V20" s="665">
        <v>11</v>
      </c>
      <c r="W20" s="665">
        <v>0</v>
      </c>
      <c r="X20" s="665">
        <v>0</v>
      </c>
      <c r="Y20" s="665">
        <v>0</v>
      </c>
      <c r="Z20" s="665">
        <v>0</v>
      </c>
      <c r="AA20" s="665">
        <f>+SUMIF('Monthly Detail'!$4:$4, $B$14,'Monthly Detail'!15:15)</f>
        <v>0</v>
      </c>
      <c r="AB20" s="665"/>
      <c r="AC20" s="665"/>
      <c r="AD20" s="665"/>
      <c r="AE20" s="665"/>
      <c r="AF20" s="665"/>
      <c r="AG20" s="665"/>
      <c r="AH20" s="665"/>
      <c r="AI20" s="665"/>
      <c r="AJ20" s="665"/>
      <c r="AK20" s="665"/>
      <c r="AL20" s="665"/>
      <c r="AM20" s="665"/>
      <c r="AN20" s="661">
        <f t="shared" si="2"/>
        <v>0</v>
      </c>
      <c r="AO20" s="661">
        <f t="shared" si="3"/>
        <v>-11</v>
      </c>
    </row>
    <row r="21" spans="2:41" ht="15.75" hidden="1" thickTop="1" x14ac:dyDescent="0.25">
      <c r="B21" s="728"/>
      <c r="C21" s="664" t="s">
        <v>523</v>
      </c>
      <c r="D21" s="142"/>
      <c r="E21" s="720"/>
      <c r="F21" s="663">
        <v>301.73140575692753</v>
      </c>
      <c r="G21" s="663">
        <v>283.23351514911803</v>
      </c>
      <c r="H21" s="663">
        <v>241.13908409929221</v>
      </c>
      <c r="I21" s="663">
        <v>303.1231886531711</v>
      </c>
      <c r="J21" s="663">
        <v>209.97748686011693</v>
      </c>
      <c r="K21" s="663">
        <v>252.38341424313978</v>
      </c>
      <c r="L21" s="660">
        <v>0</v>
      </c>
      <c r="M21" s="660">
        <v>0</v>
      </c>
      <c r="N21" s="660">
        <v>0</v>
      </c>
      <c r="O21" s="660">
        <v>0</v>
      </c>
      <c r="P21" s="660">
        <v>0</v>
      </c>
      <c r="Q21" s="660">
        <v>259</v>
      </c>
      <c r="R21" s="660">
        <v>244</v>
      </c>
      <c r="S21" s="660">
        <v>310</v>
      </c>
      <c r="T21" s="660">
        <v>211</v>
      </c>
      <c r="U21" s="660">
        <v>241</v>
      </c>
      <c r="V21" s="660">
        <v>267</v>
      </c>
      <c r="W21" s="660">
        <v>0</v>
      </c>
      <c r="X21" s="660">
        <v>0</v>
      </c>
      <c r="Y21" s="660">
        <v>0</v>
      </c>
      <c r="Z21" s="660">
        <v>0</v>
      </c>
      <c r="AA21" s="660">
        <f>+SUMIF('Monthly Detail'!$4:$4, $B$14,'Monthly Detail'!18:18)</f>
        <v>0</v>
      </c>
      <c r="AB21" s="660"/>
      <c r="AC21" s="660"/>
      <c r="AD21" s="660"/>
      <c r="AE21" s="660"/>
      <c r="AF21" s="660"/>
      <c r="AG21" s="660"/>
      <c r="AH21" s="660"/>
      <c r="AI21" s="660"/>
      <c r="AJ21" s="660"/>
      <c r="AK21" s="660"/>
      <c r="AL21" s="660"/>
      <c r="AM21" s="660"/>
      <c r="AN21" s="661">
        <f t="shared" si="2"/>
        <v>0</v>
      </c>
      <c r="AO21" s="661">
        <f t="shared" si="3"/>
        <v>-259</v>
      </c>
    </row>
    <row r="22" spans="2:41" ht="15.75" hidden="1" thickTop="1" x14ac:dyDescent="0.25">
      <c r="B22" s="728"/>
      <c r="C22" s="664" t="s">
        <v>524</v>
      </c>
      <c r="D22" s="142"/>
      <c r="E22" s="720"/>
      <c r="F22" s="663">
        <v>173</v>
      </c>
      <c r="G22" s="663">
        <v>175</v>
      </c>
      <c r="H22" s="663">
        <v>148</v>
      </c>
      <c r="I22" s="663">
        <v>187</v>
      </c>
      <c r="J22" s="663">
        <v>137</v>
      </c>
      <c r="K22" s="663">
        <v>164</v>
      </c>
      <c r="L22" s="660">
        <v>0</v>
      </c>
      <c r="M22" s="660">
        <v>0</v>
      </c>
      <c r="N22" s="660">
        <v>0</v>
      </c>
      <c r="O22" s="660">
        <v>0</v>
      </c>
      <c r="P22" s="660">
        <v>0</v>
      </c>
      <c r="Q22" s="660">
        <v>156</v>
      </c>
      <c r="R22" s="660">
        <v>156</v>
      </c>
      <c r="S22" s="660">
        <v>172</v>
      </c>
      <c r="T22" s="660">
        <v>137</v>
      </c>
      <c r="U22" s="660">
        <v>142</v>
      </c>
      <c r="V22" s="660">
        <v>157</v>
      </c>
      <c r="W22" s="660">
        <v>0</v>
      </c>
      <c r="X22" s="660">
        <v>0</v>
      </c>
      <c r="Y22" s="660">
        <v>0</v>
      </c>
      <c r="Z22" s="660">
        <v>0</v>
      </c>
      <c r="AA22" s="660">
        <f>+SUMIF('Monthly Detail'!$4:$4, $B$14,'Monthly Detail'!19:19)</f>
        <v>0</v>
      </c>
      <c r="AB22" s="660"/>
      <c r="AC22" s="660"/>
      <c r="AD22" s="660"/>
      <c r="AE22" s="660"/>
      <c r="AF22" s="660"/>
      <c r="AG22" s="660"/>
      <c r="AH22" s="660"/>
      <c r="AI22" s="660"/>
      <c r="AJ22" s="660"/>
      <c r="AK22" s="660"/>
      <c r="AL22" s="660"/>
      <c r="AM22" s="660"/>
      <c r="AN22" s="661">
        <f t="shared" si="2"/>
        <v>0</v>
      </c>
      <c r="AO22" s="661">
        <f t="shared" si="3"/>
        <v>-156</v>
      </c>
    </row>
    <row r="23" spans="2:41" ht="15.75" hidden="1" thickTop="1" x14ac:dyDescent="0.25">
      <c r="B23" s="728"/>
      <c r="C23" s="664" t="s">
        <v>525</v>
      </c>
      <c r="D23" s="142"/>
      <c r="E23" s="720"/>
      <c r="F23" s="666">
        <v>6.3405252377392488E-2</v>
      </c>
      <c r="G23" s="666">
        <v>0.11568338544886071</v>
      </c>
      <c r="H23" s="666">
        <v>0.11267647533812547</v>
      </c>
      <c r="I23" s="666">
        <v>0.11439494148434239</v>
      </c>
      <c r="J23" s="666">
        <v>0.1103680542681605</v>
      </c>
      <c r="K23" s="666">
        <v>0.11222801119547376</v>
      </c>
      <c r="L23" s="667">
        <v>0</v>
      </c>
      <c r="M23" s="667">
        <v>0</v>
      </c>
      <c r="N23" s="667">
        <v>0</v>
      </c>
      <c r="O23" s="667">
        <v>0</v>
      </c>
      <c r="P23" s="667">
        <v>0</v>
      </c>
      <c r="Q23" s="667">
        <v>0.10810810810810811</v>
      </c>
      <c r="R23" s="667">
        <v>9.8360655737704916E-2</v>
      </c>
      <c r="S23" s="667">
        <v>0.12903225806451613</v>
      </c>
      <c r="T23" s="667">
        <v>0.13270142180094788</v>
      </c>
      <c r="U23" s="667">
        <v>0.11618257261410789</v>
      </c>
      <c r="V23" s="667">
        <v>0.12359550561797752</v>
      </c>
      <c r="W23" s="667">
        <v>0</v>
      </c>
      <c r="X23" s="667">
        <v>0</v>
      </c>
      <c r="Y23" s="667">
        <v>0</v>
      </c>
      <c r="Z23" s="667">
        <v>0</v>
      </c>
      <c r="AA23" s="667">
        <f>+SUMIF('Monthly Detail'!$4:$4, $B$14,'Monthly Detail'!20:20)</f>
        <v>0</v>
      </c>
      <c r="AB23" s="667"/>
      <c r="AC23" s="667"/>
      <c r="AD23" s="667"/>
      <c r="AE23" s="667"/>
      <c r="AF23" s="667"/>
      <c r="AG23" s="667"/>
      <c r="AH23" s="667"/>
      <c r="AI23" s="667"/>
      <c r="AJ23" s="667"/>
      <c r="AK23" s="667"/>
      <c r="AL23" s="667"/>
      <c r="AM23" s="667"/>
      <c r="AN23" s="668">
        <f t="shared" si="2"/>
        <v>0</v>
      </c>
      <c r="AO23" s="668">
        <f t="shared" si="3"/>
        <v>-0.10810810810810811</v>
      </c>
    </row>
    <row r="24" spans="2:41" ht="15.75" hidden="1" thickTop="1" x14ac:dyDescent="0.25">
      <c r="B24" s="728"/>
      <c r="C24" s="664" t="s">
        <v>526</v>
      </c>
      <c r="D24" s="142"/>
      <c r="E24" s="720"/>
      <c r="F24" s="666">
        <v>0.17384173419809978</v>
      </c>
      <c r="G24" s="666">
        <v>0.10581959770470717</v>
      </c>
      <c r="H24" s="666">
        <v>-4.1759108687821622E-2</v>
      </c>
      <c r="I24" s="666">
        <v>8.0012967691120984E-2</v>
      </c>
      <c r="J24" s="666">
        <v>3.0805774646173401E-2</v>
      </c>
      <c r="K24" s="666">
        <v>0.15182651945180958</v>
      </c>
      <c r="L24" s="667">
        <v>0</v>
      </c>
      <c r="M24" s="667">
        <v>0</v>
      </c>
      <c r="N24" s="667">
        <v>0</v>
      </c>
      <c r="O24" s="667">
        <v>0</v>
      </c>
      <c r="P24" s="667">
        <v>0</v>
      </c>
      <c r="Q24" s="667">
        <v>7.9136690647481966E-2</v>
      </c>
      <c r="R24" s="667">
        <v>-2.6666666666666616E-2</v>
      </c>
      <c r="S24" s="667">
        <v>0.11643835616438358</v>
      </c>
      <c r="T24" s="667">
        <v>-0.23312883435582821</v>
      </c>
      <c r="U24" s="667">
        <v>7.2000000000000064E-2</v>
      </c>
      <c r="V24" s="667">
        <v>0.10447761194029859</v>
      </c>
      <c r="W24" s="667">
        <v>0</v>
      </c>
      <c r="X24" s="667">
        <v>0</v>
      </c>
      <c r="Y24" s="667">
        <v>0</v>
      </c>
      <c r="Z24" s="667">
        <v>0</v>
      </c>
      <c r="AA24" s="667">
        <f>+SUMIF('Monthly Detail'!$4:$4, $B$14,'Monthly Detail'!21:21)</f>
        <v>0</v>
      </c>
      <c r="AB24" s="667"/>
      <c r="AC24" s="667"/>
      <c r="AD24" s="667"/>
      <c r="AE24" s="667"/>
      <c r="AF24" s="667"/>
      <c r="AG24" s="667"/>
      <c r="AH24" s="667"/>
      <c r="AI24" s="667"/>
      <c r="AJ24" s="667"/>
      <c r="AK24" s="667"/>
      <c r="AL24" s="667"/>
      <c r="AM24" s="667"/>
      <c r="AN24" s="668">
        <f t="shared" si="2"/>
        <v>0</v>
      </c>
      <c r="AO24" s="668">
        <f t="shared" si="3"/>
        <v>-7.9136690647481966E-2</v>
      </c>
    </row>
    <row r="25" spans="2:41" ht="15.75" hidden="1" thickTop="1" x14ac:dyDescent="0.25">
      <c r="B25" s="728"/>
      <c r="C25" s="664" t="s">
        <v>527</v>
      </c>
      <c r="D25" s="142"/>
      <c r="E25" s="720"/>
      <c r="F25" s="666">
        <v>0.94314451476032291</v>
      </c>
      <c r="G25" s="666">
        <v>0.94784536946117759</v>
      </c>
      <c r="H25" s="666">
        <v>0.94529169007822988</v>
      </c>
      <c r="I25" s="666">
        <v>0.941401677720068</v>
      </c>
      <c r="J25" s="666">
        <v>0.94051621774285887</v>
      </c>
      <c r="K25" s="666">
        <v>0.94112654638135662</v>
      </c>
      <c r="L25" s="667">
        <v>0</v>
      </c>
      <c r="M25" s="667">
        <v>0</v>
      </c>
      <c r="N25" s="667">
        <v>0</v>
      </c>
      <c r="O25" s="667">
        <v>0</v>
      </c>
      <c r="P25" s="667">
        <v>0</v>
      </c>
      <c r="Q25" s="667">
        <v>0.96153846153846156</v>
      </c>
      <c r="R25" s="667">
        <v>0.9358974358974359</v>
      </c>
      <c r="S25" s="667">
        <v>0.94767441860465118</v>
      </c>
      <c r="T25" s="667">
        <v>0.91240875912408759</v>
      </c>
      <c r="U25" s="667">
        <v>0.94366197183098588</v>
      </c>
      <c r="V25" s="667">
        <v>0.9426751592356688</v>
      </c>
      <c r="W25" s="667">
        <v>0</v>
      </c>
      <c r="X25" s="667">
        <v>0</v>
      </c>
      <c r="Y25" s="667">
        <v>0</v>
      </c>
      <c r="Z25" s="667">
        <v>0</v>
      </c>
      <c r="AA25" s="667">
        <f>+SUMIF('Monthly Detail'!$4:$4, $B$14,'Monthly Detail'!22:22)</f>
        <v>0</v>
      </c>
      <c r="AB25" s="667"/>
      <c r="AC25" s="667"/>
      <c r="AD25" s="667"/>
      <c r="AE25" s="667"/>
      <c r="AF25" s="667"/>
      <c r="AG25" s="667"/>
      <c r="AH25" s="667"/>
      <c r="AI25" s="667"/>
      <c r="AJ25" s="667"/>
      <c r="AK25" s="667"/>
      <c r="AL25" s="667"/>
      <c r="AM25" s="667"/>
      <c r="AN25" s="668">
        <f t="shared" si="2"/>
        <v>0</v>
      </c>
      <c r="AO25" s="668">
        <f t="shared" si="3"/>
        <v>-0.96153846153846156</v>
      </c>
    </row>
    <row r="26" spans="2:41" ht="15.75" hidden="1" thickTop="1" x14ac:dyDescent="0.25">
      <c r="B26" s="728"/>
      <c r="C26" s="664" t="s">
        <v>528</v>
      </c>
      <c r="D26" s="142"/>
      <c r="E26" s="721"/>
      <c r="F26" s="669">
        <v>1.732</v>
      </c>
      <c r="G26" s="669">
        <v>1.5464285714285715</v>
      </c>
      <c r="H26" s="669">
        <v>1.5464285714285715</v>
      </c>
      <c r="I26" s="669">
        <v>1.5464285714285715</v>
      </c>
      <c r="J26" s="669">
        <v>1.4728682170542635</v>
      </c>
      <c r="K26" s="669">
        <v>1.4803149606299213</v>
      </c>
      <c r="L26" s="670">
        <v>0</v>
      </c>
      <c r="M26" s="670">
        <v>0</v>
      </c>
      <c r="N26" s="670">
        <v>0</v>
      </c>
      <c r="O26" s="670">
        <v>0</v>
      </c>
      <c r="P26" s="670">
        <v>0</v>
      </c>
      <c r="Q26" s="670">
        <v>1.54</v>
      </c>
      <c r="R26" s="670">
        <v>1.5068493150684932</v>
      </c>
      <c r="S26" s="670">
        <v>1.656441717791411</v>
      </c>
      <c r="T26" s="670">
        <v>1.464</v>
      </c>
      <c r="U26" s="670">
        <v>1.5895522388059702</v>
      </c>
      <c r="V26" s="670">
        <v>1.5810810810810811</v>
      </c>
      <c r="W26" s="670">
        <v>0</v>
      </c>
      <c r="X26" s="670">
        <v>0</v>
      </c>
      <c r="Y26" s="670">
        <v>0</v>
      </c>
      <c r="Z26" s="670">
        <v>0</v>
      </c>
      <c r="AA26" s="670">
        <f>+SUMIF('Monthly Detail'!$4:$4, $B$14,'Monthly Detail'!23:23)</f>
        <v>0</v>
      </c>
      <c r="AB26" s="670"/>
      <c r="AC26" s="670"/>
      <c r="AD26" s="670"/>
      <c r="AE26" s="670"/>
      <c r="AF26" s="670"/>
      <c r="AG26" s="670"/>
      <c r="AH26" s="670"/>
      <c r="AI26" s="670"/>
      <c r="AJ26" s="670"/>
      <c r="AK26" s="670"/>
      <c r="AL26" s="670"/>
      <c r="AM26" s="670"/>
      <c r="AN26" s="671">
        <f t="shared" si="2"/>
        <v>0</v>
      </c>
      <c r="AO26" s="671">
        <f t="shared" si="3"/>
        <v>-1.54</v>
      </c>
    </row>
    <row r="27" spans="2:41" ht="15.75" hidden="1" thickTop="1" x14ac:dyDescent="0.25">
      <c r="B27" s="728"/>
      <c r="C27" s="664" t="s">
        <v>529</v>
      </c>
      <c r="D27" s="142"/>
      <c r="E27" s="720"/>
      <c r="F27" s="672">
        <v>169.56002989483446</v>
      </c>
      <c r="G27" s="672">
        <v>169.29703105288462</v>
      </c>
      <c r="H27" s="672">
        <v>142.79117128643702</v>
      </c>
      <c r="I27" s="672">
        <v>171.50902930501113</v>
      </c>
      <c r="J27" s="672">
        <v>130.94829172104005</v>
      </c>
      <c r="K27" s="672">
        <v>130.23294327934718</v>
      </c>
      <c r="L27" s="673">
        <v>0</v>
      </c>
      <c r="M27" s="673">
        <v>0</v>
      </c>
      <c r="N27" s="673">
        <v>0</v>
      </c>
      <c r="O27" s="673">
        <v>0</v>
      </c>
      <c r="P27" s="673">
        <v>0</v>
      </c>
      <c r="Q27" s="673">
        <v>134.75</v>
      </c>
      <c r="R27" s="673">
        <v>110.75</v>
      </c>
      <c r="S27" s="673">
        <v>150.75</v>
      </c>
      <c r="T27" s="673">
        <v>100</v>
      </c>
      <c r="U27" s="673">
        <v>117.5</v>
      </c>
      <c r="V27" s="673">
        <v>129</v>
      </c>
      <c r="W27" s="673">
        <v>0</v>
      </c>
      <c r="X27" s="673">
        <v>0</v>
      </c>
      <c r="Y27" s="673">
        <v>0</v>
      </c>
      <c r="Z27" s="673">
        <v>0</v>
      </c>
      <c r="AA27" s="673">
        <f>+SUMIF('Monthly Detail'!$4:$4, $B$14,'Monthly Detail'!27:27)</f>
        <v>0</v>
      </c>
      <c r="AB27" s="673"/>
      <c r="AC27" s="673"/>
      <c r="AD27" s="673"/>
      <c r="AE27" s="673"/>
      <c r="AF27" s="673"/>
      <c r="AG27" s="673"/>
      <c r="AH27" s="673"/>
      <c r="AI27" s="673"/>
      <c r="AJ27" s="673"/>
      <c r="AK27" s="673"/>
      <c r="AL27" s="673"/>
      <c r="AM27" s="673"/>
      <c r="AN27" s="674">
        <f t="shared" si="2"/>
        <v>0</v>
      </c>
      <c r="AO27" s="674">
        <f t="shared" si="3"/>
        <v>-134.75</v>
      </c>
    </row>
    <row r="28" spans="2:41" ht="16.5" hidden="1" thickTop="1" thickBot="1" x14ac:dyDescent="0.3">
      <c r="B28" s="729"/>
      <c r="C28" s="722" t="s">
        <v>530</v>
      </c>
      <c r="D28" s="723"/>
      <c r="E28" s="724"/>
      <c r="F28" s="725">
        <v>66.975623976562417</v>
      </c>
      <c r="G28" s="725">
        <v>75.415340117394592</v>
      </c>
      <c r="H28" s="725">
        <v>82.914406925739257</v>
      </c>
      <c r="I28" s="725">
        <v>75.110348316873726</v>
      </c>
      <c r="J28" s="725">
        <v>78.635107382682165</v>
      </c>
      <c r="K28" s="725">
        <v>79.927540716436567</v>
      </c>
      <c r="L28" s="726">
        <v>0</v>
      </c>
      <c r="M28" s="726">
        <v>0</v>
      </c>
      <c r="N28" s="726">
        <v>0</v>
      </c>
      <c r="O28" s="726">
        <v>0</v>
      </c>
      <c r="P28" s="726">
        <v>0</v>
      </c>
      <c r="Q28" s="726">
        <v>81.511466666666664</v>
      </c>
      <c r="R28" s="726">
        <v>99.045506072874502</v>
      </c>
      <c r="S28" s="726">
        <v>69.286025824964128</v>
      </c>
      <c r="T28" s="726">
        <v>77.36726495726495</v>
      </c>
      <c r="U28" s="726">
        <v>84.274068441064642</v>
      </c>
      <c r="V28" s="726">
        <v>70.800548885077191</v>
      </c>
      <c r="W28" s="726">
        <v>0</v>
      </c>
      <c r="X28" s="726">
        <v>0</v>
      </c>
      <c r="Y28" s="726">
        <v>0</v>
      </c>
      <c r="Z28" s="726">
        <v>0</v>
      </c>
      <c r="AA28" s="726">
        <f>+SUMIF('Monthly Detail'!$4:$4, $B$14,'Monthly Detail'!29:29)</f>
        <v>0</v>
      </c>
      <c r="AB28" s="726"/>
      <c r="AC28" s="726"/>
      <c r="AD28" s="726"/>
      <c r="AE28" s="726"/>
      <c r="AF28" s="726"/>
      <c r="AG28" s="726"/>
      <c r="AH28" s="726"/>
      <c r="AI28" s="726"/>
      <c r="AJ28" s="726"/>
      <c r="AK28" s="726"/>
      <c r="AL28" s="726"/>
      <c r="AM28" s="726"/>
      <c r="AN28" s="727">
        <f t="shared" si="2"/>
        <v>0</v>
      </c>
      <c r="AO28" s="727">
        <f t="shared" si="3"/>
        <v>-81.511466666666664</v>
      </c>
    </row>
    <row r="29" spans="2:41" ht="15.75" hidden="1" thickTop="1" x14ac:dyDescent="0.25">
      <c r="B29" s="675"/>
      <c r="C29" s="664" t="s">
        <v>531</v>
      </c>
      <c r="D29" s="142"/>
      <c r="E29" s="142"/>
      <c r="F29" s="676">
        <v>0</v>
      </c>
      <c r="G29" s="676">
        <v>0</v>
      </c>
      <c r="H29" s="676">
        <v>0</v>
      </c>
      <c r="I29" s="676">
        <v>0</v>
      </c>
      <c r="J29" s="676">
        <v>0</v>
      </c>
      <c r="K29" s="676">
        <v>0</v>
      </c>
      <c r="L29" s="677">
        <v>0</v>
      </c>
      <c r="M29" s="677">
        <v>0</v>
      </c>
      <c r="N29" s="677">
        <v>0</v>
      </c>
      <c r="O29" s="677">
        <v>0</v>
      </c>
      <c r="P29" s="677">
        <v>0</v>
      </c>
      <c r="Q29" s="677">
        <v>0</v>
      </c>
      <c r="R29" s="677">
        <v>0</v>
      </c>
      <c r="S29" s="677">
        <v>0</v>
      </c>
      <c r="T29" s="677">
        <v>0</v>
      </c>
      <c r="U29" s="677">
        <v>0</v>
      </c>
      <c r="V29" s="677">
        <v>0</v>
      </c>
      <c r="W29" s="677">
        <v>0</v>
      </c>
      <c r="X29" s="677">
        <v>0</v>
      </c>
      <c r="Y29" s="677">
        <v>0</v>
      </c>
      <c r="Z29" s="677">
        <v>0</v>
      </c>
      <c r="AA29" s="677">
        <f>+SUMIF('Monthly Detail'!$4:$4, N14,'Monthly Detail'!27:27)</f>
        <v>0</v>
      </c>
      <c r="AB29" s="677"/>
      <c r="AC29" s="677"/>
      <c r="AD29" s="677"/>
      <c r="AE29" s="677"/>
      <c r="AF29" s="677"/>
      <c r="AG29" s="677"/>
      <c r="AH29" s="677"/>
      <c r="AI29" s="677"/>
      <c r="AJ29" s="677"/>
      <c r="AK29" s="677"/>
      <c r="AL29" s="677"/>
      <c r="AM29" s="677"/>
      <c r="AN29" s="678">
        <f t="shared" si="2"/>
        <v>0</v>
      </c>
      <c r="AO29" s="678">
        <f t="shared" si="3"/>
        <v>0</v>
      </c>
    </row>
    <row r="30" spans="2:41" ht="2.4500000000000002" hidden="1" customHeight="1" x14ac:dyDescent="0.25">
      <c r="B30" s="679"/>
      <c r="C30" s="664"/>
      <c r="D30" s="142"/>
      <c r="E30" s="142"/>
      <c r="F30" s="676"/>
      <c r="G30" s="676"/>
      <c r="H30" s="676"/>
      <c r="I30" s="676"/>
      <c r="J30" s="676"/>
      <c r="K30" s="676"/>
      <c r="L30" s="665"/>
      <c r="M30" s="665"/>
      <c r="N30" s="665"/>
      <c r="O30" s="665"/>
      <c r="P30" s="665"/>
      <c r="Q30" s="665"/>
      <c r="R30" s="665"/>
      <c r="S30" s="665"/>
      <c r="T30" s="665"/>
      <c r="U30" s="665"/>
      <c r="V30" s="665"/>
      <c r="W30" s="665"/>
      <c r="X30" s="665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78">
        <f t="shared" si="2"/>
        <v>0</v>
      </c>
      <c r="AO30" s="678">
        <f t="shared" si="3"/>
        <v>0</v>
      </c>
    </row>
    <row r="31" spans="2:41" ht="16.5" hidden="1" thickTop="1" thickBot="1" x14ac:dyDescent="0.3">
      <c r="B31" s="680"/>
      <c r="C31" s="681" t="s">
        <v>52</v>
      </c>
      <c r="D31" s="141"/>
      <c r="E31" s="682"/>
      <c r="F31" s="683">
        <v>3.7499999999999999E-3</v>
      </c>
      <c r="G31" s="683">
        <v>3.7499999999999999E-3</v>
      </c>
      <c r="H31" s="683">
        <v>3.7499999999999999E-3</v>
      </c>
      <c r="I31" s="683">
        <v>3.7499999999999999E-3</v>
      </c>
      <c r="J31" s="683">
        <v>3.7499999999999999E-3</v>
      </c>
      <c r="K31" s="683">
        <v>3.7499999999999999E-3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3.6458333333333334E-3</v>
      </c>
      <c r="R31" s="207">
        <v>2.8602789256198346E-3</v>
      </c>
      <c r="S31" s="207">
        <v>3.1723484848484849E-3</v>
      </c>
      <c r="T31" s="207">
        <v>3.2526671870934166E-3</v>
      </c>
      <c r="U31" s="207">
        <v>2.9980608287405591E-3</v>
      </c>
      <c r="V31" s="207">
        <v>3.626855600539811E-3</v>
      </c>
      <c r="W31" s="207">
        <v>0</v>
      </c>
      <c r="X31" s="207">
        <v>0</v>
      </c>
      <c r="Y31" s="207">
        <v>0</v>
      </c>
      <c r="Z31" s="207">
        <v>0</v>
      </c>
      <c r="AA31" s="207">
        <f>+SUMIF('Monthly Detail'!$4:$4, $B$14,'Monthly Detail'!43:43)</f>
        <v>0</v>
      </c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684">
        <f t="shared" si="2"/>
        <v>0</v>
      </c>
      <c r="AO31" s="684">
        <f t="shared" si="3"/>
        <v>-3.6458333333333334E-3</v>
      </c>
    </row>
    <row r="32" spans="2:41" ht="3.6" customHeight="1" thickTop="1" x14ac:dyDescent="0.25">
      <c r="B32" s="780"/>
      <c r="C32" s="781"/>
      <c r="E32" s="685"/>
      <c r="F32" s="686"/>
      <c r="G32" s="686"/>
      <c r="H32" s="686"/>
      <c r="I32" s="686"/>
      <c r="J32" s="686"/>
      <c r="K32" s="686"/>
      <c r="L32" s="687"/>
      <c r="M32" s="687"/>
      <c r="N32" s="687"/>
      <c r="O32" s="687"/>
      <c r="P32" s="687"/>
      <c r="Q32" s="687"/>
      <c r="R32" s="687"/>
      <c r="S32" s="687"/>
      <c r="T32" s="687"/>
      <c r="U32" s="687"/>
      <c r="V32" s="687"/>
      <c r="W32" s="687"/>
      <c r="X32" s="687"/>
      <c r="Y32" s="687"/>
      <c r="Z32" s="687"/>
      <c r="AA32" s="687"/>
      <c r="AB32" s="687"/>
      <c r="AC32" s="687"/>
      <c r="AD32" s="687"/>
      <c r="AE32" s="687"/>
      <c r="AF32" s="687"/>
      <c r="AG32" s="687"/>
      <c r="AH32" s="687"/>
      <c r="AI32" s="687"/>
      <c r="AJ32" s="687"/>
      <c r="AK32" s="687"/>
      <c r="AL32" s="687"/>
      <c r="AM32" s="687"/>
      <c r="AN32" s="657"/>
      <c r="AO32" s="657"/>
    </row>
    <row r="33" spans="2:41" x14ac:dyDescent="0.25">
      <c r="B33" s="780" t="s">
        <v>240</v>
      </c>
      <c r="C33" s="781"/>
      <c r="E33" s="685"/>
      <c r="F33" s="686"/>
      <c r="G33" s="686"/>
      <c r="H33" s="686"/>
      <c r="I33" s="686"/>
      <c r="J33" s="686"/>
      <c r="K33" s="686"/>
      <c r="L33" s="687"/>
      <c r="M33" s="687"/>
      <c r="N33" s="687"/>
      <c r="O33" s="687"/>
      <c r="P33" s="687"/>
      <c r="Q33" s="687"/>
      <c r="R33" s="687"/>
      <c r="S33" s="687"/>
      <c r="T33" s="687"/>
      <c r="U33" s="687"/>
      <c r="V33" s="687"/>
      <c r="W33" s="687"/>
      <c r="X33" s="687"/>
      <c r="Y33" s="687"/>
      <c r="Z33" s="687"/>
      <c r="AA33" s="687"/>
      <c r="AB33" s="687"/>
      <c r="AC33" s="687"/>
      <c r="AD33" s="687"/>
      <c r="AE33" s="687"/>
      <c r="AF33" s="687"/>
      <c r="AG33" s="687"/>
      <c r="AH33" s="687"/>
      <c r="AI33" s="687"/>
      <c r="AJ33" s="687"/>
      <c r="AK33" s="687"/>
      <c r="AL33" s="687"/>
      <c r="AM33" s="687"/>
      <c r="AN33" s="657"/>
      <c r="AO33" s="657"/>
    </row>
    <row r="34" spans="2:41" x14ac:dyDescent="0.25">
      <c r="B34" s="780" t="s">
        <v>538</v>
      </c>
      <c r="C34" s="781"/>
      <c r="E34" s="685"/>
      <c r="F34" s="686">
        <v>137.59784291775929</v>
      </c>
      <c r="G34" s="686">
        <v>447.17993697454943</v>
      </c>
      <c r="H34" s="686">
        <v>409.81178220089089</v>
      </c>
      <c r="I34" s="686">
        <v>435.81014138975422</v>
      </c>
      <c r="J34" s="686">
        <v>336.0087937071977</v>
      </c>
      <c r="K34" s="686">
        <v>322.09142858050069</v>
      </c>
      <c r="L34" s="687">
        <v>0</v>
      </c>
      <c r="M34" s="687">
        <v>0</v>
      </c>
      <c r="N34" s="687">
        <v>0</v>
      </c>
      <c r="O34" s="687">
        <v>0</v>
      </c>
      <c r="P34" s="687">
        <v>2286.0953995759955</v>
      </c>
      <c r="Q34" s="687">
        <v>456.05</v>
      </c>
      <c r="R34" s="687">
        <v>406.15</v>
      </c>
      <c r="S34" s="687">
        <v>386.64</v>
      </c>
      <c r="T34" s="687">
        <v>306.56</v>
      </c>
      <c r="U34" s="687">
        <v>298.52</v>
      </c>
      <c r="V34" s="687">
        <v>228.93</v>
      </c>
      <c r="W34" s="687">
        <v>41.89</v>
      </c>
      <c r="X34" s="687">
        <v>618</v>
      </c>
      <c r="Y34" s="687">
        <v>0</v>
      </c>
      <c r="Z34" s="687">
        <v>0</v>
      </c>
      <c r="AA34" s="687">
        <f>+SUMIF('Monthly Detail'!$3:$3, $B$14,'Monthly Detail'!24:24)</f>
        <v>595.5</v>
      </c>
      <c r="AB34" s="687">
        <f>+'2025 AOP'!C17</f>
        <v>0</v>
      </c>
      <c r="AC34" s="687">
        <f>+'2025 AOP'!D17</f>
        <v>0</v>
      </c>
      <c r="AD34" s="687">
        <f>+'2025 AOP'!E17</f>
        <v>2286.0953995759955</v>
      </c>
      <c r="AE34" s="687">
        <f>+'2025 AOP'!F17</f>
        <v>326.96950093994519</v>
      </c>
      <c r="AF34" s="687">
        <f>+'2025 AOP'!G17</f>
        <v>13550.537823100067</v>
      </c>
      <c r="AG34" s="687">
        <f>+'2025 AOP'!H17</f>
        <v>1223.1888663558293</v>
      </c>
      <c r="AH34" s="687">
        <f>+'2025 AOP'!I17</f>
        <v>58101.13736782354</v>
      </c>
      <c r="AI34" s="687">
        <f>+'2025 AOP'!J17</f>
        <v>99631.18155119619</v>
      </c>
      <c r="AJ34" s="687">
        <f>+'2025 AOP'!K17</f>
        <v>83258.482309183542</v>
      </c>
      <c r="AK34" s="687">
        <f>+'2025 AOP'!L17</f>
        <v>45603.310037771305</v>
      </c>
      <c r="AL34" s="687">
        <f>+'2025 AOP'!M17</f>
        <v>76176.068674319919</v>
      </c>
      <c r="AM34" s="687">
        <f>+'2025 AOP'!N17</f>
        <v>190785.66566052643</v>
      </c>
      <c r="AN34" s="657">
        <f t="shared" ref="AN34:AN39" si="4">+AA34-P34</f>
        <v>-1690.5953995759955</v>
      </c>
      <c r="AO34" s="657">
        <f t="shared" ref="AO34:AO39" si="5">+AA34-AG34</f>
        <v>-627.6888663558293</v>
      </c>
    </row>
    <row r="35" spans="2:41" x14ac:dyDescent="0.25">
      <c r="B35" s="780" t="s">
        <v>539</v>
      </c>
      <c r="C35" s="781"/>
      <c r="E35" s="685"/>
      <c r="F35" s="686">
        <v>146.667218326843</v>
      </c>
      <c r="G35" s="686">
        <v>93.188842154669175</v>
      </c>
      <c r="H35" s="686">
        <v>153.42534302233324</v>
      </c>
      <c r="I35" s="686">
        <v>212.49912368932931</v>
      </c>
      <c r="J35" s="686">
        <v>199.25790409392837</v>
      </c>
      <c r="K35" s="686">
        <v>207.10595175277763</v>
      </c>
      <c r="L35" s="687">
        <v>0</v>
      </c>
      <c r="M35" s="687">
        <v>0</v>
      </c>
      <c r="N35" s="687">
        <v>0</v>
      </c>
      <c r="O35" s="687">
        <v>0</v>
      </c>
      <c r="P35" s="687">
        <v>1450.6279660447451</v>
      </c>
      <c r="Q35" s="687">
        <v>79.58</v>
      </c>
      <c r="R35" s="687">
        <v>360.51</v>
      </c>
      <c r="S35" s="687">
        <v>162.63</v>
      </c>
      <c r="T35" s="687">
        <v>136.44</v>
      </c>
      <c r="U35" s="687">
        <v>345.16</v>
      </c>
      <c r="V35" s="687">
        <v>344.06</v>
      </c>
      <c r="W35" s="687">
        <v>0</v>
      </c>
      <c r="X35" s="687">
        <v>0</v>
      </c>
      <c r="Y35" s="687">
        <v>0</v>
      </c>
      <c r="Z35" s="687">
        <v>0</v>
      </c>
      <c r="AA35" s="687">
        <f>+SUMIF('Monthly Detail'!$3:$3, $B$14,'Monthly Detail'!25:25)</f>
        <v>63894.879999999997</v>
      </c>
      <c r="AB35" s="687">
        <f>+'2025 AOP'!C18</f>
        <v>0</v>
      </c>
      <c r="AC35" s="687">
        <f>+'2025 AOP'!D18</f>
        <v>0</v>
      </c>
      <c r="AD35" s="687">
        <f>+'2025 AOP'!E18</f>
        <v>1450.6279660447451</v>
      </c>
      <c r="AE35" s="687">
        <f>+'2025 AOP'!F18</f>
        <v>207.47651309527546</v>
      </c>
      <c r="AF35" s="687">
        <f>+'2025 AOP'!G18</f>
        <v>8598.4115644438116</v>
      </c>
      <c r="AG35" s="687">
        <f>+'2025 AOP'!H18</f>
        <v>776.16707405099214</v>
      </c>
      <c r="AH35" s="687">
        <f>+'2025 AOP'!I18</f>
        <v>36867.724216760282</v>
      </c>
      <c r="AI35" s="687">
        <f>+'2025 AOP'!J18</f>
        <v>63220.361790261326</v>
      </c>
      <c r="AJ35" s="687">
        <f>+'2025 AOP'!K18</f>
        <v>52831.16481951889</v>
      </c>
      <c r="AK35" s="687">
        <f>+'2025 AOP'!L18</f>
        <v>28937.303708878309</v>
      </c>
      <c r="AL35" s="687">
        <f>+'2025 AOP'!M18</f>
        <v>48337.06221656745</v>
      </c>
      <c r="AM35" s="687">
        <f>+'2025 AOP'!N18</f>
        <v>121061.88664696715</v>
      </c>
      <c r="AN35" s="657">
        <f t="shared" si="4"/>
        <v>62444.25203395525</v>
      </c>
      <c r="AO35" s="657">
        <f t="shared" si="5"/>
        <v>63118.712925949003</v>
      </c>
    </row>
    <row r="36" spans="2:41" ht="14.45" customHeight="1" x14ac:dyDescent="0.25">
      <c r="B36" s="784" t="s">
        <v>540</v>
      </c>
      <c r="C36" s="785"/>
      <c r="E36" s="685"/>
      <c r="F36" s="686">
        <v>0</v>
      </c>
      <c r="G36" s="686">
        <v>0</v>
      </c>
      <c r="H36" s="686">
        <v>0</v>
      </c>
      <c r="I36" s="686">
        <v>0</v>
      </c>
      <c r="J36" s="686">
        <v>0</v>
      </c>
      <c r="K36" s="686">
        <v>0</v>
      </c>
      <c r="L36" s="687">
        <v>5643</v>
      </c>
      <c r="M36" s="687">
        <v>5643</v>
      </c>
      <c r="N36" s="687">
        <v>9269.34</v>
      </c>
      <c r="O36" s="687">
        <v>3505.9274999999998</v>
      </c>
      <c r="P36" s="687">
        <v>5643</v>
      </c>
      <c r="Q36" s="687">
        <v>0</v>
      </c>
      <c r="R36" s="687">
        <v>0</v>
      </c>
      <c r="S36" s="687">
        <v>0</v>
      </c>
      <c r="T36" s="687">
        <v>0</v>
      </c>
      <c r="U36" s="687">
        <v>0</v>
      </c>
      <c r="V36" s="687">
        <v>0</v>
      </c>
      <c r="W36" s="687">
        <v>7487.52</v>
      </c>
      <c r="X36" s="687">
        <v>0</v>
      </c>
      <c r="Y36" s="687">
        <v>10184</v>
      </c>
      <c r="Z36" s="687">
        <v>1682.5</v>
      </c>
      <c r="AA36" s="687">
        <f>+SUMIF('Monthly Detail'!$3:$3, $B$14,'Monthly Detail'!26:26)</f>
        <v>0</v>
      </c>
      <c r="AB36" s="687">
        <f>+'2025 AOP'!C19</f>
        <v>66222.571500000005</v>
      </c>
      <c r="AC36" s="687">
        <f>+'2025 AOP'!D19</f>
        <v>12846.9</v>
      </c>
      <c r="AD36" s="687">
        <f>+'2025 AOP'!E19</f>
        <v>5610</v>
      </c>
      <c r="AE36" s="687">
        <f>+'2025 AOP'!F19</f>
        <v>5610</v>
      </c>
      <c r="AF36" s="687">
        <f>+'2025 AOP'!G19</f>
        <v>5610</v>
      </c>
      <c r="AG36" s="687">
        <f>+'2025 AOP'!H19</f>
        <v>5610</v>
      </c>
      <c r="AH36" s="687">
        <f>+'2025 AOP'!I19</f>
        <v>5610</v>
      </c>
      <c r="AI36" s="687">
        <f>+'2025 AOP'!J19</f>
        <v>5610</v>
      </c>
      <c r="AJ36" s="687">
        <f>+'2025 AOP'!K19</f>
        <v>11220</v>
      </c>
      <c r="AK36" s="687">
        <f>+'2025 AOP'!L19</f>
        <v>11220</v>
      </c>
      <c r="AL36" s="687">
        <f>+'2025 AOP'!M19</f>
        <v>11220</v>
      </c>
      <c r="AM36" s="687">
        <f>+'2025 AOP'!N19</f>
        <v>11220</v>
      </c>
      <c r="AN36" s="657">
        <f t="shared" si="4"/>
        <v>-5643</v>
      </c>
      <c r="AO36" s="657">
        <f t="shared" si="5"/>
        <v>-5610</v>
      </c>
    </row>
    <row r="37" spans="2:41" x14ac:dyDescent="0.25">
      <c r="B37" s="786" t="s">
        <v>541</v>
      </c>
      <c r="C37" s="787"/>
      <c r="D37" s="5"/>
      <c r="E37" s="688"/>
      <c r="F37" s="689">
        <v>284.26506124460229</v>
      </c>
      <c r="G37" s="689">
        <v>540.36877912921864</v>
      </c>
      <c r="H37" s="689">
        <v>563.2371252232241</v>
      </c>
      <c r="I37" s="689">
        <v>648.3092650790835</v>
      </c>
      <c r="J37" s="689">
        <v>535.26669780112604</v>
      </c>
      <c r="K37" s="689">
        <v>529.19738033327826</v>
      </c>
      <c r="L37" s="208">
        <v>5643</v>
      </c>
      <c r="M37" s="208">
        <v>5643</v>
      </c>
      <c r="N37" s="208">
        <v>9269.34</v>
      </c>
      <c r="O37" s="208">
        <v>3505.9274999999998</v>
      </c>
      <c r="P37" s="208">
        <v>9379.7233656207409</v>
      </c>
      <c r="Q37" s="208">
        <v>535.63</v>
      </c>
      <c r="R37" s="208">
        <v>766.66</v>
      </c>
      <c r="S37" s="208">
        <v>549.27</v>
      </c>
      <c r="T37" s="208">
        <v>443</v>
      </c>
      <c r="U37" s="208">
        <v>643.68000000000006</v>
      </c>
      <c r="V37" s="208">
        <v>572.99</v>
      </c>
      <c r="W37" s="208">
        <v>7529.4100000000008</v>
      </c>
      <c r="X37" s="208">
        <v>618</v>
      </c>
      <c r="Y37" s="208">
        <v>10184</v>
      </c>
      <c r="Z37" s="208">
        <v>1682.5</v>
      </c>
      <c r="AA37" s="208">
        <f>SUM(AA34:AA36)</f>
        <v>64490.38</v>
      </c>
      <c r="AB37" s="208">
        <f t="shared" ref="AB37:AM37" si="6">SUM(AB34:AB36)</f>
        <v>66222.571500000005</v>
      </c>
      <c r="AC37" s="208">
        <f t="shared" si="6"/>
        <v>12846.9</v>
      </c>
      <c r="AD37" s="208">
        <f t="shared" si="6"/>
        <v>9346.7233656207409</v>
      </c>
      <c r="AE37" s="208">
        <f t="shared" si="6"/>
        <v>6144.4460140352203</v>
      </c>
      <c r="AF37" s="208">
        <f t="shared" si="6"/>
        <v>27758.949387543878</v>
      </c>
      <c r="AG37" s="208">
        <f t="shared" si="6"/>
        <v>7609.3559404068219</v>
      </c>
      <c r="AH37" s="208">
        <f t="shared" si="6"/>
        <v>100578.86158458382</v>
      </c>
      <c r="AI37" s="208">
        <f t="shared" si="6"/>
        <v>168461.54334145752</v>
      </c>
      <c r="AJ37" s="208">
        <f t="shared" si="6"/>
        <v>147309.64712870243</v>
      </c>
      <c r="AK37" s="208">
        <f t="shared" si="6"/>
        <v>85760.613746649615</v>
      </c>
      <c r="AL37" s="208">
        <f t="shared" si="6"/>
        <v>135733.13089088738</v>
      </c>
      <c r="AM37" s="208">
        <f t="shared" si="6"/>
        <v>323067.55230749358</v>
      </c>
      <c r="AN37" s="690">
        <f t="shared" si="4"/>
        <v>55110.656634379258</v>
      </c>
      <c r="AO37" s="690">
        <f t="shared" si="5"/>
        <v>56881.024059593175</v>
      </c>
    </row>
    <row r="38" spans="2:41" x14ac:dyDescent="0.25">
      <c r="B38" s="784" t="s">
        <v>4</v>
      </c>
      <c r="C38" s="785"/>
      <c r="E38" s="9"/>
      <c r="F38" s="691">
        <v>11072.123742446514</v>
      </c>
      <c r="G38" s="691">
        <v>12227.224398589187</v>
      </c>
      <c r="H38" s="691">
        <v>11276.208156223351</v>
      </c>
      <c r="I38" s="691">
        <v>12233.793665509205</v>
      </c>
      <c r="J38" s="691">
        <v>9761.8662832616483</v>
      </c>
      <c r="K38" s="691">
        <v>9880.0014962481182</v>
      </c>
      <c r="L38" s="147">
        <v>957</v>
      </c>
      <c r="M38" s="147">
        <v>957</v>
      </c>
      <c r="N38" s="147">
        <v>1571.9933333333338</v>
      </c>
      <c r="O38" s="147">
        <v>594.57250000000022</v>
      </c>
      <c r="P38" s="147">
        <v>2644.5524876996878</v>
      </c>
      <c r="Q38" s="147">
        <v>11691.09</v>
      </c>
      <c r="R38" s="147">
        <v>11465.460000000001</v>
      </c>
      <c r="S38" s="147">
        <v>11523.82</v>
      </c>
      <c r="T38" s="147">
        <v>8608.9699999999993</v>
      </c>
      <c r="U38" s="147">
        <v>10438.36</v>
      </c>
      <c r="V38" s="147">
        <v>9746.19</v>
      </c>
      <c r="W38" s="147">
        <v>12944.45</v>
      </c>
      <c r="X38" s="147">
        <v>-618</v>
      </c>
      <c r="Y38" s="147">
        <v>1577.5</v>
      </c>
      <c r="Z38" s="147">
        <v>2418</v>
      </c>
      <c r="AA38" s="147">
        <f>+AA16-AA37</f>
        <v>25509.620000000003</v>
      </c>
      <c r="AB38" s="147">
        <f t="shared" ref="AB38:AM38" si="7">+AB16-AB37</f>
        <v>11230.728499999997</v>
      </c>
      <c r="AC38" s="147">
        <f t="shared" si="7"/>
        <v>2267.1000000000004</v>
      </c>
      <c r="AD38" s="147">
        <f t="shared" si="7"/>
        <v>2677.5524876996878</v>
      </c>
      <c r="AE38" s="147">
        <f t="shared" si="7"/>
        <v>1231.3627160159067</v>
      </c>
      <c r="AF38" s="147">
        <f t="shared" si="7"/>
        <v>10992.751336310139</v>
      </c>
      <c r="AG38" s="147">
        <f t="shared" si="7"/>
        <v>1892.9349408288872</v>
      </c>
      <c r="AH38" s="147">
        <f t="shared" si="7"/>
        <v>46357.999035684275</v>
      </c>
      <c r="AI38" s="147">
        <f t="shared" si="7"/>
        <v>74890.394530842896</v>
      </c>
      <c r="AJ38" s="147">
        <f t="shared" si="7"/>
        <v>78132.822152358072</v>
      </c>
      <c r="AK38" s="147">
        <f t="shared" si="7"/>
        <v>36969.818707653758</v>
      </c>
      <c r="AL38" s="147">
        <f t="shared" si="7"/>
        <v>118212.77993729533</v>
      </c>
      <c r="AM38" s="147">
        <f t="shared" si="7"/>
        <v>250416.57460332121</v>
      </c>
      <c r="AN38" s="657">
        <f t="shared" si="4"/>
        <v>22865.067512300317</v>
      </c>
      <c r="AO38" s="657">
        <f t="shared" si="5"/>
        <v>23616.685059171115</v>
      </c>
    </row>
    <row r="39" spans="2:41" x14ac:dyDescent="0.25">
      <c r="B39" s="788" t="s">
        <v>532</v>
      </c>
      <c r="C39" s="789"/>
      <c r="D39" s="692"/>
      <c r="E39" s="693"/>
      <c r="F39" s="694">
        <v>0.97496871002230845</v>
      </c>
      <c r="G39" s="694">
        <v>0.95767653530249897</v>
      </c>
      <c r="H39" s="694">
        <v>0.95242706800580723</v>
      </c>
      <c r="I39" s="694">
        <v>0.94967364656435971</v>
      </c>
      <c r="J39" s="694">
        <v>0.94801789014616766</v>
      </c>
      <c r="K39" s="694">
        <v>0.94916060432624971</v>
      </c>
      <c r="L39" s="695">
        <v>0.14499999999999999</v>
      </c>
      <c r="M39" s="695">
        <v>0.14499999999999999</v>
      </c>
      <c r="N39" s="695">
        <v>0.14500000000000005</v>
      </c>
      <c r="O39" s="695">
        <v>0.14500000000000005</v>
      </c>
      <c r="P39" s="695">
        <v>0.21993444927242012</v>
      </c>
      <c r="Q39" s="695">
        <v>0.95619184867241591</v>
      </c>
      <c r="R39" s="695">
        <v>0.93732402886825839</v>
      </c>
      <c r="S39" s="695">
        <v>0.95450460486917599</v>
      </c>
      <c r="T39" s="695">
        <v>0.95106037691242895</v>
      </c>
      <c r="U39" s="695">
        <v>0.9419168311971442</v>
      </c>
      <c r="V39" s="695">
        <v>0.9444733011731552</v>
      </c>
      <c r="W39" s="695">
        <v>0.63224277200293444</v>
      </c>
      <c r="X39" s="695">
        <v>0</v>
      </c>
      <c r="Y39" s="695">
        <v>0.1341240488032989</v>
      </c>
      <c r="Z39" s="695">
        <v>0.58968418485550544</v>
      </c>
      <c r="AA39" s="695">
        <f>+IFERROR(AA38/AA16,0)</f>
        <v>0.28344022222222226</v>
      </c>
      <c r="AB39" s="695">
        <f t="shared" ref="AB39:AM39" si="8">+AB38/AB16</f>
        <v>0.14499999999999996</v>
      </c>
      <c r="AC39" s="695">
        <f t="shared" si="8"/>
        <v>0.15000000000000002</v>
      </c>
      <c r="AD39" s="695">
        <f t="shared" si="8"/>
        <v>0.22267889728763154</v>
      </c>
      <c r="AE39" s="695">
        <f t="shared" si="8"/>
        <v>0.16694612903924519</v>
      </c>
      <c r="AF39" s="695">
        <f t="shared" si="8"/>
        <v>0.28367145521289172</v>
      </c>
      <c r="AG39" s="695">
        <f t="shared" si="8"/>
        <v>0.19920827140399261</v>
      </c>
      <c r="AH39" s="695">
        <f t="shared" si="8"/>
        <v>0.3154960493915015</v>
      </c>
      <c r="AI39" s="695">
        <f t="shared" si="8"/>
        <v>0.30774521536845878</v>
      </c>
      <c r="AJ39" s="695">
        <f t="shared" si="8"/>
        <v>0.34657543630321669</v>
      </c>
      <c r="AK39" s="695">
        <f t="shared" si="8"/>
        <v>0.30122780445199565</v>
      </c>
      <c r="AL39" s="695">
        <f t="shared" si="8"/>
        <v>0.46550377421622247</v>
      </c>
      <c r="AM39" s="695">
        <f t="shared" si="8"/>
        <v>0.436658248855534</v>
      </c>
      <c r="AN39" s="696">
        <f t="shared" si="4"/>
        <v>6.3505772949802142E-2</v>
      </c>
      <c r="AO39" s="696">
        <f t="shared" si="5"/>
        <v>8.4231950818229651E-2</v>
      </c>
    </row>
    <row r="40" spans="2:41" ht="4.9000000000000004" customHeight="1" x14ac:dyDescent="0.25">
      <c r="B40" s="780"/>
      <c r="C40" s="781"/>
      <c r="E40" s="685"/>
      <c r="F40" s="686"/>
      <c r="G40" s="686"/>
      <c r="H40" s="686"/>
      <c r="I40" s="686"/>
      <c r="J40" s="686"/>
      <c r="K40" s="686"/>
      <c r="L40" s="687"/>
      <c r="M40" s="687"/>
      <c r="N40" s="687"/>
      <c r="O40" s="687"/>
      <c r="P40" s="687"/>
      <c r="Q40" s="687"/>
      <c r="R40" s="687"/>
      <c r="S40" s="687"/>
      <c r="T40" s="687"/>
      <c r="U40" s="687"/>
      <c r="V40" s="687"/>
      <c r="W40" s="687"/>
      <c r="X40" s="687"/>
      <c r="Y40" s="687"/>
      <c r="Z40" s="687"/>
      <c r="AA40" s="687"/>
      <c r="AB40" s="687"/>
      <c r="AC40" s="687"/>
      <c r="AD40" s="687"/>
      <c r="AE40" s="687"/>
      <c r="AF40" s="687"/>
      <c r="AG40" s="687"/>
      <c r="AH40" s="687"/>
      <c r="AI40" s="687"/>
      <c r="AJ40" s="687"/>
      <c r="AK40" s="687"/>
      <c r="AL40" s="687"/>
      <c r="AM40" s="687"/>
      <c r="AN40" s="657"/>
      <c r="AO40" s="657"/>
    </row>
    <row r="41" spans="2:41" x14ac:dyDescent="0.25">
      <c r="B41" s="780" t="s">
        <v>5</v>
      </c>
      <c r="C41" s="781"/>
      <c r="E41" s="685"/>
      <c r="F41" s="686"/>
      <c r="G41" s="686"/>
      <c r="H41" s="686"/>
      <c r="I41" s="686"/>
      <c r="J41" s="686"/>
      <c r="K41" s="686"/>
      <c r="L41" s="687"/>
      <c r="M41" s="687"/>
      <c r="N41" s="687"/>
      <c r="O41" s="687"/>
      <c r="P41" s="687"/>
      <c r="Q41" s="687"/>
      <c r="R41" s="687"/>
      <c r="S41" s="687"/>
      <c r="T41" s="687"/>
      <c r="U41" s="687"/>
      <c r="V41" s="687"/>
      <c r="W41" s="687"/>
      <c r="X41" s="687"/>
      <c r="Y41" s="687"/>
      <c r="Z41" s="687"/>
      <c r="AA41" s="687"/>
      <c r="AB41" s="687"/>
      <c r="AC41" s="687"/>
      <c r="AD41" s="687"/>
      <c r="AE41" s="687"/>
      <c r="AF41" s="687"/>
      <c r="AG41" s="687"/>
      <c r="AH41" s="687"/>
      <c r="AI41" s="687"/>
      <c r="AJ41" s="687"/>
      <c r="AK41" s="687"/>
      <c r="AL41" s="687"/>
      <c r="AM41" s="687"/>
      <c r="AN41" s="657"/>
      <c r="AO41" s="657"/>
    </row>
    <row r="42" spans="2:41" x14ac:dyDescent="0.25">
      <c r="B42" s="780" t="s">
        <v>375</v>
      </c>
      <c r="C42" s="781"/>
      <c r="E42" s="685"/>
      <c r="F42" s="686"/>
      <c r="G42" s="686"/>
      <c r="H42" s="686"/>
      <c r="I42" s="686">
        <v>50</v>
      </c>
      <c r="J42" s="686">
        <v>50</v>
      </c>
      <c r="K42" s="686">
        <v>50</v>
      </c>
      <c r="L42" s="687">
        <v>600</v>
      </c>
      <c r="M42" s="687">
        <v>600</v>
      </c>
      <c r="N42" s="687">
        <v>620.13</v>
      </c>
      <c r="O42" s="687">
        <v>620.13</v>
      </c>
      <c r="P42" s="687">
        <v>620.13</v>
      </c>
      <c r="Q42" s="687"/>
      <c r="R42" s="687"/>
      <c r="S42" s="687"/>
      <c r="T42" s="687">
        <v>63</v>
      </c>
      <c r="U42" s="687">
        <v>11.73</v>
      </c>
      <c r="V42" s="687">
        <v>0</v>
      </c>
      <c r="W42" s="687">
        <v>500</v>
      </c>
      <c r="X42" s="687">
        <v>160.38999999999999</v>
      </c>
      <c r="Y42" s="687">
        <v>0</v>
      </c>
      <c r="Z42" s="687">
        <v>0</v>
      </c>
      <c r="AA42" s="687">
        <f>+SUMIF('Monthly Detail'!$3:$3, $B$14,'Monthly Detail'!42:42)</f>
        <v>0</v>
      </c>
      <c r="AB42" s="687">
        <v>1312.6666</v>
      </c>
      <c r="AC42" s="687">
        <v>1312.6666</v>
      </c>
      <c r="AD42" s="687">
        <v>1312.6666</v>
      </c>
      <c r="AE42" s="687">
        <v>1319.7432659999999</v>
      </c>
      <c r="AF42" s="687">
        <v>1319.7432659999999</v>
      </c>
      <c r="AG42" s="687">
        <v>1319.7432659999999</v>
      </c>
      <c r="AH42" s="687">
        <v>1326.89069866</v>
      </c>
      <c r="AI42" s="687">
        <v>1326.89069866</v>
      </c>
      <c r="AJ42" s="687">
        <v>1326.89069866</v>
      </c>
      <c r="AK42" s="687">
        <v>1334.1096056466001</v>
      </c>
      <c r="AL42" s="687">
        <v>1334.1096056466001</v>
      </c>
      <c r="AM42" s="687">
        <v>1334.1096056466001</v>
      </c>
      <c r="AN42" s="657">
        <f t="shared" ref="AN42:AN63" si="9">+AA42-P42</f>
        <v>-620.13</v>
      </c>
      <c r="AO42" s="657">
        <f t="shared" ref="AO42:AO63" si="10">+AA42-AG42</f>
        <v>-1319.7432659999999</v>
      </c>
    </row>
    <row r="43" spans="2:41" x14ac:dyDescent="0.25">
      <c r="B43" s="780" t="s">
        <v>542</v>
      </c>
      <c r="C43" s="781"/>
      <c r="E43" s="685"/>
      <c r="F43" s="686"/>
      <c r="G43" s="686"/>
      <c r="H43" s="686"/>
      <c r="I43" s="686"/>
      <c r="J43" s="686"/>
      <c r="K43" s="686"/>
      <c r="L43" s="687">
        <v>3324</v>
      </c>
      <c r="M43" s="687">
        <v>3324</v>
      </c>
      <c r="N43" s="687">
        <v>3324</v>
      </c>
      <c r="O43" s="687">
        <v>3324</v>
      </c>
      <c r="P43" s="687">
        <v>3324</v>
      </c>
      <c r="Q43" s="687"/>
      <c r="R43" s="687"/>
      <c r="S43" s="687"/>
      <c r="T43" s="687"/>
      <c r="U43" s="687"/>
      <c r="V43" s="687"/>
      <c r="W43" s="687">
        <v>3324</v>
      </c>
      <c r="X43" s="687">
        <v>3324</v>
      </c>
      <c r="Y43" s="687">
        <v>3324</v>
      </c>
      <c r="Z43" s="687">
        <v>3324</v>
      </c>
      <c r="AA43" s="687">
        <f>+SUMIF('Monthly Detail'!$3:$3, $B$14,'Monthly Detail'!48:48)</f>
        <v>3139.5</v>
      </c>
      <c r="AB43" s="687">
        <v>3364.5</v>
      </c>
      <c r="AC43" s="687">
        <v>3364.5</v>
      </c>
      <c r="AD43" s="687">
        <v>3364.5</v>
      </c>
      <c r="AE43" s="687">
        <v>3364.5</v>
      </c>
      <c r="AF43" s="687">
        <v>3364.5</v>
      </c>
      <c r="AG43" s="687">
        <v>3364.5</v>
      </c>
      <c r="AH43" s="687">
        <v>3364.5</v>
      </c>
      <c r="AI43" s="687">
        <v>3364.5</v>
      </c>
      <c r="AJ43" s="687">
        <v>3364.5</v>
      </c>
      <c r="AK43" s="687">
        <v>3364.5</v>
      </c>
      <c r="AL43" s="687">
        <v>3364.5</v>
      </c>
      <c r="AM43" s="687">
        <v>3364.5</v>
      </c>
      <c r="AN43" s="657">
        <f t="shared" si="9"/>
        <v>-184.5</v>
      </c>
      <c r="AO43" s="657">
        <f t="shared" si="10"/>
        <v>-225</v>
      </c>
    </row>
    <row r="44" spans="2:41" ht="14.45" customHeight="1" x14ac:dyDescent="0.25">
      <c r="B44" s="780" t="s">
        <v>533</v>
      </c>
      <c r="C44" s="781"/>
      <c r="E44" s="685"/>
      <c r="F44" s="686">
        <v>55</v>
      </c>
      <c r="G44" s="686">
        <v>55</v>
      </c>
      <c r="H44" s="686">
        <v>56.663333333333334</v>
      </c>
      <c r="I44" s="686">
        <v>59.993333333333339</v>
      </c>
      <c r="J44" s="686">
        <v>63.323333333333323</v>
      </c>
      <c r="K44" s="686">
        <v>64.993333333333325</v>
      </c>
      <c r="L44" s="687">
        <v>417.28666666666669</v>
      </c>
      <c r="M44" s="687">
        <v>942.22833333333347</v>
      </c>
      <c r="N44" s="687">
        <v>522.93083333333334</v>
      </c>
      <c r="O44" s="687">
        <v>742.40099999999995</v>
      </c>
      <c r="P44" s="687">
        <v>819.95233333333329</v>
      </c>
      <c r="Q44" s="687">
        <v>55</v>
      </c>
      <c r="R44" s="687">
        <v>59.99</v>
      </c>
      <c r="S44" s="687">
        <v>64.989999999999995</v>
      </c>
      <c r="T44" s="687">
        <v>64.989999999999995</v>
      </c>
      <c r="U44" s="687">
        <v>65</v>
      </c>
      <c r="V44" s="687">
        <v>34.49</v>
      </c>
      <c r="W44" s="687">
        <v>1171.3599999999999</v>
      </c>
      <c r="X44" s="687">
        <v>659.9</v>
      </c>
      <c r="Y44" s="687">
        <v>1598.45</v>
      </c>
      <c r="Z44" s="687">
        <v>792.15</v>
      </c>
      <c r="AA44" s="687">
        <f>+SUMIF('Monthly Detail'!$3:$3, $B$14,'Monthly Detail'!57:57)</f>
        <v>968.61</v>
      </c>
      <c r="AB44" s="687">
        <v>486.24333333333334</v>
      </c>
      <c r="AC44" s="687">
        <v>486.24333333333334</v>
      </c>
      <c r="AD44" s="687">
        <v>486.24333333333334</v>
      </c>
      <c r="AE44" s="687">
        <v>486.24333333333334</v>
      </c>
      <c r="AF44" s="687">
        <v>486.24333333333334</v>
      </c>
      <c r="AG44" s="687">
        <v>486.24333333333334</v>
      </c>
      <c r="AH44" s="687">
        <v>486.24333333333334</v>
      </c>
      <c r="AI44" s="687">
        <v>486.24333333333334</v>
      </c>
      <c r="AJ44" s="687">
        <v>486.24333333333334</v>
      </c>
      <c r="AK44" s="687">
        <v>486.24333333333334</v>
      </c>
      <c r="AL44" s="687">
        <v>486.24333333333334</v>
      </c>
      <c r="AM44" s="687">
        <v>486.24333333333334</v>
      </c>
      <c r="AN44" s="657">
        <f t="shared" si="9"/>
        <v>148.65766666666673</v>
      </c>
      <c r="AO44" s="657">
        <f t="shared" si="10"/>
        <v>482.36666666666667</v>
      </c>
    </row>
    <row r="45" spans="2:41" x14ac:dyDescent="0.25">
      <c r="B45" s="780" t="s">
        <v>543</v>
      </c>
      <c r="C45" s="781"/>
      <c r="E45" s="685"/>
      <c r="F45" s="686">
        <v>300</v>
      </c>
      <c r="G45" s="686">
        <v>300</v>
      </c>
      <c r="H45" s="686">
        <v>0</v>
      </c>
      <c r="I45" s="686">
        <v>1800</v>
      </c>
      <c r="J45" s="686">
        <v>100</v>
      </c>
      <c r="K45" s="686">
        <v>100</v>
      </c>
      <c r="L45" s="687">
        <v>400</v>
      </c>
      <c r="M45" s="687">
        <v>400</v>
      </c>
      <c r="N45" s="687">
        <v>400</v>
      </c>
      <c r="O45" s="687">
        <v>400</v>
      </c>
      <c r="P45" s="687">
        <v>400</v>
      </c>
      <c r="Q45" s="687">
        <v>0</v>
      </c>
      <c r="R45" s="687">
        <v>374.22</v>
      </c>
      <c r="S45" s="687">
        <v>152</v>
      </c>
      <c r="T45" s="687">
        <v>422.45</v>
      </c>
      <c r="U45" s="687">
        <v>0</v>
      </c>
      <c r="V45" s="687">
        <v>0</v>
      </c>
      <c r="W45" s="687">
        <v>755</v>
      </c>
      <c r="X45" s="687">
        <v>1942</v>
      </c>
      <c r="Y45" s="687">
        <v>355.58</v>
      </c>
      <c r="Z45" s="687">
        <v>276.25</v>
      </c>
      <c r="AA45" s="687">
        <f>+SUMIF('Monthly Detail'!$3:$3, $B$14,'Monthly Detail'!61:61)</f>
        <v>212.5</v>
      </c>
      <c r="AB45" s="687">
        <v>300</v>
      </c>
      <c r="AC45" s="687">
        <v>300</v>
      </c>
      <c r="AD45" s="687">
        <v>300</v>
      </c>
      <c r="AE45" s="687">
        <v>300</v>
      </c>
      <c r="AF45" s="687">
        <v>740</v>
      </c>
      <c r="AG45" s="687">
        <v>300</v>
      </c>
      <c r="AH45" s="687">
        <v>300</v>
      </c>
      <c r="AI45" s="687">
        <v>300</v>
      </c>
      <c r="AJ45" s="687">
        <v>300</v>
      </c>
      <c r="AK45" s="687">
        <v>300</v>
      </c>
      <c r="AL45" s="687">
        <v>1675</v>
      </c>
      <c r="AM45" s="687">
        <v>410</v>
      </c>
      <c r="AN45" s="657">
        <f t="shared" si="9"/>
        <v>-187.5</v>
      </c>
      <c r="AO45" s="657">
        <f t="shared" si="10"/>
        <v>-87.5</v>
      </c>
    </row>
    <row r="46" spans="2:41" x14ac:dyDescent="0.25">
      <c r="B46" s="780" t="s">
        <v>544</v>
      </c>
      <c r="C46" s="781"/>
      <c r="E46" s="685"/>
      <c r="F46" s="686">
        <v>478.09999999999997</v>
      </c>
      <c r="G46" s="686">
        <v>405.49666666666667</v>
      </c>
      <c r="H46" s="686">
        <v>396.57666666666665</v>
      </c>
      <c r="I46" s="686">
        <v>501.96333333333331</v>
      </c>
      <c r="J46" s="686">
        <v>428.85</v>
      </c>
      <c r="K46" s="686">
        <v>437.59000000000003</v>
      </c>
      <c r="L46" s="687">
        <v>1159.24</v>
      </c>
      <c r="M46" s="687">
        <v>2651</v>
      </c>
      <c r="N46" s="687">
        <v>2752.0083333333332</v>
      </c>
      <c r="O46" s="687">
        <v>1462.7</v>
      </c>
      <c r="P46" s="687">
        <v>1325.9733333333334</v>
      </c>
      <c r="Q46" s="687">
        <v>384.06</v>
      </c>
      <c r="R46" s="687">
        <v>299.25</v>
      </c>
      <c r="S46" s="687">
        <v>522.58000000000004</v>
      </c>
      <c r="T46" s="687">
        <v>164.72</v>
      </c>
      <c r="U46" s="687">
        <v>325.47000000000003</v>
      </c>
      <c r="V46" s="687">
        <v>225.69</v>
      </c>
      <c r="W46" s="687">
        <v>5909.8200000000006</v>
      </c>
      <c r="X46" s="687">
        <v>1256.2199999999998</v>
      </c>
      <c r="Y46" s="687">
        <v>2323.67</v>
      </c>
      <c r="Z46" s="687">
        <v>491.8</v>
      </c>
      <c r="AA46" s="687">
        <f>+SUMIF('Monthly Detail'!$3:$3, $B$14,'Monthly Detail'!68:68)</f>
        <v>0</v>
      </c>
      <c r="AB46" s="687">
        <v>1439.6966666666667</v>
      </c>
      <c r="AC46" s="687">
        <v>1439.6966666666667</v>
      </c>
      <c r="AD46" s="687">
        <v>1439.6966666666667</v>
      </c>
      <c r="AE46" s="687">
        <v>1439.6966666666667</v>
      </c>
      <c r="AF46" s="687">
        <v>1439.6966666666667</v>
      </c>
      <c r="AG46" s="687">
        <v>1439.6966666666667</v>
      </c>
      <c r="AH46" s="687">
        <v>1439.6966666666667</v>
      </c>
      <c r="AI46" s="687">
        <v>1439.6966666666667</v>
      </c>
      <c r="AJ46" s="687">
        <v>1439.6966666666667</v>
      </c>
      <c r="AK46" s="687">
        <v>1439.6966666666667</v>
      </c>
      <c r="AL46" s="687">
        <v>1439.6966666666667</v>
      </c>
      <c r="AM46" s="687">
        <v>1439.6966666666667</v>
      </c>
      <c r="AN46" s="657">
        <f t="shared" si="9"/>
        <v>-1325.9733333333334</v>
      </c>
      <c r="AO46" s="657">
        <f t="shared" si="10"/>
        <v>-1439.6966666666667</v>
      </c>
    </row>
    <row r="47" spans="2:41" x14ac:dyDescent="0.25">
      <c r="B47" s="780" t="s">
        <v>545</v>
      </c>
      <c r="C47" s="781"/>
      <c r="E47" s="685"/>
      <c r="F47" s="686">
        <v>115.51333333333334</v>
      </c>
      <c r="G47" s="686">
        <v>0</v>
      </c>
      <c r="H47" s="686">
        <v>0</v>
      </c>
      <c r="I47" s="686">
        <v>0</v>
      </c>
      <c r="J47" s="686">
        <v>50</v>
      </c>
      <c r="K47" s="686">
        <v>50</v>
      </c>
      <c r="L47" s="687">
        <v>0</v>
      </c>
      <c r="M47" s="687">
        <v>0</v>
      </c>
      <c r="N47" s="687">
        <v>0</v>
      </c>
      <c r="O47" s="687">
        <v>2450</v>
      </c>
      <c r="P47" s="687">
        <v>1250</v>
      </c>
      <c r="Q47" s="687">
        <v>0</v>
      </c>
      <c r="R47" s="687">
        <v>0</v>
      </c>
      <c r="S47" s="687">
        <v>0</v>
      </c>
      <c r="T47" s="687">
        <v>111.85</v>
      </c>
      <c r="U47" s="687">
        <v>0</v>
      </c>
      <c r="V47" s="687">
        <v>0</v>
      </c>
      <c r="W47" s="687">
        <v>0</v>
      </c>
      <c r="X47" s="687">
        <v>0</v>
      </c>
      <c r="Y47" s="687">
        <v>0</v>
      </c>
      <c r="Z47" s="687">
        <v>1498</v>
      </c>
      <c r="AA47" s="687">
        <f>+SUMIF('Monthly Detail'!$3:$3, $B$14,'Monthly Detail'!69:69)</f>
        <v>1430.83</v>
      </c>
      <c r="AB47" s="687"/>
      <c r="AC47" s="687">
        <v>0</v>
      </c>
      <c r="AD47" s="687"/>
      <c r="AE47" s="687"/>
      <c r="AF47" s="687">
        <v>0</v>
      </c>
      <c r="AG47" s="687"/>
      <c r="AH47" s="687"/>
      <c r="AI47" s="687"/>
      <c r="AJ47" s="687"/>
      <c r="AK47" s="687"/>
      <c r="AL47" s="687"/>
      <c r="AM47" s="687"/>
      <c r="AN47" s="657">
        <f t="shared" si="9"/>
        <v>180.82999999999993</v>
      </c>
      <c r="AO47" s="657">
        <f t="shared" si="10"/>
        <v>1430.83</v>
      </c>
    </row>
    <row r="48" spans="2:41" x14ac:dyDescent="0.25">
      <c r="B48" s="780" t="s">
        <v>534</v>
      </c>
      <c r="C48" s="781"/>
      <c r="E48" s="685"/>
      <c r="F48" s="686">
        <v>308.83</v>
      </c>
      <c r="G48" s="686">
        <v>308.83</v>
      </c>
      <c r="H48" s="686">
        <v>327.08</v>
      </c>
      <c r="I48" s="686">
        <v>350</v>
      </c>
      <c r="J48" s="686">
        <v>300</v>
      </c>
      <c r="K48" s="686">
        <v>300</v>
      </c>
      <c r="L48" s="687">
        <v>230.73</v>
      </c>
      <c r="M48" s="687">
        <v>230.73</v>
      </c>
      <c r="N48" s="687">
        <v>230.73</v>
      </c>
      <c r="O48" s="687">
        <v>233.53666666666666</v>
      </c>
      <c r="P48" s="687">
        <v>236.34333333333333</v>
      </c>
      <c r="Q48" s="687">
        <v>308.83</v>
      </c>
      <c r="R48" s="687">
        <v>327.08</v>
      </c>
      <c r="S48" s="687">
        <v>270</v>
      </c>
      <c r="T48" s="687">
        <v>242.42</v>
      </c>
      <c r="U48" s="687">
        <v>240.83</v>
      </c>
      <c r="V48" s="687">
        <v>298.92</v>
      </c>
      <c r="W48" s="687">
        <v>230.73</v>
      </c>
      <c r="X48" s="687">
        <v>230.73</v>
      </c>
      <c r="Y48" s="687">
        <v>239.15</v>
      </c>
      <c r="Z48" s="687">
        <v>239.15</v>
      </c>
      <c r="AA48" s="687">
        <f>+SUMIF('Monthly Detail'!$3:$3, $B$14,'Monthly Detail'!70:70)</f>
        <v>239.15</v>
      </c>
      <c r="AB48" s="687">
        <v>230.73</v>
      </c>
      <c r="AC48" s="687">
        <v>230.73</v>
      </c>
      <c r="AD48" s="687">
        <v>230.73</v>
      </c>
      <c r="AE48" s="687">
        <v>230.73</v>
      </c>
      <c r="AF48" s="687">
        <v>230.73</v>
      </c>
      <c r="AG48" s="687">
        <v>230.73</v>
      </c>
      <c r="AH48" s="687">
        <v>230.73</v>
      </c>
      <c r="AI48" s="687">
        <v>230.73</v>
      </c>
      <c r="AJ48" s="687">
        <v>230.73</v>
      </c>
      <c r="AK48" s="687">
        <v>230.73</v>
      </c>
      <c r="AL48" s="687">
        <v>230.73</v>
      </c>
      <c r="AM48" s="687">
        <v>230.73</v>
      </c>
      <c r="AN48" s="657">
        <f t="shared" si="9"/>
        <v>2.806666666666672</v>
      </c>
      <c r="AO48" s="657">
        <f t="shared" si="10"/>
        <v>8.4200000000000159</v>
      </c>
    </row>
    <row r="49" spans="2:41" ht="14.45" customHeight="1" x14ac:dyDescent="0.25">
      <c r="B49" s="780" t="s">
        <v>546</v>
      </c>
      <c r="C49" s="781"/>
      <c r="E49" s="685"/>
      <c r="F49" s="686">
        <v>0</v>
      </c>
      <c r="G49" s="686">
        <v>0.25</v>
      </c>
      <c r="H49" s="686">
        <v>1.0233333333333332</v>
      </c>
      <c r="I49" s="686">
        <v>0.25</v>
      </c>
      <c r="J49" s="686">
        <v>0.38500000000000001</v>
      </c>
      <c r="K49" s="686">
        <v>0.88500000000000001</v>
      </c>
      <c r="L49" s="687">
        <v>27.09</v>
      </c>
      <c r="M49" s="687">
        <v>194.7833333333333</v>
      </c>
      <c r="N49" s="687">
        <v>656.06666666666661</v>
      </c>
      <c r="O49" s="687">
        <v>686.56666666666661</v>
      </c>
      <c r="P49" s="687">
        <v>509.84333333333331</v>
      </c>
      <c r="Q49" s="687">
        <v>0.25</v>
      </c>
      <c r="R49" s="687">
        <v>0.52</v>
      </c>
      <c r="S49" s="687">
        <v>0</v>
      </c>
      <c r="T49" s="687">
        <v>0.52</v>
      </c>
      <c r="U49" s="687">
        <v>1.25</v>
      </c>
      <c r="V49" s="687">
        <v>0.27</v>
      </c>
      <c r="W49" s="687">
        <v>530.16999999999996</v>
      </c>
      <c r="X49" s="687">
        <v>1438.03</v>
      </c>
      <c r="Y49" s="687">
        <v>91.5</v>
      </c>
      <c r="Z49" s="687">
        <v>0</v>
      </c>
      <c r="AA49" s="687">
        <f>+SUMIF('Monthly Detail'!$3:$3, $B$14,'Monthly Detail'!71:71)</f>
        <v>48.34</v>
      </c>
      <c r="AB49" s="687">
        <v>163.29</v>
      </c>
      <c r="AC49" s="687">
        <v>163.29</v>
      </c>
      <c r="AD49" s="687">
        <v>163.29</v>
      </c>
      <c r="AE49" s="687">
        <v>163.29</v>
      </c>
      <c r="AF49" s="687">
        <v>163.29</v>
      </c>
      <c r="AG49" s="687">
        <v>163.29</v>
      </c>
      <c r="AH49" s="687">
        <v>163.29</v>
      </c>
      <c r="AI49" s="687">
        <v>163.29</v>
      </c>
      <c r="AJ49" s="687">
        <v>163.29</v>
      </c>
      <c r="AK49" s="687">
        <v>163.29</v>
      </c>
      <c r="AL49" s="687">
        <v>163.29</v>
      </c>
      <c r="AM49" s="687">
        <v>163.29</v>
      </c>
      <c r="AN49" s="657">
        <f t="shared" si="9"/>
        <v>-461.50333333333333</v>
      </c>
      <c r="AO49" s="657">
        <f t="shared" si="10"/>
        <v>-114.94999999999999</v>
      </c>
    </row>
    <row r="50" spans="2:41" ht="14.45" customHeight="1" x14ac:dyDescent="0.25">
      <c r="B50" s="780" t="s">
        <v>547</v>
      </c>
      <c r="C50" s="781"/>
      <c r="E50" s="685"/>
      <c r="F50" s="686"/>
      <c r="G50" s="686"/>
      <c r="H50" s="686"/>
      <c r="I50" s="686">
        <v>0</v>
      </c>
      <c r="J50" s="686">
        <v>0</v>
      </c>
      <c r="K50" s="686">
        <v>0</v>
      </c>
      <c r="L50" s="687">
        <v>71.95</v>
      </c>
      <c r="M50" s="687">
        <v>47.966666666666669</v>
      </c>
      <c r="N50" s="687">
        <v>71.95</v>
      </c>
      <c r="O50" s="687">
        <v>71.95</v>
      </c>
      <c r="P50" s="687">
        <v>71.95</v>
      </c>
      <c r="Q50" s="687"/>
      <c r="R50" s="687"/>
      <c r="S50" s="687"/>
      <c r="T50" s="687">
        <v>0</v>
      </c>
      <c r="U50" s="687">
        <v>200</v>
      </c>
      <c r="V50" s="687">
        <v>0</v>
      </c>
      <c r="W50" s="687">
        <v>0</v>
      </c>
      <c r="X50" s="687">
        <v>71.95</v>
      </c>
      <c r="Y50" s="687">
        <v>71.95</v>
      </c>
      <c r="Z50" s="687">
        <v>71.95</v>
      </c>
      <c r="AA50" s="687">
        <f>+SUMIF('Monthly Detail'!$3:$3, $B$14,'Monthly Detail'!72:72)</f>
        <v>72.16</v>
      </c>
      <c r="AB50" s="687">
        <v>71.583333333333329</v>
      </c>
      <c r="AC50" s="687">
        <v>71.583333333333329</v>
      </c>
      <c r="AD50" s="687">
        <v>71.583333333333329</v>
      </c>
      <c r="AE50" s="687">
        <v>71.583333333333329</v>
      </c>
      <c r="AF50" s="687">
        <v>71.583333333333329</v>
      </c>
      <c r="AG50" s="687">
        <v>71.583333333333329</v>
      </c>
      <c r="AH50" s="687">
        <v>71.583333333333329</v>
      </c>
      <c r="AI50" s="687">
        <v>71.583333333333329</v>
      </c>
      <c r="AJ50" s="687">
        <v>71.583333333333329</v>
      </c>
      <c r="AK50" s="687">
        <v>71.583333333333329</v>
      </c>
      <c r="AL50" s="687">
        <v>71.583333333333329</v>
      </c>
      <c r="AM50" s="687">
        <v>71.583333333333329</v>
      </c>
      <c r="AN50" s="657">
        <f t="shared" si="9"/>
        <v>0.20999999999999375</v>
      </c>
      <c r="AO50" s="657">
        <f t="shared" si="10"/>
        <v>0.57666666666666799</v>
      </c>
    </row>
    <row r="51" spans="2:41" ht="14.45" customHeight="1" x14ac:dyDescent="0.25">
      <c r="B51" s="780" t="s">
        <v>548</v>
      </c>
      <c r="C51" s="781"/>
      <c r="E51" s="685"/>
      <c r="F51" s="686"/>
      <c r="G51" s="686"/>
      <c r="H51" s="686"/>
      <c r="I51" s="686">
        <v>1200</v>
      </c>
      <c r="J51" s="686">
        <v>1200</v>
      </c>
      <c r="K51" s="686">
        <v>1200</v>
      </c>
      <c r="L51" s="687">
        <v>302.01666666666671</v>
      </c>
      <c r="M51" s="687">
        <v>271.90000000000003</v>
      </c>
      <c r="N51" s="687">
        <v>217.63</v>
      </c>
      <c r="O51" s="687">
        <v>157.41999999999999</v>
      </c>
      <c r="P51" s="687">
        <v>113.86666666666667</v>
      </c>
      <c r="Q51" s="687"/>
      <c r="R51" s="687"/>
      <c r="S51" s="687"/>
      <c r="T51" s="687">
        <v>1200</v>
      </c>
      <c r="U51" s="687">
        <v>1230</v>
      </c>
      <c r="V51" s="687">
        <v>1230</v>
      </c>
      <c r="W51" s="687">
        <v>263.87</v>
      </c>
      <c r="X51" s="687">
        <v>25.65</v>
      </c>
      <c r="Y51" s="687">
        <v>182.74</v>
      </c>
      <c r="Z51" s="687">
        <v>133.21</v>
      </c>
      <c r="AA51" s="687">
        <f>+SUMIF('Monthly Detail'!$3:$3, $B$14,'Monthly Detail'!73:73)</f>
        <v>273.36</v>
      </c>
      <c r="AB51" s="687">
        <v>579.82000000000005</v>
      </c>
      <c r="AC51" s="687">
        <v>579.82000000000005</v>
      </c>
      <c r="AD51" s="687">
        <v>579.82000000000005</v>
      </c>
      <c r="AE51" s="687">
        <v>579.82000000000005</v>
      </c>
      <c r="AF51" s="687">
        <v>579.82000000000005</v>
      </c>
      <c r="AG51" s="687">
        <v>579.82000000000005</v>
      </c>
      <c r="AH51" s="687">
        <v>579.82000000000005</v>
      </c>
      <c r="AI51" s="687">
        <v>579.82000000000005</v>
      </c>
      <c r="AJ51" s="687">
        <v>579.82000000000005</v>
      </c>
      <c r="AK51" s="687">
        <v>579.82000000000005</v>
      </c>
      <c r="AL51" s="687">
        <v>579.82000000000005</v>
      </c>
      <c r="AM51" s="687">
        <v>579.82000000000005</v>
      </c>
      <c r="AN51" s="657">
        <f t="shared" si="9"/>
        <v>159.49333333333334</v>
      </c>
      <c r="AO51" s="657">
        <f t="shared" si="10"/>
        <v>-306.46000000000004</v>
      </c>
    </row>
    <row r="52" spans="2:41" x14ac:dyDescent="0.25">
      <c r="B52" s="780" t="s">
        <v>549</v>
      </c>
      <c r="C52" s="781"/>
      <c r="E52" s="685"/>
      <c r="F52" s="686">
        <v>189.5</v>
      </c>
      <c r="G52" s="686">
        <v>399.80333333333328</v>
      </c>
      <c r="H52" s="686">
        <v>426.01333333333332</v>
      </c>
      <c r="I52" s="686">
        <v>439.46999999999997</v>
      </c>
      <c r="J52" s="686">
        <v>481.79666666666662</v>
      </c>
      <c r="K52" s="686">
        <v>483.3533333333333</v>
      </c>
      <c r="L52" s="687">
        <v>0</v>
      </c>
      <c r="M52" s="687">
        <v>0</v>
      </c>
      <c r="N52" s="687">
        <v>0</v>
      </c>
      <c r="O52" s="687">
        <v>0</v>
      </c>
      <c r="P52" s="687">
        <v>0</v>
      </c>
      <c r="Q52" s="687">
        <v>423.02</v>
      </c>
      <c r="R52" s="687">
        <v>512.91</v>
      </c>
      <c r="S52" s="687">
        <v>382</v>
      </c>
      <c r="T52" s="687">
        <v>550</v>
      </c>
      <c r="U52" s="687">
        <v>518.05999999999995</v>
      </c>
      <c r="V52" s="687">
        <v>285.10000000000002</v>
      </c>
      <c r="W52" s="687">
        <v>180</v>
      </c>
      <c r="X52" s="687">
        <v>455</v>
      </c>
      <c r="Y52" s="687">
        <v>1295</v>
      </c>
      <c r="Z52" s="687">
        <v>1676.5</v>
      </c>
      <c r="AA52" s="687">
        <f>+SUMIF('Monthly Detail'!$3:$3, $B$14,'Monthly Detail'!74:74)</f>
        <v>659</v>
      </c>
      <c r="AB52" s="687">
        <v>100</v>
      </c>
      <c r="AC52" s="687">
        <v>444.2</v>
      </c>
      <c r="AD52" s="687">
        <v>0</v>
      </c>
      <c r="AE52" s="687">
        <v>2900</v>
      </c>
      <c r="AF52" s="687">
        <v>0</v>
      </c>
      <c r="AG52" s="687">
        <v>0</v>
      </c>
      <c r="AH52" s="687">
        <v>512</v>
      </c>
      <c r="AI52" s="687">
        <v>40</v>
      </c>
      <c r="AJ52" s="687">
        <v>0</v>
      </c>
      <c r="AK52" s="687">
        <v>226</v>
      </c>
      <c r="AL52" s="687">
        <v>0</v>
      </c>
      <c r="AM52" s="687">
        <v>0</v>
      </c>
      <c r="AN52" s="657">
        <f t="shared" si="9"/>
        <v>659</v>
      </c>
      <c r="AO52" s="657">
        <f t="shared" si="10"/>
        <v>659</v>
      </c>
    </row>
    <row r="53" spans="2:41" x14ac:dyDescent="0.25">
      <c r="B53" s="780" t="s">
        <v>550</v>
      </c>
      <c r="C53" s="781"/>
      <c r="E53" s="685"/>
      <c r="F53" s="686"/>
      <c r="G53" s="686"/>
      <c r="H53" s="686"/>
      <c r="I53" s="686">
        <v>0</v>
      </c>
      <c r="J53" s="686">
        <v>50</v>
      </c>
      <c r="K53" s="686">
        <v>50</v>
      </c>
      <c r="L53" s="687">
        <v>0</v>
      </c>
      <c r="M53" s="687">
        <v>0</v>
      </c>
      <c r="N53" s="687">
        <v>0</v>
      </c>
      <c r="O53" s="687">
        <v>0</v>
      </c>
      <c r="P53" s="687">
        <v>0</v>
      </c>
      <c r="Q53" s="687">
        <v>0</v>
      </c>
      <c r="R53" s="687">
        <v>0</v>
      </c>
      <c r="S53" s="687">
        <v>0</v>
      </c>
      <c r="T53" s="687">
        <v>0</v>
      </c>
      <c r="U53" s="687">
        <v>0</v>
      </c>
      <c r="V53" s="687">
        <v>0</v>
      </c>
      <c r="W53" s="687">
        <v>0</v>
      </c>
      <c r="X53" s="687">
        <v>0</v>
      </c>
      <c r="Y53" s="687">
        <v>0</v>
      </c>
      <c r="Z53" s="687">
        <v>0</v>
      </c>
      <c r="AA53" s="687">
        <f>+SUMIF('Monthly Detail'!$3:$3, $B$14,'Monthly Detail'!75:75)</f>
        <v>0</v>
      </c>
      <c r="AB53" s="687">
        <v>0</v>
      </c>
      <c r="AC53" s="687">
        <v>0</v>
      </c>
      <c r="AD53" s="687">
        <v>0</v>
      </c>
      <c r="AE53" s="687">
        <v>0</v>
      </c>
      <c r="AF53" s="687">
        <v>0</v>
      </c>
      <c r="AG53" s="687">
        <v>0</v>
      </c>
      <c r="AH53" s="687">
        <v>0</v>
      </c>
      <c r="AI53" s="687">
        <v>0</v>
      </c>
      <c r="AJ53" s="687">
        <v>0</v>
      </c>
      <c r="AK53" s="687">
        <v>0</v>
      </c>
      <c r="AL53" s="687">
        <v>0</v>
      </c>
      <c r="AM53" s="687">
        <v>0</v>
      </c>
      <c r="AN53" s="657">
        <f t="shared" si="9"/>
        <v>0</v>
      </c>
      <c r="AO53" s="657">
        <f t="shared" si="10"/>
        <v>0</v>
      </c>
    </row>
    <row r="54" spans="2:41" x14ac:dyDescent="0.25">
      <c r="B54" s="780" t="s">
        <v>551</v>
      </c>
      <c r="C54" s="781"/>
      <c r="E54" s="685"/>
      <c r="F54" s="686"/>
      <c r="G54" s="686"/>
      <c r="H54" s="686"/>
      <c r="I54" s="686"/>
      <c r="J54" s="686"/>
      <c r="K54" s="686"/>
      <c r="L54" s="687">
        <v>0</v>
      </c>
      <c r="M54" s="687">
        <v>0</v>
      </c>
      <c r="N54" s="687">
        <v>0</v>
      </c>
      <c r="O54" s="687">
        <v>0</v>
      </c>
      <c r="P54" s="687">
        <v>0</v>
      </c>
      <c r="Q54" s="687"/>
      <c r="R54" s="687"/>
      <c r="S54" s="687"/>
      <c r="T54" s="687"/>
      <c r="U54" s="687"/>
      <c r="V54" s="687"/>
      <c r="W54" s="687">
        <v>0</v>
      </c>
      <c r="X54" s="687">
        <v>0</v>
      </c>
      <c r="Y54" s="687">
        <v>0</v>
      </c>
      <c r="Z54" s="687">
        <v>0</v>
      </c>
      <c r="AA54" s="687">
        <f>+SUMIF('Monthly Detail'!$3:$3, $B$14,'Monthly Detail'!76:76)</f>
        <v>0</v>
      </c>
      <c r="AB54" s="687">
        <v>85</v>
      </c>
      <c r="AC54" s="687">
        <v>85</v>
      </c>
      <c r="AD54" s="687">
        <v>85</v>
      </c>
      <c r="AE54" s="687">
        <v>85</v>
      </c>
      <c r="AF54" s="687">
        <v>85</v>
      </c>
      <c r="AG54" s="687">
        <v>85</v>
      </c>
      <c r="AH54" s="687">
        <v>85</v>
      </c>
      <c r="AI54" s="687">
        <v>85</v>
      </c>
      <c r="AJ54" s="687">
        <v>85</v>
      </c>
      <c r="AK54" s="687">
        <v>85</v>
      </c>
      <c r="AL54" s="687">
        <v>85</v>
      </c>
      <c r="AM54" s="687">
        <v>85</v>
      </c>
      <c r="AN54" s="657">
        <f t="shared" si="9"/>
        <v>0</v>
      </c>
      <c r="AO54" s="657">
        <f t="shared" si="10"/>
        <v>-85</v>
      </c>
    </row>
    <row r="55" spans="2:41" x14ac:dyDescent="0.25">
      <c r="B55" s="784" t="s">
        <v>552</v>
      </c>
      <c r="C55" s="785"/>
      <c r="E55" s="685"/>
      <c r="F55" s="686"/>
      <c r="G55" s="686"/>
      <c r="H55" s="686"/>
      <c r="I55" s="686"/>
      <c r="J55" s="686">
        <v>0</v>
      </c>
      <c r="K55" s="686">
        <v>51.94</v>
      </c>
      <c r="L55" s="687">
        <v>0</v>
      </c>
      <c r="M55" s="687">
        <v>0</v>
      </c>
      <c r="N55" s="687">
        <v>0</v>
      </c>
      <c r="O55" s="687">
        <v>0</v>
      </c>
      <c r="P55" s="687">
        <v>0</v>
      </c>
      <c r="Q55" s="687"/>
      <c r="R55" s="687"/>
      <c r="S55" s="687"/>
      <c r="T55" s="687"/>
      <c r="U55" s="687">
        <v>51.94</v>
      </c>
      <c r="V55" s="687">
        <v>313.89999999999998</v>
      </c>
      <c r="W55" s="687">
        <v>0</v>
      </c>
      <c r="X55" s="687">
        <v>0</v>
      </c>
      <c r="Y55" s="687">
        <v>0</v>
      </c>
      <c r="Z55" s="687">
        <v>0</v>
      </c>
      <c r="AA55" s="687">
        <f>+SUMIF('Monthly Detail'!$3:$3, $B$14,'Monthly Detail'!77:77)</f>
        <v>0</v>
      </c>
      <c r="AB55" s="687">
        <v>0</v>
      </c>
      <c r="AC55" s="687">
        <v>0</v>
      </c>
      <c r="AD55" s="687">
        <v>0</v>
      </c>
      <c r="AE55" s="687">
        <v>0</v>
      </c>
      <c r="AF55" s="687">
        <v>0</v>
      </c>
      <c r="AG55" s="687">
        <v>0</v>
      </c>
      <c r="AH55" s="687">
        <v>0</v>
      </c>
      <c r="AI55" s="687">
        <v>0</v>
      </c>
      <c r="AJ55" s="687">
        <v>0</v>
      </c>
      <c r="AK55" s="687">
        <v>0</v>
      </c>
      <c r="AL55" s="687">
        <v>0</v>
      </c>
      <c r="AM55" s="687">
        <v>0</v>
      </c>
      <c r="AN55" s="657">
        <f t="shared" si="9"/>
        <v>0</v>
      </c>
      <c r="AO55" s="657">
        <f t="shared" si="10"/>
        <v>0</v>
      </c>
    </row>
    <row r="56" spans="2:41" x14ac:dyDescent="0.25">
      <c r="B56" s="786" t="s">
        <v>6</v>
      </c>
      <c r="C56" s="787"/>
      <c r="D56" s="5"/>
      <c r="E56" s="688"/>
      <c r="F56" s="689">
        <v>1698.9699999999998</v>
      </c>
      <c r="G56" s="689">
        <v>1469.3799999999999</v>
      </c>
      <c r="H56" s="689">
        <v>1207.3566666666666</v>
      </c>
      <c r="I56" s="689">
        <v>4401.6766666666663</v>
      </c>
      <c r="J56" s="689">
        <v>2724.355</v>
      </c>
      <c r="K56" s="689">
        <v>2788.7616666666668</v>
      </c>
      <c r="L56" s="208">
        <v>6532.3133333333326</v>
      </c>
      <c r="M56" s="208">
        <v>8662.6083333333336</v>
      </c>
      <c r="N56" s="208">
        <v>8795.4458333333332</v>
      </c>
      <c r="O56" s="208">
        <v>10148.704333333333</v>
      </c>
      <c r="P56" s="208">
        <v>8672.0590000000011</v>
      </c>
      <c r="Q56" s="208">
        <v>1171.1599999999999</v>
      </c>
      <c r="R56" s="208">
        <v>1573.9699999999998</v>
      </c>
      <c r="S56" s="208">
        <v>1391.5700000000002</v>
      </c>
      <c r="T56" s="208">
        <v>2819.95</v>
      </c>
      <c r="U56" s="208">
        <v>2644.28</v>
      </c>
      <c r="V56" s="208">
        <v>2388.37</v>
      </c>
      <c r="W56" s="208">
        <v>12864.95</v>
      </c>
      <c r="X56" s="208">
        <v>9563.8700000000008</v>
      </c>
      <c r="Y56" s="208">
        <v>9482.0399999999991</v>
      </c>
      <c r="Z56" s="208">
        <v>8503.0099999999984</v>
      </c>
      <c r="AA56" s="208">
        <f>SUM(AA42:AA55)</f>
        <v>7043.4499999999989</v>
      </c>
      <c r="AB56" s="208">
        <f t="shared" ref="AB56:AM56" si="11">SUM(AB42:AB55)</f>
        <v>8133.5299333333332</v>
      </c>
      <c r="AC56" s="208">
        <f t="shared" si="11"/>
        <v>8477.729933333334</v>
      </c>
      <c r="AD56" s="208">
        <f t="shared" si="11"/>
        <v>8033.5299333333332</v>
      </c>
      <c r="AE56" s="208">
        <f t="shared" si="11"/>
        <v>10940.606599333332</v>
      </c>
      <c r="AF56" s="208">
        <f t="shared" si="11"/>
        <v>8480.6065993333323</v>
      </c>
      <c r="AG56" s="208">
        <f t="shared" si="11"/>
        <v>8040.6065993333323</v>
      </c>
      <c r="AH56" s="208">
        <f t="shared" si="11"/>
        <v>8559.7540319933323</v>
      </c>
      <c r="AI56" s="208">
        <f t="shared" si="11"/>
        <v>8087.7540319933323</v>
      </c>
      <c r="AJ56" s="208">
        <f t="shared" si="11"/>
        <v>8047.7540319933323</v>
      </c>
      <c r="AK56" s="208">
        <f t="shared" si="11"/>
        <v>8280.9729389799322</v>
      </c>
      <c r="AL56" s="208">
        <f t="shared" si="11"/>
        <v>9429.972938979934</v>
      </c>
      <c r="AM56" s="208">
        <f t="shared" si="11"/>
        <v>8164.9729389799322</v>
      </c>
      <c r="AN56" s="690">
        <f t="shared" si="9"/>
        <v>-1628.6090000000022</v>
      </c>
      <c r="AO56" s="690">
        <f t="shared" si="10"/>
        <v>-997.15659933333336</v>
      </c>
    </row>
    <row r="57" spans="2:41" x14ac:dyDescent="0.25">
      <c r="B57" s="786" t="s">
        <v>7</v>
      </c>
      <c r="C57" s="787"/>
      <c r="E57" s="9"/>
      <c r="F57" s="691">
        <v>9373.153742446515</v>
      </c>
      <c r="G57" s="691">
        <v>10757.844398589188</v>
      </c>
      <c r="H57" s="691">
        <v>10068.851489556684</v>
      </c>
      <c r="I57" s="691">
        <v>7832.116998842539</v>
      </c>
      <c r="J57" s="691">
        <v>7037.5112832616487</v>
      </c>
      <c r="K57" s="691">
        <v>7091.239829581451</v>
      </c>
      <c r="L57" s="147">
        <v>-5575.3133333333326</v>
      </c>
      <c r="M57" s="147">
        <v>-7705.6083333333336</v>
      </c>
      <c r="N57" s="147">
        <v>-7223.4524999999994</v>
      </c>
      <c r="O57" s="147">
        <v>-9554.1318333333329</v>
      </c>
      <c r="P57" s="147">
        <v>-6027.5065123003133</v>
      </c>
      <c r="Q57" s="147">
        <v>10519.93</v>
      </c>
      <c r="R57" s="147">
        <v>9891.4900000000016</v>
      </c>
      <c r="S57" s="147">
        <v>10132.25</v>
      </c>
      <c r="T57" s="147">
        <v>5789.0199999999995</v>
      </c>
      <c r="U57" s="147">
        <v>7794.08</v>
      </c>
      <c r="V57" s="147">
        <v>7357.8200000000006</v>
      </c>
      <c r="W57" s="147">
        <v>79.5</v>
      </c>
      <c r="X57" s="147">
        <v>-10181.870000000001</v>
      </c>
      <c r="Y57" s="147">
        <v>-7904.5399999999991</v>
      </c>
      <c r="Z57" s="147">
        <v>-6085.0099999999984</v>
      </c>
      <c r="AA57" s="147">
        <f>+AA38-AA56</f>
        <v>18466.170000000006</v>
      </c>
      <c r="AB57" s="147">
        <f t="shared" ref="AB57:AM57" si="12">+AB38-AB56</f>
        <v>3097.1985666666642</v>
      </c>
      <c r="AC57" s="147">
        <f t="shared" si="12"/>
        <v>-6210.6299333333336</v>
      </c>
      <c r="AD57" s="147">
        <f t="shared" si="12"/>
        <v>-5355.9774456336454</v>
      </c>
      <c r="AE57" s="147">
        <f t="shared" si="12"/>
        <v>-9709.2438833174256</v>
      </c>
      <c r="AF57" s="147">
        <f t="shared" si="12"/>
        <v>2512.1447369768066</v>
      </c>
      <c r="AG57" s="147">
        <f t="shared" si="12"/>
        <v>-6147.6716585044451</v>
      </c>
      <c r="AH57" s="147">
        <f t="shared" si="12"/>
        <v>37798.245003690943</v>
      </c>
      <c r="AI57" s="147">
        <f t="shared" si="12"/>
        <v>66802.640498849563</v>
      </c>
      <c r="AJ57" s="147">
        <f t="shared" si="12"/>
        <v>70085.06812036474</v>
      </c>
      <c r="AK57" s="147">
        <f t="shared" si="12"/>
        <v>28688.845768673826</v>
      </c>
      <c r="AL57" s="147">
        <f t="shared" si="12"/>
        <v>108782.8069983154</v>
      </c>
      <c r="AM57" s="147">
        <f t="shared" si="12"/>
        <v>242251.60166434129</v>
      </c>
      <c r="AN57" s="657">
        <f t="shared" si="9"/>
        <v>24493.676512300321</v>
      </c>
      <c r="AO57" s="657">
        <f t="shared" si="10"/>
        <v>24613.841658504451</v>
      </c>
    </row>
    <row r="58" spans="2:41" x14ac:dyDescent="0.25">
      <c r="B58" s="792" t="s">
        <v>535</v>
      </c>
      <c r="C58" s="793"/>
      <c r="D58" s="140"/>
      <c r="E58" s="697"/>
      <c r="F58" s="698">
        <v>0.82536393429925548</v>
      </c>
      <c r="G58" s="698">
        <v>0.8425898482858486</v>
      </c>
      <c r="H58" s="698">
        <v>0.85044959879458515</v>
      </c>
      <c r="I58" s="698">
        <v>0.60798435170435861</v>
      </c>
      <c r="J58" s="698">
        <v>0.683443760142185</v>
      </c>
      <c r="K58" s="698">
        <v>0.6812474152583744</v>
      </c>
      <c r="L58" s="699">
        <v>-0.8447444444444443</v>
      </c>
      <c r="M58" s="699">
        <v>-1.1675164141414143</v>
      </c>
      <c r="N58" s="699">
        <v>-0.66628820255811083</v>
      </c>
      <c r="O58" s="699">
        <v>-2.3299919115555014</v>
      </c>
      <c r="P58" s="699">
        <v>-0.50127812982898712</v>
      </c>
      <c r="Q58" s="699">
        <v>0.86040491644529371</v>
      </c>
      <c r="R58" s="699">
        <v>0.80864886871613428</v>
      </c>
      <c r="S58" s="699">
        <v>0.83924248059113282</v>
      </c>
      <c r="T58" s="699">
        <v>0.63953150529663705</v>
      </c>
      <c r="U58" s="699">
        <v>0.70330733330686401</v>
      </c>
      <c r="V58" s="699">
        <v>0.71302370924821545</v>
      </c>
      <c r="W58" s="699">
        <v>3.8830000791252846E-3</v>
      </c>
      <c r="X58" s="699">
        <v>0</v>
      </c>
      <c r="Y58" s="699">
        <v>-0.67206903881307645</v>
      </c>
      <c r="Z58" s="699">
        <v>-1.483967808803804</v>
      </c>
      <c r="AA58" s="699">
        <f>+IFERROR(AA57/AA16,0)</f>
        <v>0.20517966666666673</v>
      </c>
      <c r="AB58" s="699">
        <f t="shared" ref="AB58:AM58" si="13">+AB57/AB16</f>
        <v>3.9987948436886023E-2</v>
      </c>
      <c r="AC58" s="699">
        <f t="shared" si="13"/>
        <v>-0.41091901107141282</v>
      </c>
      <c r="AD58" s="699">
        <f t="shared" si="13"/>
        <v>-0.44543035364201378</v>
      </c>
      <c r="AE58" s="699">
        <f t="shared" si="13"/>
        <v>-1.3163632950186499</v>
      </c>
      <c r="AF58" s="699">
        <f t="shared" si="13"/>
        <v>6.4826696378526408E-2</v>
      </c>
      <c r="AG58" s="699">
        <f t="shared" si="13"/>
        <v>-0.64696731928553441</v>
      </c>
      <c r="AH58" s="699">
        <f t="shared" si="13"/>
        <v>0.25724140861681882</v>
      </c>
      <c r="AI58" s="699">
        <f t="shared" si="13"/>
        <v>0.27451041106524671</v>
      </c>
      <c r="AJ58" s="699">
        <f t="shared" si="13"/>
        <v>0.31087784100248322</v>
      </c>
      <c r="AK58" s="699">
        <f t="shared" si="13"/>
        <v>0.23375494728543092</v>
      </c>
      <c r="AL58" s="699">
        <f t="shared" si="13"/>
        <v>0.4283699888828561</v>
      </c>
      <c r="AM58" s="699">
        <f t="shared" si="13"/>
        <v>0.42242076161597925</v>
      </c>
      <c r="AN58" s="700">
        <f t="shared" si="9"/>
        <v>0.70645779649565388</v>
      </c>
      <c r="AO58" s="700">
        <f t="shared" si="10"/>
        <v>0.85214698595220117</v>
      </c>
    </row>
    <row r="59" spans="2:41" hidden="1" x14ac:dyDescent="0.25">
      <c r="B59" s="784" t="s">
        <v>9</v>
      </c>
      <c r="C59" s="785"/>
      <c r="E59" s="685"/>
      <c r="F59" s="686">
        <v>0</v>
      </c>
      <c r="G59" s="686">
        <v>0</v>
      </c>
      <c r="H59" s="686">
        <v>0</v>
      </c>
      <c r="I59" s="686">
        <v>0</v>
      </c>
      <c r="J59" s="686">
        <v>0</v>
      </c>
      <c r="K59" s="686">
        <v>0</v>
      </c>
      <c r="L59" s="687">
        <v>0</v>
      </c>
      <c r="M59" s="687">
        <v>0</v>
      </c>
      <c r="N59" s="687">
        <v>0</v>
      </c>
      <c r="O59" s="687">
        <v>0</v>
      </c>
      <c r="P59" s="687">
        <v>0</v>
      </c>
      <c r="Q59" s="687">
        <v>2183.16</v>
      </c>
      <c r="R59" s="687">
        <v>0</v>
      </c>
      <c r="S59" s="687">
        <v>0</v>
      </c>
      <c r="T59" s="687">
        <v>0</v>
      </c>
      <c r="U59" s="687">
        <v>0</v>
      </c>
      <c r="V59" s="687">
        <v>0</v>
      </c>
      <c r="W59" s="687">
        <v>0</v>
      </c>
      <c r="X59" s="687">
        <v>0</v>
      </c>
      <c r="Y59" s="687">
        <v>0</v>
      </c>
      <c r="Z59" s="687">
        <v>0</v>
      </c>
      <c r="AA59" s="687">
        <f>+SUMIF('Monthly Detail'!$4:$4, L14,'Monthly Detail'!96:96)</f>
        <v>0</v>
      </c>
      <c r="AB59" s="687"/>
      <c r="AC59" s="687"/>
      <c r="AD59" s="687"/>
      <c r="AE59" s="687"/>
      <c r="AF59" s="687"/>
      <c r="AG59" s="687"/>
      <c r="AH59" s="687"/>
      <c r="AI59" s="687"/>
      <c r="AJ59" s="687"/>
      <c r="AK59" s="687"/>
      <c r="AL59" s="687"/>
      <c r="AM59" s="687"/>
      <c r="AN59" s="657">
        <f t="shared" si="9"/>
        <v>0</v>
      </c>
      <c r="AO59" s="657">
        <f t="shared" si="10"/>
        <v>0</v>
      </c>
    </row>
    <row r="60" spans="2:41" x14ac:dyDescent="0.25">
      <c r="B60" s="786" t="s">
        <v>10</v>
      </c>
      <c r="C60" s="787"/>
      <c r="D60" s="5"/>
      <c r="E60" s="688"/>
      <c r="F60" s="689">
        <v>0</v>
      </c>
      <c r="G60" s="689">
        <v>0</v>
      </c>
      <c r="H60" s="689">
        <v>0</v>
      </c>
      <c r="I60" s="689">
        <v>0</v>
      </c>
      <c r="J60" s="689">
        <v>0</v>
      </c>
      <c r="K60" s="689">
        <v>0</v>
      </c>
      <c r="L60" s="208">
        <v>0</v>
      </c>
      <c r="M60" s="208">
        <v>0</v>
      </c>
      <c r="N60" s="208">
        <v>0</v>
      </c>
      <c r="O60" s="208">
        <v>0</v>
      </c>
      <c r="P60" s="208">
        <v>0</v>
      </c>
      <c r="Q60" s="208">
        <v>0</v>
      </c>
      <c r="R60" s="208">
        <v>0</v>
      </c>
      <c r="S60" s="208">
        <v>0</v>
      </c>
      <c r="T60" s="208">
        <v>0</v>
      </c>
      <c r="U60" s="208">
        <v>0</v>
      </c>
      <c r="V60" s="208">
        <v>0</v>
      </c>
      <c r="W60" s="208">
        <v>0.19</v>
      </c>
      <c r="X60" s="208">
        <v>0</v>
      </c>
      <c r="Y60" s="208">
        <v>0</v>
      </c>
      <c r="Z60" s="208">
        <v>0</v>
      </c>
      <c r="AA60" s="208">
        <f>+SUMIF('Monthly Detail'!$3:$3, $B$14,'Monthly Detail'!88:88)</f>
        <v>0</v>
      </c>
      <c r="AB60" s="208">
        <v>0</v>
      </c>
      <c r="AC60" s="208">
        <v>0</v>
      </c>
      <c r="AD60" s="208">
        <v>0</v>
      </c>
      <c r="AE60" s="208">
        <v>0</v>
      </c>
      <c r="AF60" s="208">
        <v>0</v>
      </c>
      <c r="AG60" s="208">
        <v>0</v>
      </c>
      <c r="AH60" s="208">
        <v>0</v>
      </c>
      <c r="AI60" s="208">
        <v>0</v>
      </c>
      <c r="AJ60" s="208">
        <v>0</v>
      </c>
      <c r="AK60" s="208">
        <v>0</v>
      </c>
      <c r="AL60" s="208">
        <v>0</v>
      </c>
      <c r="AM60" s="208">
        <v>0</v>
      </c>
      <c r="AN60" s="690">
        <f t="shared" si="9"/>
        <v>0</v>
      </c>
      <c r="AO60" s="690">
        <f t="shared" si="10"/>
        <v>0</v>
      </c>
    </row>
    <row r="61" spans="2:41" hidden="1" x14ac:dyDescent="0.25">
      <c r="B61" s="786" t="s">
        <v>11</v>
      </c>
      <c r="C61" s="787"/>
      <c r="D61" s="3"/>
      <c r="E61" s="10"/>
      <c r="F61" s="701">
        <v>0</v>
      </c>
      <c r="G61" s="701">
        <v>0</v>
      </c>
      <c r="H61" s="701">
        <v>0</v>
      </c>
      <c r="I61" s="701">
        <v>0</v>
      </c>
      <c r="J61" s="701">
        <v>0</v>
      </c>
      <c r="K61" s="701">
        <v>0</v>
      </c>
      <c r="L61" s="702">
        <v>0</v>
      </c>
      <c r="M61" s="702">
        <v>0</v>
      </c>
      <c r="N61" s="702">
        <v>0</v>
      </c>
      <c r="O61" s="702">
        <v>0</v>
      </c>
      <c r="P61" s="702">
        <v>0</v>
      </c>
      <c r="Q61" s="702">
        <v>0</v>
      </c>
      <c r="R61" s="702">
        <v>0</v>
      </c>
      <c r="S61" s="702">
        <v>0</v>
      </c>
      <c r="T61" s="702">
        <v>0</v>
      </c>
      <c r="U61" s="702">
        <v>0</v>
      </c>
      <c r="V61" s="702">
        <v>0</v>
      </c>
      <c r="W61" s="702">
        <v>0.19</v>
      </c>
      <c r="X61" s="702">
        <v>0</v>
      </c>
      <c r="Y61" s="702">
        <v>0</v>
      </c>
      <c r="Z61" s="702">
        <v>0</v>
      </c>
      <c r="AA61" s="702">
        <f>+AA60</f>
        <v>0</v>
      </c>
      <c r="AB61" s="702"/>
      <c r="AC61" s="702"/>
      <c r="AD61" s="702"/>
      <c r="AE61" s="702"/>
      <c r="AF61" s="702"/>
      <c r="AG61" s="702"/>
      <c r="AH61" s="702"/>
      <c r="AI61" s="702"/>
      <c r="AJ61" s="702"/>
      <c r="AK61" s="702"/>
      <c r="AL61" s="702"/>
      <c r="AM61" s="702"/>
      <c r="AN61" s="703">
        <f t="shared" si="9"/>
        <v>0</v>
      </c>
      <c r="AO61" s="703">
        <f t="shared" si="10"/>
        <v>0</v>
      </c>
    </row>
    <row r="62" spans="2:41" x14ac:dyDescent="0.25">
      <c r="B62" s="788" t="s">
        <v>536</v>
      </c>
      <c r="C62" s="789"/>
      <c r="D62" s="692"/>
      <c r="E62" s="704"/>
      <c r="F62" s="705">
        <v>-1212.1799999999976</v>
      </c>
      <c r="G62" s="705">
        <v>-3048.1599999999967</v>
      </c>
      <c r="H62" s="705">
        <v>-995.45999999999776</v>
      </c>
      <c r="I62" s="705">
        <v>-1751.1699999999892</v>
      </c>
      <c r="J62" s="705">
        <v>-6500</v>
      </c>
      <c r="K62" s="705">
        <v>-6500</v>
      </c>
      <c r="L62" s="706">
        <v>0</v>
      </c>
      <c r="M62" s="706">
        <v>0</v>
      </c>
      <c r="N62" s="706">
        <v>0</v>
      </c>
      <c r="O62" s="706">
        <v>0</v>
      </c>
      <c r="P62" s="706">
        <v>0</v>
      </c>
      <c r="Q62" s="706">
        <v>-1212.1799999999935</v>
      </c>
      <c r="R62" s="706">
        <v>-2188.1600000000003</v>
      </c>
      <c r="S62" s="706">
        <v>-998.02999999999338</v>
      </c>
      <c r="T62" s="706">
        <v>-1751.1699999999892</v>
      </c>
      <c r="U62" s="706">
        <v>-7269.5500000000029</v>
      </c>
      <c r="V62" s="706">
        <v>-6783.7299999999959</v>
      </c>
      <c r="W62" s="706">
        <v>0</v>
      </c>
      <c r="X62" s="706">
        <v>0</v>
      </c>
      <c r="Y62" s="706">
        <v>0</v>
      </c>
      <c r="Z62" s="706">
        <v>0</v>
      </c>
      <c r="AA62" s="706">
        <f>+SUMIF('Monthly Detail'!$3:$3, $B$14,'Monthly Detail'!189:189)</f>
        <v>0</v>
      </c>
      <c r="AB62" s="706">
        <v>0</v>
      </c>
      <c r="AC62" s="706">
        <v>0</v>
      </c>
      <c r="AD62" s="706">
        <v>0</v>
      </c>
      <c r="AE62" s="706">
        <v>0</v>
      </c>
      <c r="AF62" s="706">
        <v>0</v>
      </c>
      <c r="AG62" s="706">
        <v>0</v>
      </c>
      <c r="AH62" s="706">
        <v>0</v>
      </c>
      <c r="AI62" s="706">
        <v>0</v>
      </c>
      <c r="AJ62" s="706">
        <v>0</v>
      </c>
      <c r="AK62" s="706">
        <v>0</v>
      </c>
      <c r="AL62" s="706">
        <v>0</v>
      </c>
      <c r="AM62" s="706">
        <v>0</v>
      </c>
      <c r="AN62" s="707">
        <f t="shared" si="9"/>
        <v>0</v>
      </c>
      <c r="AO62" s="707">
        <f t="shared" si="10"/>
        <v>0</v>
      </c>
    </row>
    <row r="63" spans="2:41" ht="15.75" thickBot="1" x14ac:dyDescent="0.3">
      <c r="B63" s="790" t="s">
        <v>12</v>
      </c>
      <c r="C63" s="791"/>
      <c r="D63" s="148"/>
      <c r="E63" s="708"/>
      <c r="F63" s="709">
        <v>9373.153742446515</v>
      </c>
      <c r="G63" s="709">
        <v>10757.844398589188</v>
      </c>
      <c r="H63" s="709">
        <v>10068.851489556684</v>
      </c>
      <c r="I63" s="709">
        <v>7832.1169988425409</v>
      </c>
      <c r="J63" s="709">
        <v>7037.5112832616487</v>
      </c>
      <c r="K63" s="709">
        <v>7091.239829581451</v>
      </c>
      <c r="L63" s="710">
        <v>-5575.3133333333326</v>
      </c>
      <c r="M63" s="710">
        <v>-7705.6083333333336</v>
      </c>
      <c r="N63" s="710">
        <v>-7223.4524999999994</v>
      </c>
      <c r="O63" s="710">
        <v>-9554.1318333333329</v>
      </c>
      <c r="P63" s="710">
        <v>-6027.5065123003133</v>
      </c>
      <c r="Q63" s="710">
        <v>10519.93</v>
      </c>
      <c r="R63" s="710">
        <v>9891.4900000000016</v>
      </c>
      <c r="S63" s="710">
        <v>10132.25</v>
      </c>
      <c r="T63" s="710">
        <v>5789.0199999999995</v>
      </c>
      <c r="U63" s="710">
        <v>7794.08</v>
      </c>
      <c r="V63" s="710">
        <v>7357.8200000000006</v>
      </c>
      <c r="W63" s="710">
        <v>79.69</v>
      </c>
      <c r="X63" s="710">
        <v>-10181.870000000001</v>
      </c>
      <c r="Y63" s="710">
        <v>-7904.5399999999991</v>
      </c>
      <c r="Z63" s="710">
        <v>-6085.0099999999984</v>
      </c>
      <c r="AA63" s="710">
        <f>+AA61+AA57</f>
        <v>18466.170000000006</v>
      </c>
      <c r="AB63" s="710">
        <f t="shared" ref="AB63:AM63" si="14">+AB61+AB57</f>
        <v>3097.1985666666642</v>
      </c>
      <c r="AC63" s="710">
        <f t="shared" si="14"/>
        <v>-6210.6299333333336</v>
      </c>
      <c r="AD63" s="710">
        <f t="shared" si="14"/>
        <v>-5355.9774456336454</v>
      </c>
      <c r="AE63" s="710">
        <f t="shared" si="14"/>
        <v>-9709.2438833174256</v>
      </c>
      <c r="AF63" s="710">
        <f t="shared" si="14"/>
        <v>2512.1447369768066</v>
      </c>
      <c r="AG63" s="710">
        <f t="shared" si="14"/>
        <v>-6147.6716585044451</v>
      </c>
      <c r="AH63" s="710">
        <f t="shared" si="14"/>
        <v>37798.245003690943</v>
      </c>
      <c r="AI63" s="710">
        <f t="shared" si="14"/>
        <v>66802.640498849563</v>
      </c>
      <c r="AJ63" s="710">
        <f t="shared" si="14"/>
        <v>70085.06812036474</v>
      </c>
      <c r="AK63" s="710">
        <f t="shared" si="14"/>
        <v>28688.845768673826</v>
      </c>
      <c r="AL63" s="710">
        <f t="shared" si="14"/>
        <v>108782.8069983154</v>
      </c>
      <c r="AM63" s="710">
        <f t="shared" si="14"/>
        <v>242251.60166434129</v>
      </c>
      <c r="AN63" s="711">
        <f t="shared" si="9"/>
        <v>24493.676512300321</v>
      </c>
      <c r="AO63" s="711">
        <f t="shared" si="10"/>
        <v>24613.841658504451</v>
      </c>
    </row>
    <row r="64" spans="2:41" ht="15.75" thickTop="1" x14ac:dyDescent="0.25"/>
    <row r="65" spans="2:41" x14ac:dyDescent="0.25">
      <c r="B65" s="712"/>
      <c r="C65" s="712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713"/>
      <c r="AO65" s="713"/>
    </row>
  </sheetData>
  <mergeCells count="34">
    <mergeCell ref="B61:C61"/>
    <mergeCell ref="B62:C62"/>
    <mergeCell ref="B63:C63"/>
    <mergeCell ref="B43:C43"/>
    <mergeCell ref="B54:C54"/>
    <mergeCell ref="B55:C55"/>
    <mergeCell ref="B56:C56"/>
    <mergeCell ref="B57:C57"/>
    <mergeCell ref="B58:C58"/>
    <mergeCell ref="B59:C59"/>
    <mergeCell ref="B60:C60"/>
    <mergeCell ref="B48:C48"/>
    <mergeCell ref="B49:C49"/>
    <mergeCell ref="B50:C50"/>
    <mergeCell ref="B51:C51"/>
    <mergeCell ref="B52:C52"/>
    <mergeCell ref="B53:C53"/>
    <mergeCell ref="B41:C41"/>
    <mergeCell ref="B42:C42"/>
    <mergeCell ref="B44:C44"/>
    <mergeCell ref="B45:C45"/>
    <mergeCell ref="B46:C46"/>
    <mergeCell ref="B47:C47"/>
    <mergeCell ref="B14:AO14"/>
    <mergeCell ref="B40:C40"/>
    <mergeCell ref="B16:C16"/>
    <mergeCell ref="B32:C32"/>
    <mergeCell ref="B33:C33"/>
    <mergeCell ref="B34:C34"/>
    <mergeCell ref="B35:C35"/>
    <mergeCell ref="B36:C36"/>
    <mergeCell ref="B37:C37"/>
    <mergeCell ref="B38:C38"/>
    <mergeCell ref="B39:C39"/>
  </mergeCells>
  <pageMargins left="0.7" right="0.7" top="0.75" bottom="0.75" header="0.3" footer="0.3"/>
  <pageSetup scale="46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499984740745262"/>
  </sheetPr>
  <dimension ref="B1:EF9"/>
  <sheetViews>
    <sheetView workbookViewId="0">
      <selection activeCell="M8" sqref="M8"/>
    </sheetView>
  </sheetViews>
  <sheetFormatPr defaultRowHeight="15" x14ac:dyDescent="0.25"/>
  <cols>
    <col min="4" max="4" width="11.5703125" bestFit="1" customWidth="1"/>
    <col min="5" max="5" width="0.7109375" customWidth="1"/>
    <col min="6" max="6" width="11.140625" bestFit="1" customWidth="1"/>
    <col min="7" max="15" width="10.5703125" bestFit="1" customWidth="1"/>
    <col min="16" max="18" width="11.28515625" bestFit="1" customWidth="1"/>
    <col min="19" max="27" width="10.140625" bestFit="1" customWidth="1"/>
    <col min="28" max="30" width="11.140625" bestFit="1" customWidth="1"/>
    <col min="31" max="39" width="10.140625" bestFit="1" customWidth="1"/>
    <col min="40" max="42" width="11.140625" bestFit="1" customWidth="1"/>
    <col min="43" max="51" width="10.140625" bestFit="1" customWidth="1"/>
    <col min="52" max="54" width="11.140625" bestFit="1" customWidth="1"/>
    <col min="55" max="63" width="10.140625" bestFit="1" customWidth="1"/>
    <col min="64" max="66" width="11.140625" bestFit="1" customWidth="1"/>
    <col min="67" max="75" width="10.140625" bestFit="1" customWidth="1"/>
    <col min="76" max="78" width="11.140625" bestFit="1" customWidth="1"/>
    <col min="79" max="85" width="9.5703125" bestFit="1" customWidth="1"/>
    <col min="86" max="88" width="10.5703125" bestFit="1" customWidth="1"/>
    <col min="89" max="97" width="9.5703125" bestFit="1" customWidth="1"/>
    <col min="98" max="100" width="10.5703125" bestFit="1" customWidth="1"/>
    <col min="101" max="109" width="9.5703125" bestFit="1" customWidth="1"/>
    <col min="110" max="112" width="10.5703125" bestFit="1" customWidth="1"/>
    <col min="113" max="121" width="9.5703125" bestFit="1" customWidth="1"/>
    <col min="122" max="124" width="10.5703125" bestFit="1" customWidth="1"/>
    <col min="125" max="133" width="9.5703125" bestFit="1" customWidth="1"/>
    <col min="134" max="136" width="10.5703125" bestFit="1" customWidth="1"/>
  </cols>
  <sheetData>
    <row r="1" spans="2:136" x14ac:dyDescent="0.25">
      <c r="F1" s="16">
        <v>2024</v>
      </c>
      <c r="G1" s="16">
        <f t="shared" ref="G1:AD1" si="0">YEAR(G3)</f>
        <v>2025</v>
      </c>
      <c r="H1" s="16">
        <f t="shared" si="0"/>
        <v>2025</v>
      </c>
      <c r="I1" s="16">
        <f t="shared" si="0"/>
        <v>2025</v>
      </c>
      <c r="J1" s="16">
        <f t="shared" si="0"/>
        <v>2025</v>
      </c>
      <c r="K1" s="16">
        <f t="shared" si="0"/>
        <v>2025</v>
      </c>
      <c r="L1" s="16">
        <f t="shared" si="0"/>
        <v>2025</v>
      </c>
      <c r="M1" s="16">
        <f t="shared" si="0"/>
        <v>2025</v>
      </c>
      <c r="N1" s="16">
        <f t="shared" si="0"/>
        <v>2025</v>
      </c>
      <c r="O1" s="16">
        <f t="shared" si="0"/>
        <v>2025</v>
      </c>
      <c r="P1" s="16">
        <f t="shared" si="0"/>
        <v>2025</v>
      </c>
      <c r="Q1" s="16">
        <f t="shared" si="0"/>
        <v>2025</v>
      </c>
      <c r="R1" s="16">
        <f t="shared" si="0"/>
        <v>2025</v>
      </c>
      <c r="S1" s="16">
        <f t="shared" si="0"/>
        <v>2026</v>
      </c>
      <c r="T1" s="16">
        <f t="shared" si="0"/>
        <v>2026</v>
      </c>
      <c r="U1" s="16">
        <f t="shared" si="0"/>
        <v>2026</v>
      </c>
      <c r="V1" s="16">
        <f t="shared" si="0"/>
        <v>2026</v>
      </c>
      <c r="W1" s="16">
        <f t="shared" si="0"/>
        <v>2026</v>
      </c>
      <c r="X1" s="16">
        <f t="shared" si="0"/>
        <v>2026</v>
      </c>
      <c r="Y1" s="16">
        <f t="shared" si="0"/>
        <v>2026</v>
      </c>
      <c r="Z1" s="16">
        <f t="shared" si="0"/>
        <v>2026</v>
      </c>
      <c r="AA1" s="16">
        <f t="shared" si="0"/>
        <v>2026</v>
      </c>
      <c r="AB1" s="16">
        <f t="shared" si="0"/>
        <v>2026</v>
      </c>
      <c r="AC1" s="16">
        <f t="shared" si="0"/>
        <v>2026</v>
      </c>
      <c r="AD1" s="16">
        <f t="shared" si="0"/>
        <v>2026</v>
      </c>
      <c r="AE1" s="16">
        <f t="shared" ref="AE1:BZ1" si="1">YEAR(AE3)</f>
        <v>2027</v>
      </c>
      <c r="AF1" s="16">
        <f t="shared" si="1"/>
        <v>2027</v>
      </c>
      <c r="AG1" s="16">
        <f t="shared" si="1"/>
        <v>2027</v>
      </c>
      <c r="AH1" s="16">
        <f t="shared" si="1"/>
        <v>2027</v>
      </c>
      <c r="AI1" s="16">
        <f t="shared" si="1"/>
        <v>2027</v>
      </c>
      <c r="AJ1" s="16">
        <f t="shared" si="1"/>
        <v>2027</v>
      </c>
      <c r="AK1" s="16">
        <f t="shared" si="1"/>
        <v>2027</v>
      </c>
      <c r="AL1" s="16">
        <f t="shared" si="1"/>
        <v>2027</v>
      </c>
      <c r="AM1" s="16">
        <f t="shared" si="1"/>
        <v>2027</v>
      </c>
      <c r="AN1" s="16">
        <f t="shared" si="1"/>
        <v>2027</v>
      </c>
      <c r="AO1" s="16">
        <f t="shared" si="1"/>
        <v>2027</v>
      </c>
      <c r="AP1" s="16">
        <f t="shared" si="1"/>
        <v>2027</v>
      </c>
      <c r="AQ1" s="16">
        <f t="shared" si="1"/>
        <v>2028</v>
      </c>
      <c r="AR1" s="16">
        <f t="shared" si="1"/>
        <v>2028</v>
      </c>
      <c r="AS1" s="16">
        <f t="shared" si="1"/>
        <v>2028</v>
      </c>
      <c r="AT1" s="16">
        <f t="shared" si="1"/>
        <v>2028</v>
      </c>
      <c r="AU1" s="16">
        <f t="shared" si="1"/>
        <v>2028</v>
      </c>
      <c r="AV1" s="16">
        <f t="shared" si="1"/>
        <v>2028</v>
      </c>
      <c r="AW1" s="16">
        <f t="shared" si="1"/>
        <v>2028</v>
      </c>
      <c r="AX1" s="16">
        <f t="shared" si="1"/>
        <v>2028</v>
      </c>
      <c r="AY1" s="16">
        <f t="shared" si="1"/>
        <v>2028</v>
      </c>
      <c r="AZ1" s="16">
        <f t="shared" si="1"/>
        <v>2028</v>
      </c>
      <c r="BA1" s="16">
        <f t="shared" si="1"/>
        <v>2028</v>
      </c>
      <c r="BB1" s="16">
        <f t="shared" si="1"/>
        <v>2028</v>
      </c>
      <c r="BC1" s="16">
        <f t="shared" si="1"/>
        <v>2029</v>
      </c>
      <c r="BD1" s="16">
        <f t="shared" si="1"/>
        <v>2029</v>
      </c>
      <c r="BE1" s="16">
        <f t="shared" si="1"/>
        <v>2029</v>
      </c>
      <c r="BF1" s="16">
        <f t="shared" si="1"/>
        <v>2029</v>
      </c>
      <c r="BG1" s="16">
        <f t="shared" si="1"/>
        <v>2029</v>
      </c>
      <c r="BH1" s="16">
        <f t="shared" si="1"/>
        <v>2029</v>
      </c>
      <c r="BI1" s="16">
        <f t="shared" si="1"/>
        <v>2029</v>
      </c>
      <c r="BJ1" s="16">
        <f t="shared" si="1"/>
        <v>2029</v>
      </c>
      <c r="BK1" s="16">
        <f t="shared" si="1"/>
        <v>2029</v>
      </c>
      <c r="BL1" s="16">
        <f t="shared" si="1"/>
        <v>2029</v>
      </c>
      <c r="BM1" s="16">
        <f t="shared" si="1"/>
        <v>2029</v>
      </c>
      <c r="BN1" s="16">
        <f t="shared" si="1"/>
        <v>2029</v>
      </c>
      <c r="BO1" s="16">
        <f t="shared" si="1"/>
        <v>2030</v>
      </c>
      <c r="BP1" s="16">
        <f t="shared" si="1"/>
        <v>2030</v>
      </c>
      <c r="BQ1" s="16">
        <f t="shared" si="1"/>
        <v>2030</v>
      </c>
      <c r="BR1" s="16">
        <f t="shared" si="1"/>
        <v>2030</v>
      </c>
      <c r="BS1" s="16">
        <f t="shared" si="1"/>
        <v>2030</v>
      </c>
      <c r="BT1" s="16">
        <f t="shared" si="1"/>
        <v>2030</v>
      </c>
      <c r="BU1" s="16">
        <f t="shared" si="1"/>
        <v>2030</v>
      </c>
      <c r="BV1" s="16">
        <f t="shared" si="1"/>
        <v>2030</v>
      </c>
      <c r="BW1" s="16">
        <f t="shared" si="1"/>
        <v>2030</v>
      </c>
      <c r="BX1" s="16">
        <f t="shared" si="1"/>
        <v>2030</v>
      </c>
      <c r="BY1" s="16">
        <f t="shared" si="1"/>
        <v>2030</v>
      </c>
      <c r="BZ1" s="16">
        <f t="shared" si="1"/>
        <v>2030</v>
      </c>
    </row>
    <row r="2" spans="2:136" x14ac:dyDescent="0.25">
      <c r="F2" s="138" t="s">
        <v>211</v>
      </c>
      <c r="G2" s="138" t="str">
        <f>+"Q1 "&amp;G1</f>
        <v>Q1 2025</v>
      </c>
      <c r="H2" s="138" t="str">
        <f>+"Q1 "&amp;H1</f>
        <v>Q1 2025</v>
      </c>
      <c r="I2" s="138" t="str">
        <f>+"Q1 "&amp;I1</f>
        <v>Q1 2025</v>
      </c>
      <c r="J2" s="138" t="str">
        <f>+"Q2 "&amp;J1</f>
        <v>Q2 2025</v>
      </c>
      <c r="K2" s="138" t="str">
        <f>+"Q2 "&amp;K1</f>
        <v>Q2 2025</v>
      </c>
      <c r="L2" s="138" t="str">
        <f>+"Q2 "&amp;L1</f>
        <v>Q2 2025</v>
      </c>
      <c r="M2" s="138" t="str">
        <f>+"Q3 "&amp;M1</f>
        <v>Q3 2025</v>
      </c>
      <c r="N2" s="138" t="str">
        <f>+"Q3 "&amp;N1</f>
        <v>Q3 2025</v>
      </c>
      <c r="O2" s="138" t="str">
        <f>+"Q3 "&amp;O1</f>
        <v>Q3 2025</v>
      </c>
      <c r="P2" s="138" t="str">
        <f>+"Q4 "&amp;P1</f>
        <v>Q4 2025</v>
      </c>
      <c r="Q2" s="138" t="str">
        <f>+"Q4 "&amp;Q1</f>
        <v>Q4 2025</v>
      </c>
      <c r="R2" s="138" t="str">
        <f>+"Q4 "&amp;R1</f>
        <v>Q4 2025</v>
      </c>
      <c r="S2" s="138" t="str">
        <f>+"Q1 "&amp;S1</f>
        <v>Q1 2026</v>
      </c>
      <c r="T2" s="138" t="str">
        <f>+"Q1 "&amp;T1</f>
        <v>Q1 2026</v>
      </c>
      <c r="U2" s="138" t="str">
        <f>+"Q1 "&amp;U1</f>
        <v>Q1 2026</v>
      </c>
      <c r="V2" s="138" t="str">
        <f>+"Q2 "&amp;V1</f>
        <v>Q2 2026</v>
      </c>
      <c r="W2" s="138" t="str">
        <f>+"Q2 "&amp;W1</f>
        <v>Q2 2026</v>
      </c>
      <c r="X2" s="138" t="str">
        <f>+"Q2 "&amp;X1</f>
        <v>Q2 2026</v>
      </c>
      <c r="Y2" s="138" t="str">
        <f>+"Q3 "&amp;Y1</f>
        <v>Q3 2026</v>
      </c>
      <c r="Z2" s="138" t="str">
        <f>+"Q3 "&amp;Z1</f>
        <v>Q3 2026</v>
      </c>
      <c r="AA2" s="138" t="str">
        <f>+"Q3 "&amp;AA1</f>
        <v>Q3 2026</v>
      </c>
      <c r="AB2" s="138" t="str">
        <f>+"Q4 "&amp;AB1</f>
        <v>Q4 2026</v>
      </c>
      <c r="AC2" s="138" t="str">
        <f>+"Q4 "&amp;AC1</f>
        <v>Q4 2026</v>
      </c>
      <c r="AD2" s="138" t="str">
        <f>+"Q4 "&amp;AD1</f>
        <v>Q4 2026</v>
      </c>
      <c r="AE2" s="138" t="str">
        <f t="shared" ref="AE2:AG2" si="2">+"Q1 "&amp;AE1</f>
        <v>Q1 2027</v>
      </c>
      <c r="AF2" s="138" t="str">
        <f t="shared" si="2"/>
        <v>Q1 2027</v>
      </c>
      <c r="AG2" s="138" t="str">
        <f t="shared" si="2"/>
        <v>Q1 2027</v>
      </c>
      <c r="AH2" s="138" t="str">
        <f t="shared" ref="AH2:AJ2" si="3">+"Q2 "&amp;AH1</f>
        <v>Q2 2027</v>
      </c>
      <c r="AI2" s="138" t="str">
        <f t="shared" si="3"/>
        <v>Q2 2027</v>
      </c>
      <c r="AJ2" s="138" t="str">
        <f t="shared" si="3"/>
        <v>Q2 2027</v>
      </c>
      <c r="AK2" s="138" t="str">
        <f t="shared" ref="AK2:AM2" si="4">+"Q3 "&amp;AK1</f>
        <v>Q3 2027</v>
      </c>
      <c r="AL2" s="138" t="str">
        <f t="shared" si="4"/>
        <v>Q3 2027</v>
      </c>
      <c r="AM2" s="138" t="str">
        <f t="shared" si="4"/>
        <v>Q3 2027</v>
      </c>
      <c r="AN2" s="138" t="str">
        <f t="shared" ref="AN2:AP2" si="5">+"Q4 "&amp;AN1</f>
        <v>Q4 2027</v>
      </c>
      <c r="AO2" s="138" t="str">
        <f t="shared" si="5"/>
        <v>Q4 2027</v>
      </c>
      <c r="AP2" s="138" t="str">
        <f t="shared" si="5"/>
        <v>Q4 2027</v>
      </c>
      <c r="AQ2" s="138" t="str">
        <f t="shared" ref="AQ2:AS2" si="6">+"Q1 "&amp;AQ1</f>
        <v>Q1 2028</v>
      </c>
      <c r="AR2" s="138" t="str">
        <f t="shared" si="6"/>
        <v>Q1 2028</v>
      </c>
      <c r="AS2" s="138" t="str">
        <f t="shared" si="6"/>
        <v>Q1 2028</v>
      </c>
      <c r="AT2" s="138" t="str">
        <f t="shared" ref="AT2:AV2" si="7">+"Q2 "&amp;AT1</f>
        <v>Q2 2028</v>
      </c>
      <c r="AU2" s="138" t="str">
        <f t="shared" si="7"/>
        <v>Q2 2028</v>
      </c>
      <c r="AV2" s="138" t="str">
        <f t="shared" si="7"/>
        <v>Q2 2028</v>
      </c>
      <c r="AW2" s="138" t="str">
        <f t="shared" ref="AW2:AY2" si="8">+"Q3 "&amp;AW1</f>
        <v>Q3 2028</v>
      </c>
      <c r="AX2" s="138" t="str">
        <f t="shared" si="8"/>
        <v>Q3 2028</v>
      </c>
      <c r="AY2" s="138" t="str">
        <f t="shared" si="8"/>
        <v>Q3 2028</v>
      </c>
      <c r="AZ2" s="138" t="str">
        <f t="shared" ref="AZ2:BB2" si="9">+"Q4 "&amp;AZ1</f>
        <v>Q4 2028</v>
      </c>
      <c r="BA2" s="138" t="str">
        <f t="shared" si="9"/>
        <v>Q4 2028</v>
      </c>
      <c r="BB2" s="138" t="str">
        <f t="shared" si="9"/>
        <v>Q4 2028</v>
      </c>
      <c r="BC2" s="138" t="str">
        <f t="shared" ref="BC2:BE2" si="10">+"Q1 "&amp;BC1</f>
        <v>Q1 2029</v>
      </c>
      <c r="BD2" s="138" t="str">
        <f t="shared" si="10"/>
        <v>Q1 2029</v>
      </c>
      <c r="BE2" s="138" t="str">
        <f t="shared" si="10"/>
        <v>Q1 2029</v>
      </c>
      <c r="BF2" s="138" t="str">
        <f t="shared" ref="BF2:BH2" si="11">+"Q2 "&amp;BF1</f>
        <v>Q2 2029</v>
      </c>
      <c r="BG2" s="138" t="str">
        <f t="shared" si="11"/>
        <v>Q2 2029</v>
      </c>
      <c r="BH2" s="138" t="str">
        <f t="shared" si="11"/>
        <v>Q2 2029</v>
      </c>
      <c r="BI2" s="138" t="str">
        <f t="shared" ref="BI2:BK2" si="12">+"Q3 "&amp;BI1</f>
        <v>Q3 2029</v>
      </c>
      <c r="BJ2" s="138" t="str">
        <f t="shared" si="12"/>
        <v>Q3 2029</v>
      </c>
      <c r="BK2" s="138" t="str">
        <f t="shared" si="12"/>
        <v>Q3 2029</v>
      </c>
      <c r="BL2" s="138" t="str">
        <f t="shared" ref="BL2:BN2" si="13">+"Q4 "&amp;BL1</f>
        <v>Q4 2029</v>
      </c>
      <c r="BM2" s="138" t="str">
        <f t="shared" si="13"/>
        <v>Q4 2029</v>
      </c>
      <c r="BN2" s="138" t="str">
        <f t="shared" si="13"/>
        <v>Q4 2029</v>
      </c>
      <c r="BO2" s="138" t="str">
        <f t="shared" ref="BO2:BQ2" si="14">+"Q1 "&amp;BO1</f>
        <v>Q1 2030</v>
      </c>
      <c r="BP2" s="138" t="str">
        <f t="shared" si="14"/>
        <v>Q1 2030</v>
      </c>
      <c r="BQ2" s="138" t="str">
        <f t="shared" si="14"/>
        <v>Q1 2030</v>
      </c>
      <c r="BR2" s="138" t="str">
        <f t="shared" ref="BR2:BT2" si="15">+"Q2 "&amp;BR1</f>
        <v>Q2 2030</v>
      </c>
      <c r="BS2" s="138" t="str">
        <f t="shared" si="15"/>
        <v>Q2 2030</v>
      </c>
      <c r="BT2" s="138" t="str">
        <f t="shared" si="15"/>
        <v>Q2 2030</v>
      </c>
      <c r="BU2" s="138" t="str">
        <f t="shared" ref="BU2:BW2" si="16">+"Q3 "&amp;BU1</f>
        <v>Q3 2030</v>
      </c>
      <c r="BV2" s="138" t="str">
        <f t="shared" si="16"/>
        <v>Q3 2030</v>
      </c>
      <c r="BW2" s="138" t="str">
        <f t="shared" si="16"/>
        <v>Q3 2030</v>
      </c>
      <c r="BX2" s="138" t="str">
        <f t="shared" ref="BX2:BZ2" si="17">+"Q4 "&amp;BX1</f>
        <v>Q4 2030</v>
      </c>
      <c r="BY2" s="138" t="str">
        <f t="shared" si="17"/>
        <v>Q4 2030</v>
      </c>
      <c r="BZ2" s="138" t="str">
        <f t="shared" si="17"/>
        <v>Q4 2030</v>
      </c>
    </row>
    <row r="3" spans="2:136" x14ac:dyDescent="0.25">
      <c r="F3" s="20">
        <v>45657</v>
      </c>
      <c r="G3" s="20">
        <v>45688</v>
      </c>
      <c r="H3" s="20">
        <v>45716</v>
      </c>
      <c r="I3" s="20">
        <v>45747</v>
      </c>
      <c r="J3" s="20">
        <v>45777</v>
      </c>
      <c r="K3" s="20">
        <v>45808</v>
      </c>
      <c r="L3" s="20">
        <v>45838</v>
      </c>
      <c r="M3" s="20">
        <v>45869</v>
      </c>
      <c r="N3" s="20">
        <v>45900</v>
      </c>
      <c r="O3" s="20">
        <v>45930</v>
      </c>
      <c r="P3" s="20">
        <v>45961</v>
      </c>
      <c r="Q3" s="20">
        <v>45991</v>
      </c>
      <c r="R3" s="20">
        <v>46022</v>
      </c>
      <c r="S3" s="20">
        <v>46053</v>
      </c>
      <c r="T3" s="20">
        <v>46081</v>
      </c>
      <c r="U3" s="20">
        <v>46112</v>
      </c>
      <c r="V3" s="20">
        <v>46142</v>
      </c>
      <c r="W3" s="20">
        <v>46173</v>
      </c>
      <c r="X3" s="20">
        <v>46203</v>
      </c>
      <c r="Y3" s="20">
        <v>46234</v>
      </c>
      <c r="Z3" s="20">
        <v>46265</v>
      </c>
      <c r="AA3" s="20">
        <v>46295</v>
      </c>
      <c r="AB3" s="20">
        <v>46326</v>
      </c>
      <c r="AC3" s="20">
        <v>46356</v>
      </c>
      <c r="AD3" s="20">
        <v>46387</v>
      </c>
      <c r="AE3" s="20">
        <v>46418</v>
      </c>
      <c r="AF3" s="20">
        <v>46446</v>
      </c>
      <c r="AG3" s="20">
        <v>46477</v>
      </c>
      <c r="AH3" s="20">
        <v>46507</v>
      </c>
      <c r="AI3" s="20">
        <v>46538</v>
      </c>
      <c r="AJ3" s="20">
        <v>46568</v>
      </c>
      <c r="AK3" s="20">
        <v>46599</v>
      </c>
      <c r="AL3" s="20">
        <v>46630</v>
      </c>
      <c r="AM3" s="20">
        <v>46660</v>
      </c>
      <c r="AN3" s="20">
        <v>46691</v>
      </c>
      <c r="AO3" s="20">
        <v>46721</v>
      </c>
      <c r="AP3" s="20">
        <v>46752</v>
      </c>
      <c r="AQ3" s="20">
        <v>46783</v>
      </c>
      <c r="AR3" s="20">
        <v>46812</v>
      </c>
      <c r="AS3" s="20">
        <v>46843</v>
      </c>
      <c r="AT3" s="20">
        <v>46873</v>
      </c>
      <c r="AU3" s="20">
        <v>46904</v>
      </c>
      <c r="AV3" s="20">
        <v>46934</v>
      </c>
      <c r="AW3" s="20">
        <v>46965</v>
      </c>
      <c r="AX3" s="20">
        <v>46996</v>
      </c>
      <c r="AY3" s="20">
        <v>47026</v>
      </c>
      <c r="AZ3" s="20">
        <v>47057</v>
      </c>
      <c r="BA3" s="20">
        <v>47087</v>
      </c>
      <c r="BB3" s="20">
        <v>47118</v>
      </c>
      <c r="BC3" s="20">
        <v>47149</v>
      </c>
      <c r="BD3" s="20">
        <v>47177</v>
      </c>
      <c r="BE3" s="20">
        <v>47208</v>
      </c>
      <c r="BF3" s="20">
        <v>47238</v>
      </c>
      <c r="BG3" s="20">
        <v>47269</v>
      </c>
      <c r="BH3" s="20">
        <v>47299</v>
      </c>
      <c r="BI3" s="20">
        <v>47330</v>
      </c>
      <c r="BJ3" s="20">
        <v>47361</v>
      </c>
      <c r="BK3" s="20">
        <v>47391</v>
      </c>
      <c r="BL3" s="20">
        <v>47422</v>
      </c>
      <c r="BM3" s="20">
        <v>47452</v>
      </c>
      <c r="BN3" s="20">
        <v>47483</v>
      </c>
      <c r="BO3" s="20">
        <v>47514</v>
      </c>
      <c r="BP3" s="20">
        <v>47542</v>
      </c>
      <c r="BQ3" s="20">
        <v>47573</v>
      </c>
      <c r="BR3" s="20">
        <v>47603</v>
      </c>
      <c r="BS3" s="20">
        <v>47634</v>
      </c>
      <c r="BT3" s="20">
        <v>47664</v>
      </c>
      <c r="BU3" s="20">
        <v>47695</v>
      </c>
      <c r="BV3" s="20">
        <v>47726</v>
      </c>
      <c r="BW3" s="20">
        <v>47756</v>
      </c>
      <c r="BX3" s="20">
        <v>47787</v>
      </c>
      <c r="BY3" s="20">
        <v>47817</v>
      </c>
      <c r="BZ3" s="20">
        <v>47848</v>
      </c>
    </row>
    <row r="4" spans="2:136" x14ac:dyDescent="0.25"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/>
      <c r="DF4" s="144"/>
      <c r="DG4" s="144"/>
      <c r="DH4" s="144"/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/>
      <c r="DV4" s="144"/>
      <c r="DW4" s="144"/>
      <c r="DX4" s="144"/>
      <c r="DY4" s="144"/>
      <c r="DZ4" s="144"/>
      <c r="EA4" s="144"/>
      <c r="EB4" s="144"/>
      <c r="EC4" s="144"/>
      <c r="ED4" s="144"/>
      <c r="EE4" s="144"/>
      <c r="EF4" s="144"/>
    </row>
    <row r="5" spans="2:136" x14ac:dyDescent="0.25">
      <c r="B5" t="s">
        <v>208</v>
      </c>
      <c r="C5" t="s">
        <v>209</v>
      </c>
      <c r="D5" t="s">
        <v>518</v>
      </c>
    </row>
    <row r="6" spans="2:136" x14ac:dyDescent="0.25">
      <c r="B6" t="s">
        <v>273</v>
      </c>
      <c r="C6" t="s">
        <v>275</v>
      </c>
      <c r="D6" s="245">
        <v>18000</v>
      </c>
      <c r="F6" s="193"/>
      <c r="G6" s="90">
        <v>1500</v>
      </c>
      <c r="H6" s="90">
        <f>+IF(H1&lt;&gt;G1,($D$6*1.05)/12,$D$6/12)</f>
        <v>1500</v>
      </c>
      <c r="I6" s="90">
        <f>+IF(I1&lt;&gt;H1,(H6*1.05),H6)</f>
        <v>1500</v>
      </c>
      <c r="J6" s="90">
        <f t="shared" ref="J6:AD6" si="18">+IF(J1&lt;&gt;I1,(I6*1.05),I6)</f>
        <v>1500</v>
      </c>
      <c r="K6" s="90">
        <f t="shared" si="18"/>
        <v>1500</v>
      </c>
      <c r="L6" s="90">
        <f t="shared" si="18"/>
        <v>1500</v>
      </c>
      <c r="M6" s="90">
        <f>+IF(M1&lt;&gt;L1,(L6*1.05),L6)</f>
        <v>1500</v>
      </c>
      <c r="N6" s="90">
        <f t="shared" si="18"/>
        <v>1500</v>
      </c>
      <c r="O6" s="90">
        <f t="shared" si="18"/>
        <v>1500</v>
      </c>
      <c r="P6" s="90">
        <f t="shared" si="18"/>
        <v>1500</v>
      </c>
      <c r="Q6" s="90">
        <f t="shared" si="18"/>
        <v>1500</v>
      </c>
      <c r="R6" s="90">
        <f t="shared" si="18"/>
        <v>1500</v>
      </c>
      <c r="S6" s="90">
        <f>+IF(S1&lt;&gt;R1,(R6*1.05),R6)*2.5</f>
        <v>3937.5</v>
      </c>
      <c r="T6" s="90">
        <f t="shared" si="18"/>
        <v>3937.5</v>
      </c>
      <c r="U6" s="90">
        <f t="shared" si="18"/>
        <v>3937.5</v>
      </c>
      <c r="V6" s="90">
        <f t="shared" si="18"/>
        <v>3937.5</v>
      </c>
      <c r="W6" s="90">
        <f t="shared" si="18"/>
        <v>3937.5</v>
      </c>
      <c r="X6" s="90">
        <f t="shared" si="18"/>
        <v>3937.5</v>
      </c>
      <c r="Y6" s="90">
        <f t="shared" si="18"/>
        <v>3937.5</v>
      </c>
      <c r="Z6" s="90">
        <f t="shared" si="18"/>
        <v>3937.5</v>
      </c>
      <c r="AA6" s="90">
        <f t="shared" si="18"/>
        <v>3937.5</v>
      </c>
      <c r="AB6" s="90">
        <f t="shared" si="18"/>
        <v>3937.5</v>
      </c>
      <c r="AC6" s="90">
        <f t="shared" si="18"/>
        <v>3937.5</v>
      </c>
      <c r="AD6" s="90">
        <f t="shared" si="18"/>
        <v>3937.5</v>
      </c>
      <c r="AE6" s="90">
        <f t="shared" ref="AE6:BZ6" si="19">+IF(AE1&lt;&gt;AD1,(AD6*1.05),AD6)</f>
        <v>4134.375</v>
      </c>
      <c r="AF6" s="90">
        <f t="shared" si="19"/>
        <v>4134.375</v>
      </c>
      <c r="AG6" s="90">
        <f t="shared" si="19"/>
        <v>4134.375</v>
      </c>
      <c r="AH6" s="90">
        <f t="shared" si="19"/>
        <v>4134.375</v>
      </c>
      <c r="AI6" s="90">
        <f t="shared" si="19"/>
        <v>4134.375</v>
      </c>
      <c r="AJ6" s="90">
        <f t="shared" si="19"/>
        <v>4134.375</v>
      </c>
      <c r="AK6" s="90">
        <f t="shared" si="19"/>
        <v>4134.375</v>
      </c>
      <c r="AL6" s="90">
        <f t="shared" si="19"/>
        <v>4134.375</v>
      </c>
      <c r="AM6" s="90">
        <f t="shared" si="19"/>
        <v>4134.375</v>
      </c>
      <c r="AN6" s="90">
        <f t="shared" si="19"/>
        <v>4134.375</v>
      </c>
      <c r="AO6" s="90">
        <f t="shared" si="19"/>
        <v>4134.375</v>
      </c>
      <c r="AP6" s="90">
        <f t="shared" si="19"/>
        <v>4134.375</v>
      </c>
      <c r="AQ6" s="90">
        <f t="shared" si="19"/>
        <v>4341.09375</v>
      </c>
      <c r="AR6" s="90">
        <f t="shared" si="19"/>
        <v>4341.09375</v>
      </c>
      <c r="AS6" s="90">
        <f t="shared" si="19"/>
        <v>4341.09375</v>
      </c>
      <c r="AT6" s="90">
        <f t="shared" si="19"/>
        <v>4341.09375</v>
      </c>
      <c r="AU6" s="90">
        <f t="shared" si="19"/>
        <v>4341.09375</v>
      </c>
      <c r="AV6" s="90">
        <f t="shared" si="19"/>
        <v>4341.09375</v>
      </c>
      <c r="AW6" s="90">
        <f t="shared" si="19"/>
        <v>4341.09375</v>
      </c>
      <c r="AX6" s="90">
        <f t="shared" si="19"/>
        <v>4341.09375</v>
      </c>
      <c r="AY6" s="90">
        <f t="shared" si="19"/>
        <v>4341.09375</v>
      </c>
      <c r="AZ6" s="90">
        <f t="shared" si="19"/>
        <v>4341.09375</v>
      </c>
      <c r="BA6" s="90">
        <f t="shared" si="19"/>
        <v>4341.09375</v>
      </c>
      <c r="BB6" s="90">
        <f t="shared" si="19"/>
        <v>4341.09375</v>
      </c>
      <c r="BC6" s="90">
        <f t="shared" si="19"/>
        <v>4558.1484375</v>
      </c>
      <c r="BD6" s="90">
        <f t="shared" si="19"/>
        <v>4558.1484375</v>
      </c>
      <c r="BE6" s="90">
        <f t="shared" si="19"/>
        <v>4558.1484375</v>
      </c>
      <c r="BF6" s="90">
        <f t="shared" si="19"/>
        <v>4558.1484375</v>
      </c>
      <c r="BG6" s="90">
        <f t="shared" si="19"/>
        <v>4558.1484375</v>
      </c>
      <c r="BH6" s="90">
        <f t="shared" si="19"/>
        <v>4558.1484375</v>
      </c>
      <c r="BI6" s="90">
        <f t="shared" si="19"/>
        <v>4558.1484375</v>
      </c>
      <c r="BJ6" s="90">
        <f t="shared" si="19"/>
        <v>4558.1484375</v>
      </c>
      <c r="BK6" s="90">
        <f t="shared" si="19"/>
        <v>4558.1484375</v>
      </c>
      <c r="BL6" s="90">
        <f t="shared" si="19"/>
        <v>4558.1484375</v>
      </c>
      <c r="BM6" s="90">
        <f t="shared" si="19"/>
        <v>4558.1484375</v>
      </c>
      <c r="BN6" s="90">
        <f t="shared" si="19"/>
        <v>4558.1484375</v>
      </c>
      <c r="BO6" s="90">
        <f t="shared" si="19"/>
        <v>4786.0558593750002</v>
      </c>
      <c r="BP6" s="90">
        <f t="shared" si="19"/>
        <v>4786.0558593750002</v>
      </c>
      <c r="BQ6" s="90">
        <f t="shared" si="19"/>
        <v>4786.0558593750002</v>
      </c>
      <c r="BR6" s="90">
        <f t="shared" si="19"/>
        <v>4786.0558593750002</v>
      </c>
      <c r="BS6" s="90">
        <f t="shared" si="19"/>
        <v>4786.0558593750002</v>
      </c>
      <c r="BT6" s="90">
        <f t="shared" si="19"/>
        <v>4786.0558593750002</v>
      </c>
      <c r="BU6" s="90">
        <f t="shared" si="19"/>
        <v>4786.0558593750002</v>
      </c>
      <c r="BV6" s="90">
        <f t="shared" si="19"/>
        <v>4786.0558593750002</v>
      </c>
      <c r="BW6" s="90">
        <f t="shared" si="19"/>
        <v>4786.0558593750002</v>
      </c>
      <c r="BX6" s="90">
        <f t="shared" si="19"/>
        <v>4786.0558593750002</v>
      </c>
      <c r="BY6" s="90">
        <f t="shared" si="19"/>
        <v>4786.0558593750002</v>
      </c>
      <c r="BZ6" s="90">
        <f t="shared" si="19"/>
        <v>4786.0558593750002</v>
      </c>
      <c r="CA6" s="193"/>
      <c r="CB6" s="193"/>
      <c r="CC6" s="193"/>
      <c r="CD6" s="193"/>
      <c r="CE6" s="193"/>
      <c r="CF6" s="193"/>
      <c r="CG6" s="193"/>
      <c r="CH6" s="193"/>
      <c r="CI6" s="193"/>
      <c r="CJ6" s="193"/>
      <c r="CK6" s="193"/>
      <c r="CL6" s="193"/>
      <c r="CM6" s="193"/>
      <c r="CN6" s="193"/>
      <c r="CO6" s="193"/>
      <c r="CP6" s="193"/>
      <c r="CQ6" s="193"/>
      <c r="CR6" s="193"/>
      <c r="CS6" s="193"/>
      <c r="CT6" s="193"/>
      <c r="CU6" s="193"/>
      <c r="CV6" s="193"/>
      <c r="CW6" s="193"/>
      <c r="CX6" s="193"/>
      <c r="CY6" s="193"/>
      <c r="CZ6" s="193"/>
      <c r="DA6" s="193"/>
      <c r="DB6" s="193"/>
      <c r="DC6" s="193"/>
      <c r="DD6" s="193"/>
      <c r="DE6" s="193"/>
      <c r="DF6" s="193"/>
      <c r="DG6" s="193"/>
      <c r="DH6" s="193"/>
      <c r="DI6" s="193"/>
      <c r="DJ6" s="193"/>
      <c r="DK6" s="193"/>
      <c r="DL6" s="193"/>
      <c r="DM6" s="193"/>
      <c r="DN6" s="193"/>
      <c r="DO6" s="193"/>
      <c r="DP6" s="193"/>
      <c r="DQ6" s="193"/>
      <c r="DR6" s="193"/>
      <c r="DS6" s="193"/>
      <c r="DT6" s="193"/>
      <c r="DU6" s="193"/>
      <c r="DV6" s="193"/>
      <c r="DW6" s="193"/>
      <c r="DX6" s="193"/>
      <c r="DY6" s="193"/>
      <c r="DZ6" s="193"/>
      <c r="EA6" s="193"/>
      <c r="EB6" s="193"/>
      <c r="EC6" s="193"/>
      <c r="ED6" s="193"/>
      <c r="EE6" s="193"/>
      <c r="EF6" s="193"/>
    </row>
    <row r="7" spans="2:136" x14ac:dyDescent="0.25">
      <c r="B7" t="s">
        <v>274</v>
      </c>
      <c r="C7" t="s">
        <v>275</v>
      </c>
      <c r="D7" s="245">
        <v>18000</v>
      </c>
      <c r="G7" s="90">
        <v>1500</v>
      </c>
      <c r="H7" s="90">
        <f t="shared" ref="H7" si="20">+IF(H2&lt;&gt;G2,($D$6*1.05)/12,$D$6/12)</f>
        <v>1500</v>
      </c>
      <c r="I7" s="90">
        <f>+IF(I1&lt;&gt;H1,(H7*1.05),H7)</f>
        <v>1500</v>
      </c>
      <c r="J7" s="90">
        <f t="shared" ref="J7:AD7" si="21">+IF(J1&lt;&gt;I1,(I7*1.05),I7)</f>
        <v>1500</v>
      </c>
      <c r="K7" s="90">
        <f t="shared" si="21"/>
        <v>1500</v>
      </c>
      <c r="L7" s="90">
        <f t="shared" si="21"/>
        <v>1500</v>
      </c>
      <c r="M7" s="90">
        <f>+IF(M1&lt;&gt;L1,(L7*1.05),L7)</f>
        <v>1500</v>
      </c>
      <c r="N7" s="90">
        <f t="shared" si="21"/>
        <v>1500</v>
      </c>
      <c r="O7" s="90">
        <f t="shared" si="21"/>
        <v>1500</v>
      </c>
      <c r="P7" s="90">
        <f t="shared" si="21"/>
        <v>1500</v>
      </c>
      <c r="Q7" s="90">
        <f t="shared" si="21"/>
        <v>1500</v>
      </c>
      <c r="R7" s="90">
        <f t="shared" si="21"/>
        <v>1500</v>
      </c>
      <c r="S7" s="90">
        <f>+IF(S1&lt;&gt;R1,(R7*1.05),R7)*2.5</f>
        <v>3937.5</v>
      </c>
      <c r="T7" s="90">
        <f t="shared" si="21"/>
        <v>3937.5</v>
      </c>
      <c r="U7" s="90">
        <f t="shared" si="21"/>
        <v>3937.5</v>
      </c>
      <c r="V7" s="90">
        <f t="shared" si="21"/>
        <v>3937.5</v>
      </c>
      <c r="W7" s="90">
        <f t="shared" si="21"/>
        <v>3937.5</v>
      </c>
      <c r="X7" s="90">
        <f t="shared" si="21"/>
        <v>3937.5</v>
      </c>
      <c r="Y7" s="90">
        <f t="shared" si="21"/>
        <v>3937.5</v>
      </c>
      <c r="Z7" s="90">
        <f t="shared" si="21"/>
        <v>3937.5</v>
      </c>
      <c r="AA7" s="90">
        <f t="shared" si="21"/>
        <v>3937.5</v>
      </c>
      <c r="AB7" s="90">
        <f t="shared" si="21"/>
        <v>3937.5</v>
      </c>
      <c r="AC7" s="90">
        <f t="shared" si="21"/>
        <v>3937.5</v>
      </c>
      <c r="AD7" s="90">
        <f t="shared" si="21"/>
        <v>3937.5</v>
      </c>
      <c r="AE7" s="90">
        <f t="shared" ref="AE7:BZ7" si="22">+IF(AE1&lt;&gt;AD1,(AD7*1.05),AD7)</f>
        <v>4134.375</v>
      </c>
      <c r="AF7" s="90">
        <f t="shared" si="22"/>
        <v>4134.375</v>
      </c>
      <c r="AG7" s="90">
        <f t="shared" si="22"/>
        <v>4134.375</v>
      </c>
      <c r="AH7" s="90">
        <f t="shared" si="22"/>
        <v>4134.375</v>
      </c>
      <c r="AI7" s="90">
        <f t="shared" si="22"/>
        <v>4134.375</v>
      </c>
      <c r="AJ7" s="90">
        <f t="shared" si="22"/>
        <v>4134.375</v>
      </c>
      <c r="AK7" s="90">
        <f t="shared" si="22"/>
        <v>4134.375</v>
      </c>
      <c r="AL7" s="90">
        <f t="shared" si="22"/>
        <v>4134.375</v>
      </c>
      <c r="AM7" s="90">
        <f t="shared" si="22"/>
        <v>4134.375</v>
      </c>
      <c r="AN7" s="90">
        <f t="shared" si="22"/>
        <v>4134.375</v>
      </c>
      <c r="AO7" s="90">
        <f t="shared" si="22"/>
        <v>4134.375</v>
      </c>
      <c r="AP7" s="90">
        <f t="shared" si="22"/>
        <v>4134.375</v>
      </c>
      <c r="AQ7" s="90">
        <f t="shared" si="22"/>
        <v>4341.09375</v>
      </c>
      <c r="AR7" s="90">
        <f t="shared" si="22"/>
        <v>4341.09375</v>
      </c>
      <c r="AS7" s="90">
        <f t="shared" si="22"/>
        <v>4341.09375</v>
      </c>
      <c r="AT7" s="90">
        <f t="shared" si="22"/>
        <v>4341.09375</v>
      </c>
      <c r="AU7" s="90">
        <f t="shared" si="22"/>
        <v>4341.09375</v>
      </c>
      <c r="AV7" s="90">
        <f t="shared" si="22"/>
        <v>4341.09375</v>
      </c>
      <c r="AW7" s="90">
        <f t="shared" si="22"/>
        <v>4341.09375</v>
      </c>
      <c r="AX7" s="90">
        <f t="shared" si="22"/>
        <v>4341.09375</v>
      </c>
      <c r="AY7" s="90">
        <f t="shared" si="22"/>
        <v>4341.09375</v>
      </c>
      <c r="AZ7" s="90">
        <f t="shared" si="22"/>
        <v>4341.09375</v>
      </c>
      <c r="BA7" s="90">
        <f t="shared" si="22"/>
        <v>4341.09375</v>
      </c>
      <c r="BB7" s="90">
        <f t="shared" si="22"/>
        <v>4341.09375</v>
      </c>
      <c r="BC7" s="90">
        <f t="shared" si="22"/>
        <v>4558.1484375</v>
      </c>
      <c r="BD7" s="90">
        <f t="shared" si="22"/>
        <v>4558.1484375</v>
      </c>
      <c r="BE7" s="90">
        <f t="shared" si="22"/>
        <v>4558.1484375</v>
      </c>
      <c r="BF7" s="90">
        <f t="shared" si="22"/>
        <v>4558.1484375</v>
      </c>
      <c r="BG7" s="90">
        <f t="shared" si="22"/>
        <v>4558.1484375</v>
      </c>
      <c r="BH7" s="90">
        <f t="shared" si="22"/>
        <v>4558.1484375</v>
      </c>
      <c r="BI7" s="90">
        <f t="shared" si="22"/>
        <v>4558.1484375</v>
      </c>
      <c r="BJ7" s="90">
        <f t="shared" si="22"/>
        <v>4558.1484375</v>
      </c>
      <c r="BK7" s="90">
        <f t="shared" si="22"/>
        <v>4558.1484375</v>
      </c>
      <c r="BL7" s="90">
        <f t="shared" si="22"/>
        <v>4558.1484375</v>
      </c>
      <c r="BM7" s="90">
        <f t="shared" si="22"/>
        <v>4558.1484375</v>
      </c>
      <c r="BN7" s="90">
        <f t="shared" si="22"/>
        <v>4558.1484375</v>
      </c>
      <c r="BO7" s="90">
        <f t="shared" si="22"/>
        <v>4786.0558593750002</v>
      </c>
      <c r="BP7" s="90">
        <f t="shared" si="22"/>
        <v>4786.0558593750002</v>
      </c>
      <c r="BQ7" s="90">
        <f t="shared" si="22"/>
        <v>4786.0558593750002</v>
      </c>
      <c r="BR7" s="90">
        <f t="shared" si="22"/>
        <v>4786.0558593750002</v>
      </c>
      <c r="BS7" s="90">
        <f t="shared" si="22"/>
        <v>4786.0558593750002</v>
      </c>
      <c r="BT7" s="90">
        <f t="shared" si="22"/>
        <v>4786.0558593750002</v>
      </c>
      <c r="BU7" s="90">
        <f t="shared" si="22"/>
        <v>4786.0558593750002</v>
      </c>
      <c r="BV7" s="90">
        <f t="shared" si="22"/>
        <v>4786.0558593750002</v>
      </c>
      <c r="BW7" s="90">
        <f t="shared" si="22"/>
        <v>4786.0558593750002</v>
      </c>
      <c r="BX7" s="90">
        <f t="shared" si="22"/>
        <v>4786.0558593750002</v>
      </c>
      <c r="BY7" s="90">
        <f t="shared" si="22"/>
        <v>4786.0558593750002</v>
      </c>
      <c r="BZ7" s="90">
        <f t="shared" si="22"/>
        <v>4786.0558593750002</v>
      </c>
    </row>
    <row r="9" spans="2:136" x14ac:dyDescent="0.25">
      <c r="D9" t="s">
        <v>519</v>
      </c>
      <c r="G9" s="245">
        <f>SUM(G6:G8)</f>
        <v>3000</v>
      </c>
      <c r="H9" s="245">
        <f>SUM(H6:H8)</f>
        <v>3000</v>
      </c>
      <c r="I9" s="245">
        <f t="shared" ref="I9:AD9" si="23">SUM(I6:I8)</f>
        <v>3000</v>
      </c>
      <c r="J9" s="245">
        <f t="shared" si="23"/>
        <v>3000</v>
      </c>
      <c r="K9" s="245">
        <f t="shared" si="23"/>
        <v>3000</v>
      </c>
      <c r="L9" s="245">
        <f t="shared" si="23"/>
        <v>3000</v>
      </c>
      <c r="M9" s="245">
        <f t="shared" si="23"/>
        <v>3000</v>
      </c>
      <c r="N9" s="245">
        <f t="shared" si="23"/>
        <v>3000</v>
      </c>
      <c r="O9" s="245">
        <f t="shared" si="23"/>
        <v>3000</v>
      </c>
      <c r="P9" s="245">
        <f t="shared" si="23"/>
        <v>3000</v>
      </c>
      <c r="Q9" s="245">
        <f t="shared" si="23"/>
        <v>3000</v>
      </c>
      <c r="R9" s="245">
        <f t="shared" si="23"/>
        <v>3000</v>
      </c>
      <c r="S9" s="245">
        <f t="shared" si="23"/>
        <v>7875</v>
      </c>
      <c r="T9" s="245">
        <f t="shared" si="23"/>
        <v>7875</v>
      </c>
      <c r="U9" s="245">
        <f t="shared" si="23"/>
        <v>7875</v>
      </c>
      <c r="V9" s="245">
        <f t="shared" si="23"/>
        <v>7875</v>
      </c>
      <c r="W9" s="245">
        <f t="shared" si="23"/>
        <v>7875</v>
      </c>
      <c r="X9" s="245">
        <f t="shared" si="23"/>
        <v>7875</v>
      </c>
      <c r="Y9" s="245">
        <f t="shared" si="23"/>
        <v>7875</v>
      </c>
      <c r="Z9" s="245">
        <f t="shared" si="23"/>
        <v>7875</v>
      </c>
      <c r="AA9" s="245">
        <f t="shared" si="23"/>
        <v>7875</v>
      </c>
      <c r="AB9" s="245">
        <f t="shared" si="23"/>
        <v>7875</v>
      </c>
      <c r="AC9" s="245">
        <f t="shared" si="23"/>
        <v>7875</v>
      </c>
      <c r="AD9" s="245">
        <f t="shared" si="23"/>
        <v>7875</v>
      </c>
      <c r="AE9" s="245">
        <f t="shared" ref="AE9" si="24">SUM(AE6:AE8)</f>
        <v>8268.75</v>
      </c>
      <c r="AF9" s="245">
        <f t="shared" ref="AF9" si="25">SUM(AF6:AF8)</f>
        <v>8268.75</v>
      </c>
      <c r="AG9" s="245">
        <f t="shared" ref="AG9" si="26">SUM(AG6:AG8)</f>
        <v>8268.75</v>
      </c>
      <c r="AH9" s="245">
        <f t="shared" ref="AH9" si="27">SUM(AH6:AH8)</f>
        <v>8268.75</v>
      </c>
      <c r="AI9" s="245">
        <f t="shared" ref="AI9" si="28">SUM(AI6:AI8)</f>
        <v>8268.75</v>
      </c>
      <c r="AJ9" s="245">
        <f t="shared" ref="AJ9" si="29">SUM(AJ6:AJ8)</f>
        <v>8268.75</v>
      </c>
      <c r="AK9" s="245">
        <f t="shared" ref="AK9" si="30">SUM(AK6:AK8)</f>
        <v>8268.75</v>
      </c>
      <c r="AL9" s="245">
        <f t="shared" ref="AL9" si="31">SUM(AL6:AL8)</f>
        <v>8268.75</v>
      </c>
      <c r="AM9" s="245">
        <f t="shared" ref="AM9" si="32">SUM(AM6:AM8)</f>
        <v>8268.75</v>
      </c>
      <c r="AN9" s="245">
        <f t="shared" ref="AN9" si="33">SUM(AN6:AN8)</f>
        <v>8268.75</v>
      </c>
      <c r="AO9" s="245">
        <f t="shared" ref="AO9" si="34">SUM(AO6:AO8)</f>
        <v>8268.75</v>
      </c>
      <c r="AP9" s="245">
        <f t="shared" ref="AP9" si="35">SUM(AP6:AP8)</f>
        <v>8268.75</v>
      </c>
      <c r="AQ9" s="245">
        <f t="shared" ref="AQ9" si="36">SUM(AQ6:AQ8)</f>
        <v>8682.1875</v>
      </c>
      <c r="AR9" s="245">
        <f t="shared" ref="AR9" si="37">SUM(AR6:AR8)</f>
        <v>8682.1875</v>
      </c>
      <c r="AS9" s="245">
        <f t="shared" ref="AS9" si="38">SUM(AS6:AS8)</f>
        <v>8682.1875</v>
      </c>
      <c r="AT9" s="245">
        <f t="shared" ref="AT9" si="39">SUM(AT6:AT8)</f>
        <v>8682.1875</v>
      </c>
      <c r="AU9" s="245">
        <f t="shared" ref="AU9" si="40">SUM(AU6:AU8)</f>
        <v>8682.1875</v>
      </c>
      <c r="AV9" s="245">
        <f t="shared" ref="AV9" si="41">SUM(AV6:AV8)</f>
        <v>8682.1875</v>
      </c>
      <c r="AW9" s="245">
        <f t="shared" ref="AW9" si="42">SUM(AW6:AW8)</f>
        <v>8682.1875</v>
      </c>
      <c r="AX9" s="245">
        <f t="shared" ref="AX9" si="43">SUM(AX6:AX8)</f>
        <v>8682.1875</v>
      </c>
      <c r="AY9" s="245">
        <f t="shared" ref="AY9" si="44">SUM(AY6:AY8)</f>
        <v>8682.1875</v>
      </c>
      <c r="AZ9" s="245">
        <f t="shared" ref="AZ9" si="45">SUM(AZ6:AZ8)</f>
        <v>8682.1875</v>
      </c>
      <c r="BA9" s="245">
        <f t="shared" ref="BA9" si="46">SUM(BA6:BA8)</f>
        <v>8682.1875</v>
      </c>
      <c r="BB9" s="245">
        <f t="shared" ref="BB9" si="47">SUM(BB6:BB8)</f>
        <v>8682.1875</v>
      </c>
      <c r="BC9" s="245">
        <f t="shared" ref="BC9" si="48">SUM(BC6:BC8)</f>
        <v>9116.296875</v>
      </c>
      <c r="BD9" s="245">
        <f t="shared" ref="BD9" si="49">SUM(BD6:BD8)</f>
        <v>9116.296875</v>
      </c>
      <c r="BE9" s="245">
        <f t="shared" ref="BE9" si="50">SUM(BE6:BE8)</f>
        <v>9116.296875</v>
      </c>
      <c r="BF9" s="245">
        <f t="shared" ref="BF9" si="51">SUM(BF6:BF8)</f>
        <v>9116.296875</v>
      </c>
      <c r="BG9" s="245">
        <f t="shared" ref="BG9" si="52">SUM(BG6:BG8)</f>
        <v>9116.296875</v>
      </c>
      <c r="BH9" s="245">
        <f t="shared" ref="BH9" si="53">SUM(BH6:BH8)</f>
        <v>9116.296875</v>
      </c>
      <c r="BI9" s="245">
        <f t="shared" ref="BI9" si="54">SUM(BI6:BI8)</f>
        <v>9116.296875</v>
      </c>
      <c r="BJ9" s="245">
        <f t="shared" ref="BJ9" si="55">SUM(BJ6:BJ8)</f>
        <v>9116.296875</v>
      </c>
      <c r="BK9" s="245">
        <f t="shared" ref="BK9" si="56">SUM(BK6:BK8)</f>
        <v>9116.296875</v>
      </c>
      <c r="BL9" s="245">
        <f t="shared" ref="BL9" si="57">SUM(BL6:BL8)</f>
        <v>9116.296875</v>
      </c>
      <c r="BM9" s="245">
        <f t="shared" ref="BM9" si="58">SUM(BM6:BM8)</f>
        <v>9116.296875</v>
      </c>
      <c r="BN9" s="245">
        <f t="shared" ref="BN9" si="59">SUM(BN6:BN8)</f>
        <v>9116.296875</v>
      </c>
      <c r="BO9" s="245">
        <f t="shared" ref="BO9" si="60">SUM(BO6:BO8)</f>
        <v>9572.1117187500004</v>
      </c>
      <c r="BP9" s="245">
        <f t="shared" ref="BP9" si="61">SUM(BP6:BP8)</f>
        <v>9572.1117187500004</v>
      </c>
      <c r="BQ9" s="245">
        <f t="shared" ref="BQ9" si="62">SUM(BQ6:BQ8)</f>
        <v>9572.1117187500004</v>
      </c>
      <c r="BR9" s="245">
        <f t="shared" ref="BR9" si="63">SUM(BR6:BR8)</f>
        <v>9572.1117187500004</v>
      </c>
      <c r="BS9" s="245">
        <f t="shared" ref="BS9" si="64">SUM(BS6:BS8)</f>
        <v>9572.1117187500004</v>
      </c>
      <c r="BT9" s="245">
        <f t="shared" ref="BT9" si="65">SUM(BT6:BT8)</f>
        <v>9572.1117187500004</v>
      </c>
      <c r="BU9" s="245">
        <f t="shared" ref="BU9" si="66">SUM(BU6:BU8)</f>
        <v>9572.1117187500004</v>
      </c>
      <c r="BV9" s="245">
        <f t="shared" ref="BV9" si="67">SUM(BV6:BV8)</f>
        <v>9572.1117187500004</v>
      </c>
      <c r="BW9" s="245">
        <f t="shared" ref="BW9" si="68">SUM(BW6:BW8)</f>
        <v>9572.1117187500004</v>
      </c>
      <c r="BX9" s="245">
        <f t="shared" ref="BX9" si="69">SUM(BX6:BX8)</f>
        <v>9572.1117187500004</v>
      </c>
      <c r="BY9" s="245">
        <f t="shared" ref="BY9" si="70">SUM(BY6:BY8)</f>
        <v>9572.1117187500004</v>
      </c>
      <c r="BZ9" s="245">
        <f t="shared" ref="BZ9" si="71">SUM(BZ6:BZ8)</f>
        <v>9572.1117187500004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3137-D38F-4C90-993D-CB47B78DFCFF}">
  <sheetPr>
    <tabColor theme="9" tint="-0.249977111117893"/>
  </sheetPr>
  <dimension ref="B1:DH73"/>
  <sheetViews>
    <sheetView workbookViewId="0">
      <pane xSplit="4" ySplit="3" topLeftCell="AF62" activePane="bottomRight" state="frozen"/>
      <selection pane="topRight" activeCell="E1" sqref="E1"/>
      <selection pane="bottomLeft" activeCell="A4" sqref="A4"/>
      <selection pane="bottomRight" activeCell="AH17" sqref="AH17"/>
    </sheetView>
  </sheetViews>
  <sheetFormatPr defaultRowHeight="15" outlineLevelCol="1" x14ac:dyDescent="0.25"/>
  <cols>
    <col min="2" max="2" width="10.5703125" bestFit="1" customWidth="1"/>
    <col min="3" max="3" width="12.140625" bestFit="1" customWidth="1"/>
    <col min="4" max="4" width="36.85546875" bestFit="1" customWidth="1"/>
    <col min="5" max="8" width="9.85546875" hidden="1" customWidth="1" outlineLevel="1"/>
    <col min="9" max="13" width="11.5703125" hidden="1" customWidth="1" outlineLevel="1"/>
    <col min="14" max="24" width="12.5703125" hidden="1" customWidth="1" outlineLevel="1"/>
    <col min="25" max="27" width="12.140625" hidden="1" customWidth="1" outlineLevel="1"/>
    <col min="28" max="28" width="12.28515625" hidden="1" customWidth="1" outlineLevel="1"/>
    <col min="29" max="29" width="12.28515625" bestFit="1" customWidth="1" collapsed="1"/>
    <col min="30" max="32" width="12.28515625" bestFit="1" customWidth="1"/>
    <col min="33" max="33" width="12.5703125" bestFit="1" customWidth="1"/>
    <col min="34" max="34" width="12.7109375" bestFit="1" customWidth="1"/>
    <col min="35" max="35" width="12.5703125" bestFit="1" customWidth="1"/>
    <col min="36" max="42" width="12.140625" bestFit="1" customWidth="1"/>
    <col min="43" max="52" width="13.7109375" bestFit="1" customWidth="1"/>
    <col min="53" max="53" width="12.140625" bestFit="1" customWidth="1"/>
    <col min="54" max="61" width="13.7109375" bestFit="1" customWidth="1"/>
    <col min="62" max="64" width="12.140625" bestFit="1" customWidth="1"/>
    <col min="65" max="78" width="13.7109375" bestFit="1" customWidth="1"/>
    <col min="79" max="82" width="12.140625" bestFit="1" customWidth="1"/>
    <col min="83" max="86" width="13.7109375" bestFit="1" customWidth="1"/>
    <col min="87" max="88" width="12.140625" bestFit="1" customWidth="1"/>
    <col min="89" max="112" width="13.7109375" bestFit="1" customWidth="1"/>
  </cols>
  <sheetData>
    <row r="1" spans="2:112" x14ac:dyDescent="0.25">
      <c r="E1" s="16">
        <f t="shared" ref="E1:BP1" si="0">YEAR(E3)</f>
        <v>2023</v>
      </c>
      <c r="F1" s="16">
        <f t="shared" si="0"/>
        <v>2023</v>
      </c>
      <c r="G1" s="16">
        <f t="shared" si="0"/>
        <v>2023</v>
      </c>
      <c r="H1" s="16">
        <f t="shared" si="0"/>
        <v>2023</v>
      </c>
      <c r="I1" s="16">
        <f t="shared" si="0"/>
        <v>2023</v>
      </c>
      <c r="J1" s="16">
        <f t="shared" si="0"/>
        <v>2023</v>
      </c>
      <c r="K1" s="16">
        <f t="shared" si="0"/>
        <v>2023</v>
      </c>
      <c r="L1" s="16">
        <f t="shared" si="0"/>
        <v>2023</v>
      </c>
      <c r="M1" s="16">
        <f t="shared" si="0"/>
        <v>2023</v>
      </c>
      <c r="N1" s="16">
        <f t="shared" si="0"/>
        <v>2023</v>
      </c>
      <c r="O1" s="16">
        <f t="shared" si="0"/>
        <v>2023</v>
      </c>
      <c r="P1" s="16">
        <f t="shared" si="0"/>
        <v>2023</v>
      </c>
      <c r="Q1" s="16">
        <f t="shared" si="0"/>
        <v>2024</v>
      </c>
      <c r="R1" s="16">
        <f t="shared" si="0"/>
        <v>2024</v>
      </c>
      <c r="S1" s="16">
        <f t="shared" si="0"/>
        <v>2024</v>
      </c>
      <c r="T1" s="151">
        <f t="shared" si="0"/>
        <v>2024</v>
      </c>
      <c r="U1" s="16">
        <f t="shared" si="0"/>
        <v>2024</v>
      </c>
      <c r="V1" s="16">
        <f t="shared" si="0"/>
        <v>2024</v>
      </c>
      <c r="W1" s="151">
        <f t="shared" si="0"/>
        <v>2024</v>
      </c>
      <c r="X1" s="16">
        <f t="shared" si="0"/>
        <v>2024</v>
      </c>
      <c r="Y1" s="16">
        <f t="shared" si="0"/>
        <v>2024</v>
      </c>
      <c r="Z1" s="16">
        <f t="shared" si="0"/>
        <v>2024</v>
      </c>
      <c r="AA1" s="16">
        <f t="shared" si="0"/>
        <v>2024</v>
      </c>
      <c r="AB1" s="16">
        <f t="shared" si="0"/>
        <v>2024</v>
      </c>
      <c r="AC1" s="16">
        <f t="shared" si="0"/>
        <v>2025</v>
      </c>
      <c r="AD1" s="16">
        <f t="shared" si="0"/>
        <v>2025</v>
      </c>
      <c r="AE1" s="16">
        <f t="shared" si="0"/>
        <v>2025</v>
      </c>
      <c r="AF1" s="16">
        <f t="shared" si="0"/>
        <v>2025</v>
      </c>
      <c r="AG1" s="16">
        <f t="shared" si="0"/>
        <v>2025</v>
      </c>
      <c r="AH1" s="16">
        <f t="shared" si="0"/>
        <v>2025</v>
      </c>
      <c r="AI1" s="16">
        <f t="shared" si="0"/>
        <v>2025</v>
      </c>
      <c r="AJ1" s="16">
        <f t="shared" si="0"/>
        <v>2025</v>
      </c>
      <c r="AK1" s="16">
        <f t="shared" si="0"/>
        <v>2025</v>
      </c>
      <c r="AL1" s="16">
        <f t="shared" si="0"/>
        <v>2025</v>
      </c>
      <c r="AM1" s="16">
        <f t="shared" si="0"/>
        <v>2025</v>
      </c>
      <c r="AN1" s="16">
        <f t="shared" si="0"/>
        <v>2025</v>
      </c>
      <c r="AO1" s="16">
        <f t="shared" si="0"/>
        <v>2026</v>
      </c>
      <c r="AP1" s="16">
        <f t="shared" si="0"/>
        <v>2026</v>
      </c>
      <c r="AQ1" s="16">
        <f t="shared" si="0"/>
        <v>2026</v>
      </c>
      <c r="AR1" s="16">
        <f t="shared" si="0"/>
        <v>2026</v>
      </c>
      <c r="AS1" s="16">
        <f t="shared" si="0"/>
        <v>2026</v>
      </c>
      <c r="AT1" s="16">
        <f t="shared" si="0"/>
        <v>2026</v>
      </c>
      <c r="AU1" s="16">
        <f t="shared" si="0"/>
        <v>2026</v>
      </c>
      <c r="AV1" s="16">
        <f t="shared" si="0"/>
        <v>2026</v>
      </c>
      <c r="AW1" s="16">
        <f t="shared" si="0"/>
        <v>2026</v>
      </c>
      <c r="AX1" s="16">
        <f t="shared" si="0"/>
        <v>2026</v>
      </c>
      <c r="AY1" s="16">
        <f t="shared" si="0"/>
        <v>2026</v>
      </c>
      <c r="AZ1" s="16">
        <f t="shared" si="0"/>
        <v>2026</v>
      </c>
      <c r="BA1" s="16">
        <f t="shared" si="0"/>
        <v>2027</v>
      </c>
      <c r="BB1" s="16">
        <f t="shared" si="0"/>
        <v>2027</v>
      </c>
      <c r="BC1" s="16">
        <f t="shared" si="0"/>
        <v>2027</v>
      </c>
      <c r="BD1" s="16">
        <f t="shared" si="0"/>
        <v>2027</v>
      </c>
      <c r="BE1" s="16">
        <f t="shared" si="0"/>
        <v>2027</v>
      </c>
      <c r="BF1" s="16">
        <f t="shared" si="0"/>
        <v>2027</v>
      </c>
      <c r="BG1" s="16">
        <f t="shared" si="0"/>
        <v>2027</v>
      </c>
      <c r="BH1" s="16">
        <f t="shared" si="0"/>
        <v>2027</v>
      </c>
      <c r="BI1" s="16">
        <f t="shared" si="0"/>
        <v>2027</v>
      </c>
      <c r="BJ1" s="16">
        <f t="shared" si="0"/>
        <v>2027</v>
      </c>
      <c r="BK1" s="16">
        <f t="shared" si="0"/>
        <v>2027</v>
      </c>
      <c r="BL1" s="16">
        <f t="shared" si="0"/>
        <v>2027</v>
      </c>
      <c r="BM1" s="16">
        <f t="shared" si="0"/>
        <v>2028</v>
      </c>
      <c r="BN1" s="16">
        <f t="shared" si="0"/>
        <v>2028</v>
      </c>
      <c r="BO1" s="16">
        <f t="shared" si="0"/>
        <v>2028</v>
      </c>
      <c r="BP1" s="16">
        <f t="shared" si="0"/>
        <v>2028</v>
      </c>
      <c r="BQ1" s="16">
        <f t="shared" ref="BQ1:CV1" si="1">YEAR(BQ3)</f>
        <v>2028</v>
      </c>
      <c r="BR1" s="16">
        <f t="shared" si="1"/>
        <v>2028</v>
      </c>
      <c r="BS1" s="16">
        <f t="shared" si="1"/>
        <v>2028</v>
      </c>
      <c r="BT1" s="16">
        <f t="shared" si="1"/>
        <v>2028</v>
      </c>
      <c r="BU1" s="16">
        <f t="shared" si="1"/>
        <v>2028</v>
      </c>
      <c r="BV1" s="16">
        <f t="shared" si="1"/>
        <v>2028</v>
      </c>
      <c r="BW1" s="16">
        <f t="shared" si="1"/>
        <v>2028</v>
      </c>
      <c r="BX1" s="16">
        <f t="shared" si="1"/>
        <v>2028</v>
      </c>
      <c r="BY1" s="16">
        <f t="shared" si="1"/>
        <v>2029</v>
      </c>
      <c r="BZ1" s="16">
        <f t="shared" si="1"/>
        <v>2029</v>
      </c>
      <c r="CA1" s="16">
        <f t="shared" si="1"/>
        <v>2029</v>
      </c>
      <c r="CB1" s="16">
        <f t="shared" si="1"/>
        <v>2029</v>
      </c>
      <c r="CC1" s="16">
        <f t="shared" si="1"/>
        <v>2029</v>
      </c>
      <c r="CD1" s="16">
        <f t="shared" si="1"/>
        <v>2029</v>
      </c>
      <c r="CE1" s="16">
        <f t="shared" si="1"/>
        <v>2029</v>
      </c>
      <c r="CF1" s="16">
        <f t="shared" si="1"/>
        <v>2029</v>
      </c>
      <c r="CG1" s="16">
        <f t="shared" si="1"/>
        <v>2029</v>
      </c>
      <c r="CH1" s="16">
        <f t="shared" si="1"/>
        <v>2029</v>
      </c>
      <c r="CI1" s="16">
        <f t="shared" si="1"/>
        <v>2029</v>
      </c>
      <c r="CJ1" s="16">
        <f t="shared" si="1"/>
        <v>2029</v>
      </c>
      <c r="CK1" s="16">
        <f t="shared" si="1"/>
        <v>2030</v>
      </c>
      <c r="CL1" s="16">
        <f t="shared" si="1"/>
        <v>2030</v>
      </c>
      <c r="CM1" s="16">
        <f t="shared" si="1"/>
        <v>2030</v>
      </c>
      <c r="CN1" s="16">
        <f t="shared" si="1"/>
        <v>2030</v>
      </c>
      <c r="CO1" s="16">
        <f t="shared" si="1"/>
        <v>2030</v>
      </c>
      <c r="CP1" s="16">
        <f t="shared" si="1"/>
        <v>2030</v>
      </c>
      <c r="CQ1" s="16">
        <f t="shared" si="1"/>
        <v>2030</v>
      </c>
      <c r="CR1" s="16">
        <f t="shared" si="1"/>
        <v>2030</v>
      </c>
      <c r="CS1" s="16">
        <f t="shared" si="1"/>
        <v>2030</v>
      </c>
      <c r="CT1" s="16">
        <f t="shared" si="1"/>
        <v>2030</v>
      </c>
      <c r="CU1" s="16">
        <f t="shared" si="1"/>
        <v>2030</v>
      </c>
      <c r="CV1" s="16">
        <f t="shared" si="1"/>
        <v>2030</v>
      </c>
      <c r="CW1" s="16">
        <f t="shared" ref="CW1:DG1" si="2">YEAR(CW3)</f>
        <v>2031</v>
      </c>
      <c r="CX1" s="16">
        <f t="shared" si="2"/>
        <v>2031</v>
      </c>
      <c r="CY1" s="16">
        <f t="shared" si="2"/>
        <v>2031</v>
      </c>
      <c r="CZ1" s="16">
        <f t="shared" si="2"/>
        <v>2031</v>
      </c>
      <c r="DA1" s="16">
        <f t="shared" si="2"/>
        <v>2031</v>
      </c>
      <c r="DB1" s="16">
        <f t="shared" si="2"/>
        <v>2031</v>
      </c>
      <c r="DC1" s="16">
        <f t="shared" si="2"/>
        <v>2031</v>
      </c>
      <c r="DD1" s="16">
        <f t="shared" si="2"/>
        <v>2031</v>
      </c>
      <c r="DE1" s="16">
        <f t="shared" si="2"/>
        <v>2031</v>
      </c>
      <c r="DF1" s="16">
        <f t="shared" si="2"/>
        <v>2031</v>
      </c>
      <c r="DG1" s="16">
        <f t="shared" si="2"/>
        <v>2031</v>
      </c>
      <c r="DH1" s="16">
        <f t="shared" ref="DH1" si="3">YEAR(DH3)</f>
        <v>2031</v>
      </c>
    </row>
    <row r="2" spans="2:112" x14ac:dyDescent="0.25">
      <c r="E2" s="138" t="str">
        <f>+"Q1 "&amp;E1</f>
        <v>Q1 2023</v>
      </c>
      <c r="F2" s="138" t="str">
        <f>+"Q1 "&amp;F1</f>
        <v>Q1 2023</v>
      </c>
      <c r="G2" s="138" t="str">
        <f>+"Q1 "&amp;G1</f>
        <v>Q1 2023</v>
      </c>
      <c r="H2" s="138" t="str">
        <f>+"Q2 "&amp;H1</f>
        <v>Q2 2023</v>
      </c>
      <c r="I2" s="138" t="str">
        <f>+"Q2 "&amp;I1</f>
        <v>Q2 2023</v>
      </c>
      <c r="J2" s="138" t="str">
        <f>+"Q2 "&amp;J1</f>
        <v>Q2 2023</v>
      </c>
      <c r="K2" s="138" t="str">
        <f>+"Q3 "&amp;K1</f>
        <v>Q3 2023</v>
      </c>
      <c r="L2" s="138" t="str">
        <f>+"Q3 "&amp;L1</f>
        <v>Q3 2023</v>
      </c>
      <c r="M2" s="138" t="str">
        <f>+"Q3 "&amp;M1</f>
        <v>Q3 2023</v>
      </c>
      <c r="N2" s="138" t="str">
        <f>+"Q4 "&amp;N1</f>
        <v>Q4 2023</v>
      </c>
      <c r="O2" s="138" t="str">
        <f>+"Q4 "&amp;O1</f>
        <v>Q4 2023</v>
      </c>
      <c r="P2" s="138" t="str">
        <f>+"Q4 "&amp;P1</f>
        <v>Q4 2023</v>
      </c>
      <c r="Q2" s="138" t="str">
        <f>+"Q1 "&amp;Q1</f>
        <v>Q1 2024</v>
      </c>
      <c r="R2" s="138" t="str">
        <f>+"Q1 "&amp;R1</f>
        <v>Q1 2024</v>
      </c>
      <c r="S2" s="138" t="str">
        <f>+"Q1 "&amp;S1</f>
        <v>Q1 2024</v>
      </c>
      <c r="T2" s="152" t="str">
        <f>+"Q2 "&amp;T1</f>
        <v>Q2 2024</v>
      </c>
      <c r="U2" s="138" t="str">
        <f>+"Q2 "&amp;U1</f>
        <v>Q2 2024</v>
      </c>
      <c r="V2" s="138" t="str">
        <f>+"Q2 "&amp;V1</f>
        <v>Q2 2024</v>
      </c>
      <c r="W2" s="152" t="str">
        <f>+"Q3 "&amp;W1</f>
        <v>Q3 2024</v>
      </c>
      <c r="X2" s="138" t="str">
        <f>+"Q3 "&amp;X1</f>
        <v>Q3 2024</v>
      </c>
      <c r="Y2" s="138" t="str">
        <f>+"Q3 "&amp;Y1</f>
        <v>Q3 2024</v>
      </c>
      <c r="Z2" s="138" t="str">
        <f>+"Q4 "&amp;Z1</f>
        <v>Q4 2024</v>
      </c>
      <c r="AA2" s="138" t="str">
        <f>+"Q4 "&amp;AA1</f>
        <v>Q4 2024</v>
      </c>
      <c r="AB2" s="138" t="str">
        <f>+"Q4 "&amp;AB1</f>
        <v>Q4 2024</v>
      </c>
      <c r="AC2" s="138" t="str">
        <f>+"Q1 "&amp;AC1</f>
        <v>Q1 2025</v>
      </c>
      <c r="AD2" s="138" t="str">
        <f>+"Q1 "&amp;AD1</f>
        <v>Q1 2025</v>
      </c>
      <c r="AE2" s="138" t="str">
        <f>+"Q1 "&amp;AE1</f>
        <v>Q1 2025</v>
      </c>
      <c r="AF2" s="138" t="str">
        <f>+"Q2 "&amp;AF1</f>
        <v>Q2 2025</v>
      </c>
      <c r="AG2" s="138" t="str">
        <f>+"Q2 "&amp;AG1</f>
        <v>Q2 2025</v>
      </c>
      <c r="AH2" s="138" t="str">
        <f>+"Q2 "&amp;AH1</f>
        <v>Q2 2025</v>
      </c>
      <c r="AI2" s="138" t="str">
        <f>+"Q3 "&amp;AI1</f>
        <v>Q3 2025</v>
      </c>
      <c r="AJ2" s="138" t="str">
        <f>+"Q3 "&amp;AJ1</f>
        <v>Q3 2025</v>
      </c>
      <c r="AK2" s="138" t="str">
        <f>+"Q3 "&amp;AK1</f>
        <v>Q3 2025</v>
      </c>
      <c r="AL2" s="138" t="str">
        <f>+"Q4 "&amp;AL1</f>
        <v>Q4 2025</v>
      </c>
      <c r="AM2" s="138" t="str">
        <f>+"Q4 "&amp;AM1</f>
        <v>Q4 2025</v>
      </c>
      <c r="AN2" s="138" t="str">
        <f>+"Q4 "&amp;AN1</f>
        <v>Q4 2025</v>
      </c>
      <c r="AO2" s="138" t="str">
        <f>+"Q1 "&amp;AO1</f>
        <v>Q1 2026</v>
      </c>
      <c r="AP2" s="138" t="str">
        <f>+"Q1 "&amp;AP1</f>
        <v>Q1 2026</v>
      </c>
      <c r="AQ2" s="138" t="str">
        <f>+"Q1 "&amp;AQ1</f>
        <v>Q1 2026</v>
      </c>
      <c r="AR2" s="138" t="str">
        <f>+"Q2 "&amp;AR1</f>
        <v>Q2 2026</v>
      </c>
      <c r="AS2" s="138" t="str">
        <f>+"Q2 "&amp;AS1</f>
        <v>Q2 2026</v>
      </c>
      <c r="AT2" s="138" t="str">
        <f>+"Q2 "&amp;AT1</f>
        <v>Q2 2026</v>
      </c>
      <c r="AU2" s="138" t="str">
        <f>+"Q3 "&amp;AU1</f>
        <v>Q3 2026</v>
      </c>
      <c r="AV2" s="138" t="str">
        <f>+"Q3 "&amp;AV1</f>
        <v>Q3 2026</v>
      </c>
      <c r="AW2" s="138" t="str">
        <f>+"Q3 "&amp;AW1</f>
        <v>Q3 2026</v>
      </c>
      <c r="AX2" s="138" t="str">
        <f>+"Q4 "&amp;AX1</f>
        <v>Q4 2026</v>
      </c>
      <c r="AY2" s="138" t="str">
        <f>+"Q4 "&amp;AY1</f>
        <v>Q4 2026</v>
      </c>
      <c r="AZ2" s="138" t="str">
        <f>+"Q4 "&amp;AZ1</f>
        <v>Q4 2026</v>
      </c>
      <c r="BA2" s="138" t="str">
        <f>+"Q1 "&amp;BA1</f>
        <v>Q1 2027</v>
      </c>
      <c r="BB2" s="138" t="str">
        <f>+"Q1 "&amp;BB1</f>
        <v>Q1 2027</v>
      </c>
      <c r="BC2" s="138" t="str">
        <f>+"Q1 "&amp;BC1</f>
        <v>Q1 2027</v>
      </c>
      <c r="BD2" s="138" t="str">
        <f>+"Q2 "&amp;BD1</f>
        <v>Q2 2027</v>
      </c>
      <c r="BE2" s="138" t="str">
        <f>+"Q2 "&amp;BE1</f>
        <v>Q2 2027</v>
      </c>
      <c r="BF2" s="138" t="str">
        <f>+"Q2 "&amp;BF1</f>
        <v>Q2 2027</v>
      </c>
      <c r="BG2" s="138" t="str">
        <f>+"Q3 "&amp;BG1</f>
        <v>Q3 2027</v>
      </c>
      <c r="BH2" s="138" t="str">
        <f>+"Q3 "&amp;BH1</f>
        <v>Q3 2027</v>
      </c>
      <c r="BI2" s="138" t="str">
        <f>+"Q3 "&amp;BI1</f>
        <v>Q3 2027</v>
      </c>
      <c r="BJ2" s="138" t="str">
        <f>+"Q4 "&amp;BJ1</f>
        <v>Q4 2027</v>
      </c>
      <c r="BK2" s="138" t="str">
        <f>+"Q4 "&amp;BK1</f>
        <v>Q4 2027</v>
      </c>
      <c r="BL2" s="138" t="str">
        <f>+"Q4 "&amp;BL1</f>
        <v>Q4 2027</v>
      </c>
      <c r="BM2" s="138" t="str">
        <f>+"Q1 "&amp;BM1</f>
        <v>Q1 2028</v>
      </c>
      <c r="BN2" s="138" t="str">
        <f>+"Q1 "&amp;BN1</f>
        <v>Q1 2028</v>
      </c>
      <c r="BO2" s="138" t="str">
        <f>+"Q1 "&amp;BO1</f>
        <v>Q1 2028</v>
      </c>
      <c r="BP2" s="138" t="str">
        <f>+"Q2 "&amp;BP1</f>
        <v>Q2 2028</v>
      </c>
      <c r="BQ2" s="138" t="str">
        <f>+"Q2 "&amp;BQ1</f>
        <v>Q2 2028</v>
      </c>
      <c r="BR2" s="138" t="str">
        <f>+"Q2 "&amp;BR1</f>
        <v>Q2 2028</v>
      </c>
      <c r="BS2" s="138" t="str">
        <f>+"Q3 "&amp;BS1</f>
        <v>Q3 2028</v>
      </c>
      <c r="BT2" s="138" t="str">
        <f>+"Q3 "&amp;BT1</f>
        <v>Q3 2028</v>
      </c>
      <c r="BU2" s="138" t="str">
        <f>+"Q3 "&amp;BU1</f>
        <v>Q3 2028</v>
      </c>
      <c r="BV2" s="138" t="str">
        <f>+"Q4 "&amp;BV1</f>
        <v>Q4 2028</v>
      </c>
      <c r="BW2" s="138" t="str">
        <f>+"Q4 "&amp;BW1</f>
        <v>Q4 2028</v>
      </c>
      <c r="BX2" s="138" t="str">
        <f>+"Q4 "&amp;BX1</f>
        <v>Q4 2028</v>
      </c>
      <c r="BY2" s="138" t="str">
        <f>+"Q1 "&amp;BY1</f>
        <v>Q1 2029</v>
      </c>
      <c r="BZ2" s="138" t="str">
        <f>+"Q1 "&amp;BZ1</f>
        <v>Q1 2029</v>
      </c>
      <c r="CA2" s="138" t="str">
        <f>+"Q1 "&amp;CA1</f>
        <v>Q1 2029</v>
      </c>
      <c r="CB2" s="138" t="str">
        <f>+"Q2 "&amp;CB1</f>
        <v>Q2 2029</v>
      </c>
      <c r="CC2" s="138" t="str">
        <f>+"Q2 "&amp;CC1</f>
        <v>Q2 2029</v>
      </c>
      <c r="CD2" s="138" t="str">
        <f>+"Q2 "&amp;CD1</f>
        <v>Q2 2029</v>
      </c>
      <c r="CE2" s="138" t="str">
        <f>+"Q3 "&amp;CE1</f>
        <v>Q3 2029</v>
      </c>
      <c r="CF2" s="138" t="str">
        <f>+"Q3 "&amp;CF1</f>
        <v>Q3 2029</v>
      </c>
      <c r="CG2" s="138" t="str">
        <f>+"Q3 "&amp;CG1</f>
        <v>Q3 2029</v>
      </c>
      <c r="CH2" s="138" t="str">
        <f>+"Q4 "&amp;CH1</f>
        <v>Q4 2029</v>
      </c>
      <c r="CI2" s="138" t="str">
        <f>+"Q4 "&amp;CI1</f>
        <v>Q4 2029</v>
      </c>
      <c r="CJ2" s="138" t="str">
        <f>+"Q4 "&amp;CJ1</f>
        <v>Q4 2029</v>
      </c>
      <c r="CK2" s="138" t="str">
        <f>+"Q1 "&amp;CK1</f>
        <v>Q1 2030</v>
      </c>
      <c r="CL2" s="138" t="str">
        <f>+"Q1 "&amp;CL1</f>
        <v>Q1 2030</v>
      </c>
      <c r="CM2" s="138" t="str">
        <f>+"Q1 "&amp;CM1</f>
        <v>Q1 2030</v>
      </c>
      <c r="CN2" s="138" t="str">
        <f>+"Q2 "&amp;CN1</f>
        <v>Q2 2030</v>
      </c>
      <c r="CO2" s="138" t="str">
        <f>+"Q2 "&amp;CO1</f>
        <v>Q2 2030</v>
      </c>
      <c r="CP2" s="138" t="str">
        <f>+"Q2 "&amp;CP1</f>
        <v>Q2 2030</v>
      </c>
      <c r="CQ2" s="138" t="str">
        <f>+"Q3 "&amp;CQ1</f>
        <v>Q3 2030</v>
      </c>
      <c r="CR2" s="138" t="str">
        <f>+"Q3 "&amp;CR1</f>
        <v>Q3 2030</v>
      </c>
      <c r="CS2" s="138" t="str">
        <f>+"Q3 "&amp;CS1</f>
        <v>Q3 2030</v>
      </c>
      <c r="CT2" s="138" t="str">
        <f>+"Q4 "&amp;CT1</f>
        <v>Q4 2030</v>
      </c>
      <c r="CU2" s="138" t="str">
        <f>+"Q4 "&amp;CU1</f>
        <v>Q4 2030</v>
      </c>
      <c r="CV2" s="138" t="str">
        <f>+"Q4 "&amp;CV1</f>
        <v>Q4 2030</v>
      </c>
      <c r="CW2" s="138" t="str">
        <f t="shared" ref="CW2:DH2" si="4">+"Q4 "&amp;CW1</f>
        <v>Q4 2031</v>
      </c>
      <c r="CX2" s="138" t="str">
        <f t="shared" si="4"/>
        <v>Q4 2031</v>
      </c>
      <c r="CY2" s="138" t="str">
        <f t="shared" si="4"/>
        <v>Q4 2031</v>
      </c>
      <c r="CZ2" s="138" t="str">
        <f t="shared" si="4"/>
        <v>Q4 2031</v>
      </c>
      <c r="DA2" s="138" t="str">
        <f t="shared" si="4"/>
        <v>Q4 2031</v>
      </c>
      <c r="DB2" s="138" t="str">
        <f t="shared" si="4"/>
        <v>Q4 2031</v>
      </c>
      <c r="DC2" s="138" t="str">
        <f t="shared" si="4"/>
        <v>Q4 2031</v>
      </c>
      <c r="DD2" s="138" t="str">
        <f t="shared" si="4"/>
        <v>Q4 2031</v>
      </c>
      <c r="DE2" s="138" t="str">
        <f t="shared" si="4"/>
        <v>Q4 2031</v>
      </c>
      <c r="DF2" s="138" t="str">
        <f t="shared" si="4"/>
        <v>Q4 2031</v>
      </c>
      <c r="DG2" s="138" t="str">
        <f t="shared" si="4"/>
        <v>Q4 2031</v>
      </c>
      <c r="DH2" s="138" t="str">
        <f t="shared" si="4"/>
        <v>Q4 2031</v>
      </c>
    </row>
    <row r="3" spans="2:112" ht="15.75" thickBot="1" x14ac:dyDescent="0.3">
      <c r="E3" s="136">
        <v>44957</v>
      </c>
      <c r="F3" s="20">
        <v>44985</v>
      </c>
      <c r="G3" s="20">
        <v>45016</v>
      </c>
      <c r="H3" s="20">
        <v>45046</v>
      </c>
      <c r="I3" s="20">
        <v>45077</v>
      </c>
      <c r="J3" s="20">
        <v>45107</v>
      </c>
      <c r="K3" s="20">
        <v>45138</v>
      </c>
      <c r="L3" s="20">
        <v>45169</v>
      </c>
      <c r="M3" s="20">
        <v>45199</v>
      </c>
      <c r="N3" s="20">
        <v>45230</v>
      </c>
      <c r="O3" s="20">
        <v>45260</v>
      </c>
      <c r="P3" s="20">
        <v>45291</v>
      </c>
      <c r="Q3" s="20">
        <v>45322</v>
      </c>
      <c r="R3" s="20">
        <v>45351</v>
      </c>
      <c r="S3" s="20">
        <v>45382</v>
      </c>
      <c r="T3" s="153">
        <v>45412</v>
      </c>
      <c r="U3" s="20">
        <v>45443</v>
      </c>
      <c r="V3" s="20">
        <v>45473</v>
      </c>
      <c r="W3" s="153">
        <v>45504</v>
      </c>
      <c r="X3" s="20">
        <v>45535</v>
      </c>
      <c r="Y3" s="20">
        <v>45565</v>
      </c>
      <c r="Z3" s="20">
        <v>45596</v>
      </c>
      <c r="AA3" s="20">
        <v>45626</v>
      </c>
      <c r="AB3" s="20">
        <v>45657</v>
      </c>
      <c r="AC3" s="20">
        <v>45688</v>
      </c>
      <c r="AD3" s="20">
        <v>45716</v>
      </c>
      <c r="AE3" s="20">
        <v>45747</v>
      </c>
      <c r="AF3" s="20">
        <v>45777</v>
      </c>
      <c r="AG3" s="20">
        <v>45808</v>
      </c>
      <c r="AH3" s="20">
        <v>45838</v>
      </c>
      <c r="AI3" s="20">
        <v>45869</v>
      </c>
      <c r="AJ3" s="20">
        <v>45900</v>
      </c>
      <c r="AK3" s="20">
        <v>45930</v>
      </c>
      <c r="AL3" s="20">
        <v>45961</v>
      </c>
      <c r="AM3" s="20">
        <v>45991</v>
      </c>
      <c r="AN3" s="20">
        <v>46022</v>
      </c>
      <c r="AO3" s="20">
        <v>46053</v>
      </c>
      <c r="AP3" s="20">
        <v>46081</v>
      </c>
      <c r="AQ3" s="20">
        <v>46112</v>
      </c>
      <c r="AR3" s="20">
        <v>46142</v>
      </c>
      <c r="AS3" s="20">
        <v>46173</v>
      </c>
      <c r="AT3" s="20">
        <v>46203</v>
      </c>
      <c r="AU3" s="20">
        <v>46234</v>
      </c>
      <c r="AV3" s="20">
        <v>46265</v>
      </c>
      <c r="AW3" s="20">
        <v>46295</v>
      </c>
      <c r="AX3" s="20">
        <v>46326</v>
      </c>
      <c r="AY3" s="20">
        <v>46356</v>
      </c>
      <c r="AZ3" s="20">
        <v>46387</v>
      </c>
      <c r="BA3" s="20">
        <v>46418</v>
      </c>
      <c r="BB3" s="20">
        <v>46446</v>
      </c>
      <c r="BC3" s="20">
        <v>46477</v>
      </c>
      <c r="BD3" s="20">
        <v>46507</v>
      </c>
      <c r="BE3" s="20">
        <v>46538</v>
      </c>
      <c r="BF3" s="20">
        <v>46568</v>
      </c>
      <c r="BG3" s="20">
        <v>46599</v>
      </c>
      <c r="BH3" s="20">
        <v>46630</v>
      </c>
      <c r="BI3" s="20">
        <v>46660</v>
      </c>
      <c r="BJ3" s="20">
        <v>46691</v>
      </c>
      <c r="BK3" s="20">
        <v>46721</v>
      </c>
      <c r="BL3" s="20">
        <v>46752</v>
      </c>
      <c r="BM3" s="20">
        <v>46783</v>
      </c>
      <c r="BN3" s="20">
        <v>46812</v>
      </c>
      <c r="BO3" s="20">
        <v>46843</v>
      </c>
      <c r="BP3" s="20">
        <v>46873</v>
      </c>
      <c r="BQ3" s="20">
        <v>46904</v>
      </c>
      <c r="BR3" s="20">
        <v>46934</v>
      </c>
      <c r="BS3" s="20">
        <v>46965</v>
      </c>
      <c r="BT3" s="20">
        <v>46996</v>
      </c>
      <c r="BU3" s="20">
        <v>47026</v>
      </c>
      <c r="BV3" s="20">
        <v>47057</v>
      </c>
      <c r="BW3" s="20">
        <v>47087</v>
      </c>
      <c r="BX3" s="20">
        <v>47118</v>
      </c>
      <c r="BY3" s="20">
        <v>47149</v>
      </c>
      <c r="BZ3" s="20">
        <v>47177</v>
      </c>
      <c r="CA3" s="20">
        <v>47208</v>
      </c>
      <c r="CB3" s="20">
        <v>47238</v>
      </c>
      <c r="CC3" s="20">
        <v>47269</v>
      </c>
      <c r="CD3" s="20">
        <v>47299</v>
      </c>
      <c r="CE3" s="20">
        <v>47330</v>
      </c>
      <c r="CF3" s="20">
        <v>47361</v>
      </c>
      <c r="CG3" s="20">
        <v>47391</v>
      </c>
      <c r="CH3" s="20">
        <v>47422</v>
      </c>
      <c r="CI3" s="20">
        <v>47452</v>
      </c>
      <c r="CJ3" s="20">
        <v>47483</v>
      </c>
      <c r="CK3" s="20">
        <v>47514</v>
      </c>
      <c r="CL3" s="20">
        <v>47542</v>
      </c>
      <c r="CM3" s="20">
        <v>47573</v>
      </c>
      <c r="CN3" s="20">
        <v>47603</v>
      </c>
      <c r="CO3" s="20">
        <v>47634</v>
      </c>
      <c r="CP3" s="20">
        <v>47664</v>
      </c>
      <c r="CQ3" s="20">
        <v>47695</v>
      </c>
      <c r="CR3" s="20">
        <v>47726</v>
      </c>
      <c r="CS3" s="20">
        <v>47756</v>
      </c>
      <c r="CT3" s="20">
        <v>47787</v>
      </c>
      <c r="CU3" s="20">
        <v>47817</v>
      </c>
      <c r="CV3" s="20">
        <v>47848</v>
      </c>
      <c r="CW3" s="20">
        <v>47879</v>
      </c>
      <c r="CX3" s="20">
        <v>47907</v>
      </c>
      <c r="CY3" s="20">
        <v>47938</v>
      </c>
      <c r="CZ3" s="20">
        <v>47968</v>
      </c>
      <c r="DA3" s="20">
        <v>47999</v>
      </c>
      <c r="DB3" s="20">
        <v>48029</v>
      </c>
      <c r="DC3" s="20">
        <v>48060</v>
      </c>
      <c r="DD3" s="20">
        <v>48091</v>
      </c>
      <c r="DE3" s="20">
        <v>48121</v>
      </c>
      <c r="DF3" s="20">
        <v>48152</v>
      </c>
      <c r="DG3" s="20">
        <v>48182</v>
      </c>
      <c r="DH3" s="20">
        <v>48182</v>
      </c>
    </row>
    <row r="5" spans="2:112" x14ac:dyDescent="0.25">
      <c r="B5" t="s">
        <v>229</v>
      </c>
      <c r="D5" t="s">
        <v>232</v>
      </c>
      <c r="E5" s="245">
        <f>+$C$6*(E7/$C$7)</f>
        <v>0</v>
      </c>
      <c r="F5" s="245">
        <f t="shared" ref="F5:I5" si="5">+$C$6*(F7/$C$7)</f>
        <v>0</v>
      </c>
      <c r="G5" s="245">
        <f t="shared" si="5"/>
        <v>0</v>
      </c>
      <c r="H5" s="245">
        <f t="shared" si="5"/>
        <v>0</v>
      </c>
      <c r="I5" s="245">
        <f t="shared" si="5"/>
        <v>0</v>
      </c>
      <c r="J5" s="245">
        <v>0</v>
      </c>
      <c r="K5" s="245">
        <v>0</v>
      </c>
      <c r="L5" s="246">
        <v>27721.396153846152</v>
      </c>
      <c r="M5" s="246">
        <v>2097.830769230769</v>
      </c>
      <c r="N5" s="246">
        <v>94903.523076923069</v>
      </c>
      <c r="O5" s="246">
        <v>170208.46153846153</v>
      </c>
      <c r="P5" s="246">
        <v>155068.78692307702</v>
      </c>
      <c r="Q5" s="246">
        <f>+(Q7/U8)*$C$6</f>
        <v>87244.400821314324</v>
      </c>
      <c r="R5" s="493">
        <f t="shared" ref="R5:S5" si="6">+(R7/V8)*$C$6</f>
        <v>18265.480044688287</v>
      </c>
      <c r="S5" s="246">
        <f t="shared" si="6"/>
        <v>139877.15670038012</v>
      </c>
      <c r="T5" s="246">
        <f>+(T7/X8)*$C$6+22221.42</f>
        <v>54612.964280799766</v>
      </c>
      <c r="U5" s="246">
        <v>1995</v>
      </c>
      <c r="V5" s="146">
        <f t="shared" ref="V5:X5" si="7">+IF(V8=$C$7,V10-U6,$C$6*(V7/$C$7))</f>
        <v>0</v>
      </c>
      <c r="W5" s="146">
        <f t="shared" si="7"/>
        <v>0</v>
      </c>
      <c r="X5" s="146">
        <f t="shared" si="7"/>
        <v>0</v>
      </c>
      <c r="Y5" s="146"/>
      <c r="Z5" s="146"/>
      <c r="AA5" s="146"/>
      <c r="AB5" s="146"/>
      <c r="AC5" s="146"/>
      <c r="AD5" s="146"/>
      <c r="AE5" s="146"/>
      <c r="AF5" s="245"/>
      <c r="AG5" s="146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5"/>
    </row>
    <row r="6" spans="2:112" x14ac:dyDescent="0.25">
      <c r="B6" t="s">
        <v>230</v>
      </c>
      <c r="C6" s="196">
        <v>750000</v>
      </c>
      <c r="D6" t="s">
        <v>282</v>
      </c>
      <c r="E6" s="245"/>
      <c r="F6" s="245">
        <f>+F5+E6</f>
        <v>0</v>
      </c>
      <c r="G6" s="245">
        <f t="shared" ref="G6:X6" si="8">+G5+F6</f>
        <v>0</v>
      </c>
      <c r="H6" s="245">
        <f t="shared" si="8"/>
        <v>0</v>
      </c>
      <c r="I6" s="245">
        <f t="shared" si="8"/>
        <v>0</v>
      </c>
      <c r="J6" s="245">
        <f>+J5+I6</f>
        <v>0</v>
      </c>
      <c r="K6" s="245">
        <f t="shared" si="8"/>
        <v>0</v>
      </c>
      <c r="L6" s="245">
        <f>+L5+K6</f>
        <v>27721.396153846152</v>
      </c>
      <c r="M6" s="245">
        <f t="shared" si="8"/>
        <v>29819.22692307692</v>
      </c>
      <c r="N6" s="245">
        <f t="shared" si="8"/>
        <v>124722.74999999999</v>
      </c>
      <c r="O6" s="245">
        <f t="shared" si="8"/>
        <v>294931.2115384615</v>
      </c>
      <c r="P6" s="245">
        <f t="shared" si="8"/>
        <v>449999.99846153852</v>
      </c>
      <c r="Q6" s="245">
        <f>+Q5+P6</f>
        <v>537244.39928285289</v>
      </c>
      <c r="R6" s="146">
        <f t="shared" ref="R6:T6" si="9">+R5+Q6</f>
        <v>555509.87932754122</v>
      </c>
      <c r="S6" s="245">
        <f t="shared" si="9"/>
        <v>695387.03602792136</v>
      </c>
      <c r="T6" s="245">
        <f t="shared" si="9"/>
        <v>750000.00030872109</v>
      </c>
      <c r="U6" s="245">
        <f>+U5+T6</f>
        <v>751995.00030872109</v>
      </c>
      <c r="V6" s="146">
        <f>+V5+U6</f>
        <v>751995.00030872109</v>
      </c>
      <c r="W6" s="146">
        <f t="shared" si="8"/>
        <v>751995.00030872109</v>
      </c>
      <c r="X6" s="146">
        <f t="shared" si="8"/>
        <v>751995.00030872109</v>
      </c>
      <c r="Y6" s="146"/>
      <c r="Z6" s="146"/>
      <c r="AA6" s="146"/>
      <c r="AB6" s="146"/>
      <c r="AC6" s="146"/>
      <c r="AD6" s="146"/>
      <c r="AE6" s="146"/>
      <c r="AF6" s="245"/>
      <c r="AG6" s="146"/>
      <c r="AH6" s="245"/>
      <c r="AI6" s="245"/>
      <c r="AJ6" s="245"/>
      <c r="AK6" s="245"/>
      <c r="AL6" s="245"/>
      <c r="AM6" s="245"/>
      <c r="AN6" s="245"/>
      <c r="AO6" s="245"/>
      <c r="AP6" s="245"/>
      <c r="AQ6" s="245"/>
      <c r="AR6" s="245"/>
      <c r="AS6" s="245"/>
      <c r="AT6" s="245"/>
      <c r="AU6" s="245"/>
      <c r="AV6" s="245"/>
      <c r="AW6" s="245"/>
      <c r="AX6" s="245"/>
      <c r="AY6" s="245"/>
      <c r="AZ6" s="245"/>
    </row>
    <row r="7" spans="2:112" x14ac:dyDescent="0.25">
      <c r="B7" t="s">
        <v>438</v>
      </c>
      <c r="C7" s="196">
        <v>650000</v>
      </c>
      <c r="D7" t="s">
        <v>231</v>
      </c>
      <c r="E7" s="246">
        <v>0</v>
      </c>
      <c r="F7" s="246">
        <v>0</v>
      </c>
      <c r="G7" s="246">
        <v>0</v>
      </c>
      <c r="H7" s="246">
        <v>0</v>
      </c>
      <c r="I7" s="246">
        <v>0</v>
      </c>
      <c r="J7" s="246">
        <v>3398</v>
      </c>
      <c r="K7" s="246">
        <v>486</v>
      </c>
      <c r="L7" s="246">
        <v>20141.21</v>
      </c>
      <c r="M7" s="246">
        <v>1818.12</v>
      </c>
      <c r="N7" s="246">
        <v>82249.72</v>
      </c>
      <c r="O7" s="246">
        <v>147501.61000000002</v>
      </c>
      <c r="P7" s="246">
        <v>99389.14</v>
      </c>
      <c r="Q7" s="246">
        <v>65584.38</v>
      </c>
      <c r="R7" s="493">
        <v>13730.740000000002</v>
      </c>
      <c r="S7" s="246">
        <v>105150.09</v>
      </c>
      <c r="T7" s="246">
        <v>24349.75</v>
      </c>
      <c r="U7" s="245">
        <v>0</v>
      </c>
      <c r="V7" s="146">
        <v>0</v>
      </c>
      <c r="W7" s="146">
        <v>0</v>
      </c>
      <c r="X7" s="146">
        <v>0</v>
      </c>
      <c r="Y7" s="146"/>
      <c r="Z7" s="146"/>
      <c r="AA7" s="146"/>
      <c r="AB7" s="146"/>
      <c r="AC7" s="146"/>
      <c r="AD7" s="146"/>
      <c r="AE7" s="146"/>
      <c r="AF7" s="245"/>
      <c r="AG7" s="146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/>
      <c r="AX7" s="245"/>
      <c r="AY7" s="245"/>
      <c r="AZ7" s="245"/>
    </row>
    <row r="8" spans="2:112" x14ac:dyDescent="0.25">
      <c r="B8" t="s">
        <v>439</v>
      </c>
      <c r="C8" s="196">
        <f>+V8</f>
        <v>563798.76</v>
      </c>
      <c r="D8" t="s">
        <v>243</v>
      </c>
      <c r="F8" s="9">
        <f>+F7+E8</f>
        <v>0</v>
      </c>
      <c r="G8" s="9">
        <f t="shared" ref="G8:W8" si="10">+G7+F8</f>
        <v>0</v>
      </c>
      <c r="H8" s="9">
        <f t="shared" si="10"/>
        <v>0</v>
      </c>
      <c r="I8" s="9">
        <f t="shared" si="10"/>
        <v>0</v>
      </c>
      <c r="J8" s="9">
        <f t="shared" si="10"/>
        <v>3398</v>
      </c>
      <c r="K8" s="9">
        <f t="shared" si="10"/>
        <v>3884</v>
      </c>
      <c r="L8" s="9">
        <f t="shared" si="10"/>
        <v>24025.21</v>
      </c>
      <c r="M8" s="9">
        <f t="shared" si="10"/>
        <v>25843.329999999998</v>
      </c>
      <c r="N8" s="9">
        <f t="shared" si="10"/>
        <v>108093.05</v>
      </c>
      <c r="O8" s="9">
        <f t="shared" si="10"/>
        <v>255594.66000000003</v>
      </c>
      <c r="P8" s="9">
        <f t="shared" si="10"/>
        <v>354983.80000000005</v>
      </c>
      <c r="Q8" s="9">
        <f t="shared" si="10"/>
        <v>420568.18000000005</v>
      </c>
      <c r="R8" s="9">
        <f t="shared" ref="R8" si="11">+R7+Q8</f>
        <v>434298.92000000004</v>
      </c>
      <c r="S8" s="9">
        <f t="shared" ref="S8" si="12">+S7+R8</f>
        <v>539449.01</v>
      </c>
      <c r="T8" s="9">
        <f t="shared" ref="T8" si="13">+T7+S8</f>
        <v>563798.76</v>
      </c>
      <c r="U8" s="9">
        <f t="shared" si="10"/>
        <v>563798.76</v>
      </c>
      <c r="V8" s="9">
        <f t="shared" si="10"/>
        <v>563798.76</v>
      </c>
      <c r="W8" s="9">
        <f t="shared" si="10"/>
        <v>563798.76</v>
      </c>
      <c r="X8" s="9">
        <f t="shared" ref="X8" si="14">+X7+W8</f>
        <v>563798.76</v>
      </c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2:112" x14ac:dyDescent="0.25">
      <c r="D9" t="s">
        <v>278</v>
      </c>
      <c r="F9" s="9">
        <f>+'Monthly Detail'!Q144</f>
        <v>0</v>
      </c>
      <c r="G9" s="9">
        <f>+'Monthly Detail'!R144</f>
        <v>0</v>
      </c>
      <c r="H9" s="9">
        <f>+'Monthly Detail'!S144</f>
        <v>0</v>
      </c>
      <c r="I9" s="9">
        <f>+'Monthly Detail'!T144</f>
        <v>75000</v>
      </c>
      <c r="J9" s="9">
        <f>+'Monthly Detail'!U144</f>
        <v>0</v>
      </c>
      <c r="K9" s="9">
        <f>+'Monthly Detail'!V144</f>
        <v>0</v>
      </c>
      <c r="L9" s="9">
        <f>+'Monthly Detail'!W144</f>
        <v>0</v>
      </c>
      <c r="M9" s="9">
        <f>+'Monthly Detail'!X144</f>
        <v>0</v>
      </c>
      <c r="N9" s="9">
        <f>+'Monthly Detail'!Y144</f>
        <v>150000</v>
      </c>
      <c r="O9" s="9">
        <f>+'Monthly Detail'!Z144</f>
        <v>187500</v>
      </c>
      <c r="P9" s="9">
        <f>+'Monthly Detail'!AA144</f>
        <v>112500</v>
      </c>
      <c r="Q9" s="9">
        <f>+'Monthly Detail'!AB144</f>
        <v>0</v>
      </c>
      <c r="R9" s="9">
        <f>+'Monthly Detail'!AC144</f>
        <v>112500</v>
      </c>
      <c r="S9" s="9">
        <f>+'Monthly Detail'!AD144</f>
        <v>112500</v>
      </c>
      <c r="T9" s="246">
        <v>0</v>
      </c>
      <c r="U9" s="246">
        <v>0</v>
      </c>
      <c r="V9" s="493">
        <v>0</v>
      </c>
      <c r="W9" s="493">
        <v>0</v>
      </c>
      <c r="X9" s="493">
        <v>0</v>
      </c>
      <c r="Y9" s="493"/>
      <c r="Z9" s="493"/>
      <c r="AA9" s="493"/>
      <c r="AB9" s="493"/>
      <c r="AC9" s="493"/>
      <c r="AD9" s="493"/>
      <c r="AE9" s="493"/>
      <c r="AF9" s="246"/>
      <c r="AG9" s="493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</row>
    <row r="10" spans="2:112" x14ac:dyDescent="0.25">
      <c r="D10" t="s">
        <v>277</v>
      </c>
      <c r="F10" s="9">
        <f>+F9+E10</f>
        <v>0</v>
      </c>
      <c r="G10" s="9">
        <f t="shared" ref="G10:X10" si="15">+G9+F10</f>
        <v>0</v>
      </c>
      <c r="H10" s="9">
        <f t="shared" si="15"/>
        <v>0</v>
      </c>
      <c r="I10" s="9">
        <f t="shared" si="15"/>
        <v>75000</v>
      </c>
      <c r="J10" s="9">
        <f t="shared" si="15"/>
        <v>75000</v>
      </c>
      <c r="K10" s="9">
        <f t="shared" si="15"/>
        <v>75000</v>
      </c>
      <c r="L10" s="9">
        <f t="shared" si="15"/>
        <v>75000</v>
      </c>
      <c r="M10" s="9">
        <f t="shared" si="15"/>
        <v>75000</v>
      </c>
      <c r="N10" s="9">
        <f t="shared" si="15"/>
        <v>225000</v>
      </c>
      <c r="O10" s="9">
        <f t="shared" si="15"/>
        <v>412500</v>
      </c>
      <c r="P10" s="9">
        <f t="shared" si="15"/>
        <v>525000</v>
      </c>
      <c r="Q10" s="9">
        <f t="shared" si="15"/>
        <v>525000</v>
      </c>
      <c r="R10" s="9">
        <f t="shared" ref="R10" si="16">+R9+Q10</f>
        <v>637500</v>
      </c>
      <c r="S10" s="9">
        <f t="shared" ref="S10" si="17">+S9+R10</f>
        <v>750000</v>
      </c>
      <c r="T10" s="9">
        <f t="shared" ref="T10" si="18">+T9+S10</f>
        <v>750000</v>
      </c>
      <c r="U10" s="9">
        <f t="shared" si="15"/>
        <v>750000</v>
      </c>
      <c r="V10" s="9">
        <f t="shared" si="15"/>
        <v>750000</v>
      </c>
      <c r="W10" s="9">
        <f t="shared" si="15"/>
        <v>750000</v>
      </c>
      <c r="X10" s="9">
        <f t="shared" si="15"/>
        <v>750000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2:112" x14ac:dyDescent="0.25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2:112" x14ac:dyDescent="0.25"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2:112" x14ac:dyDescent="0.25">
      <c r="F13" s="472">
        <f t="shared" ref="F13:AK13" si="19">+IF(F3&lt;$C$17,0,IF(AND(F3&gt;=$C$17,E13&lt;12, $C$18&gt;=F3),E13+1,0))</f>
        <v>0</v>
      </c>
      <c r="G13" s="472">
        <f t="shared" si="19"/>
        <v>0</v>
      </c>
      <c r="H13" s="472">
        <f t="shared" si="19"/>
        <v>0</v>
      </c>
      <c r="I13" s="472">
        <f t="shared" si="19"/>
        <v>0</v>
      </c>
      <c r="J13" s="472">
        <f t="shared" si="19"/>
        <v>0</v>
      </c>
      <c r="K13" s="472">
        <f t="shared" si="19"/>
        <v>0</v>
      </c>
      <c r="L13" s="472">
        <f t="shared" si="19"/>
        <v>0</v>
      </c>
      <c r="M13" s="472">
        <f t="shared" si="19"/>
        <v>0</v>
      </c>
      <c r="N13" s="472">
        <f t="shared" si="19"/>
        <v>0</v>
      </c>
      <c r="O13" s="472">
        <f t="shared" si="19"/>
        <v>0</v>
      </c>
      <c r="P13" s="472">
        <f t="shared" si="19"/>
        <v>0</v>
      </c>
      <c r="Q13" s="472">
        <f t="shared" si="19"/>
        <v>0</v>
      </c>
      <c r="R13" s="82">
        <f t="shared" si="19"/>
        <v>0</v>
      </c>
      <c r="S13" s="472">
        <f t="shared" si="19"/>
        <v>0</v>
      </c>
      <c r="T13" s="472">
        <f t="shared" si="19"/>
        <v>0</v>
      </c>
      <c r="U13" s="472">
        <f t="shared" si="19"/>
        <v>0</v>
      </c>
      <c r="V13" s="82">
        <f t="shared" si="19"/>
        <v>0</v>
      </c>
      <c r="W13" s="82">
        <f t="shared" si="19"/>
        <v>0</v>
      </c>
      <c r="X13" s="82">
        <f>+IF(X3&lt;$C$17,0,IF(AND(X3&gt;=$C$17,W13&lt;12, $C$18&gt;=X3),W13+1,0))</f>
        <v>0</v>
      </c>
      <c r="Y13" s="82">
        <f t="shared" si="19"/>
        <v>0</v>
      </c>
      <c r="Z13" s="82">
        <f t="shared" si="19"/>
        <v>0</v>
      </c>
      <c r="AA13" s="82">
        <f t="shared" si="19"/>
        <v>0</v>
      </c>
      <c r="AB13" s="82">
        <f t="shared" si="19"/>
        <v>0</v>
      </c>
      <c r="AC13" s="82">
        <f t="shared" si="19"/>
        <v>0</v>
      </c>
      <c r="AD13" s="82">
        <f>+IF(AD3&lt;$C$17,0,IF(AND(AD3&gt;=$C$17,AC13&lt;12, $C$18&gt;=AD3),AC13+1,0))</f>
        <v>0</v>
      </c>
      <c r="AE13" s="82">
        <f t="shared" si="19"/>
        <v>0</v>
      </c>
      <c r="AF13" s="472">
        <f t="shared" si="19"/>
        <v>0</v>
      </c>
      <c r="AG13" s="82">
        <f t="shared" si="19"/>
        <v>1</v>
      </c>
      <c r="AH13" s="472">
        <f t="shared" si="19"/>
        <v>2</v>
      </c>
      <c r="AI13" s="472">
        <f t="shared" si="19"/>
        <v>0</v>
      </c>
      <c r="AJ13" s="472">
        <f t="shared" si="19"/>
        <v>0</v>
      </c>
      <c r="AK13" s="472">
        <f t="shared" si="19"/>
        <v>0</v>
      </c>
      <c r="AL13" s="472">
        <f t="shared" ref="AL13:BQ13" si="20">+IF(AL3&lt;$C$17,0,IF(AND(AL3&gt;=$C$17,AK13&lt;12, $C$18&gt;=AL3),AK13+1,0))</f>
        <v>0</v>
      </c>
      <c r="AM13" s="472">
        <f t="shared" si="20"/>
        <v>0</v>
      </c>
      <c r="AN13" s="472">
        <f t="shared" si="20"/>
        <v>0</v>
      </c>
      <c r="AO13" s="472">
        <f t="shared" si="20"/>
        <v>0</v>
      </c>
      <c r="AP13" s="472">
        <f t="shared" si="20"/>
        <v>0</v>
      </c>
      <c r="AQ13" s="472">
        <f t="shared" si="20"/>
        <v>0</v>
      </c>
      <c r="AR13" s="472">
        <f t="shared" si="20"/>
        <v>0</v>
      </c>
      <c r="AS13" s="472">
        <f t="shared" si="20"/>
        <v>0</v>
      </c>
      <c r="AT13" s="472">
        <f t="shared" si="20"/>
        <v>0</v>
      </c>
      <c r="AU13" s="472">
        <f t="shared" si="20"/>
        <v>0</v>
      </c>
      <c r="AV13" s="472">
        <f t="shared" si="20"/>
        <v>0</v>
      </c>
      <c r="AW13" s="472">
        <f t="shared" si="20"/>
        <v>0</v>
      </c>
      <c r="AX13" s="472">
        <f t="shared" si="20"/>
        <v>0</v>
      </c>
      <c r="AY13" s="472">
        <f t="shared" si="20"/>
        <v>0</v>
      </c>
      <c r="AZ13" s="472">
        <f t="shared" si="20"/>
        <v>0</v>
      </c>
      <c r="BA13" s="472">
        <f t="shared" si="20"/>
        <v>0</v>
      </c>
      <c r="BB13" s="472">
        <f t="shared" si="20"/>
        <v>0</v>
      </c>
      <c r="BC13" s="472">
        <f t="shared" si="20"/>
        <v>0</v>
      </c>
      <c r="BD13" s="472">
        <f t="shared" si="20"/>
        <v>0</v>
      </c>
      <c r="BE13" s="472">
        <f t="shared" si="20"/>
        <v>0</v>
      </c>
      <c r="BF13" s="472">
        <f t="shared" si="20"/>
        <v>0</v>
      </c>
      <c r="BG13" s="472">
        <f t="shared" si="20"/>
        <v>0</v>
      </c>
      <c r="BH13" s="472">
        <f t="shared" si="20"/>
        <v>0</v>
      </c>
      <c r="BI13" s="472">
        <f t="shared" si="20"/>
        <v>0</v>
      </c>
      <c r="BJ13" s="472">
        <f t="shared" si="20"/>
        <v>0</v>
      </c>
      <c r="BK13" s="472">
        <f t="shared" si="20"/>
        <v>0</v>
      </c>
      <c r="BL13" s="472">
        <f t="shared" si="20"/>
        <v>0</v>
      </c>
      <c r="BM13" s="472">
        <f t="shared" si="20"/>
        <v>0</v>
      </c>
      <c r="BN13" s="472">
        <f t="shared" si="20"/>
        <v>0</v>
      </c>
      <c r="BO13" s="472">
        <f t="shared" si="20"/>
        <v>0</v>
      </c>
      <c r="BP13" s="472">
        <f t="shared" si="20"/>
        <v>0</v>
      </c>
      <c r="BQ13" s="472">
        <f t="shared" si="20"/>
        <v>0</v>
      </c>
      <c r="BR13" s="472">
        <f t="shared" ref="BR13:CV13" si="21">+IF(BR3&lt;$C$17,0,IF(AND(BR3&gt;=$C$17,BQ13&lt;12, $C$18&gt;=BR3),BQ13+1,0))</f>
        <v>0</v>
      </c>
      <c r="BS13" s="472">
        <f t="shared" si="21"/>
        <v>0</v>
      </c>
      <c r="BT13" s="472">
        <f t="shared" si="21"/>
        <v>0</v>
      </c>
      <c r="BU13" s="472">
        <f t="shared" si="21"/>
        <v>0</v>
      </c>
      <c r="BV13" s="472">
        <f t="shared" si="21"/>
        <v>0</v>
      </c>
      <c r="BW13" s="472">
        <f t="shared" si="21"/>
        <v>0</v>
      </c>
      <c r="BX13" s="472">
        <f t="shared" si="21"/>
        <v>0</v>
      </c>
      <c r="BY13" s="472">
        <f t="shared" si="21"/>
        <v>0</v>
      </c>
      <c r="BZ13" s="472">
        <f t="shared" si="21"/>
        <v>0</v>
      </c>
      <c r="CA13" s="472">
        <f t="shared" si="21"/>
        <v>0</v>
      </c>
      <c r="CB13" s="472">
        <f t="shared" si="21"/>
        <v>0</v>
      </c>
      <c r="CC13" s="472">
        <f t="shared" si="21"/>
        <v>0</v>
      </c>
      <c r="CD13" s="472">
        <f t="shared" si="21"/>
        <v>0</v>
      </c>
      <c r="CE13" s="472">
        <f t="shared" si="21"/>
        <v>0</v>
      </c>
      <c r="CF13" s="472">
        <f t="shared" si="21"/>
        <v>0</v>
      </c>
      <c r="CG13" s="472">
        <f t="shared" si="21"/>
        <v>0</v>
      </c>
      <c r="CH13" s="472">
        <f t="shared" si="21"/>
        <v>0</v>
      </c>
      <c r="CI13" s="472">
        <f t="shared" si="21"/>
        <v>0</v>
      </c>
      <c r="CJ13" s="472">
        <f t="shared" si="21"/>
        <v>0</v>
      </c>
      <c r="CK13" s="472">
        <f t="shared" si="21"/>
        <v>0</v>
      </c>
      <c r="CL13" s="472">
        <f t="shared" si="21"/>
        <v>0</v>
      </c>
      <c r="CM13" s="472">
        <f t="shared" si="21"/>
        <v>0</v>
      </c>
      <c r="CN13" s="472">
        <f t="shared" si="21"/>
        <v>0</v>
      </c>
      <c r="CO13" s="472">
        <f t="shared" si="21"/>
        <v>0</v>
      </c>
      <c r="CP13" s="472">
        <f t="shared" si="21"/>
        <v>0</v>
      </c>
      <c r="CQ13" s="472">
        <f t="shared" si="21"/>
        <v>0</v>
      </c>
      <c r="CR13" s="472">
        <f t="shared" si="21"/>
        <v>0</v>
      </c>
      <c r="CS13" s="472">
        <f t="shared" si="21"/>
        <v>0</v>
      </c>
      <c r="CT13" s="472">
        <f t="shared" si="21"/>
        <v>0</v>
      </c>
      <c r="CU13" s="472">
        <f t="shared" si="21"/>
        <v>0</v>
      </c>
      <c r="CV13" s="472">
        <f t="shared" si="21"/>
        <v>0</v>
      </c>
      <c r="CW13" s="472">
        <f t="shared" ref="CW13:DG13" si="22">+IF(CW3&lt;$C$17,0,IF(AND(CW3&gt;=$C$17,CV13&lt;12, $C$18&gt;=CW3),CV13+1,0))</f>
        <v>0</v>
      </c>
      <c r="CX13" s="472">
        <f t="shared" si="22"/>
        <v>0</v>
      </c>
      <c r="CY13" s="472">
        <f t="shared" si="22"/>
        <v>0</v>
      </c>
      <c r="CZ13" s="472">
        <f t="shared" si="22"/>
        <v>0</v>
      </c>
      <c r="DA13" s="472">
        <f t="shared" si="22"/>
        <v>0</v>
      </c>
      <c r="DB13" s="472">
        <f t="shared" si="22"/>
        <v>0</v>
      </c>
      <c r="DC13" s="472">
        <f t="shared" si="22"/>
        <v>0</v>
      </c>
      <c r="DD13" s="472">
        <f t="shared" si="22"/>
        <v>0</v>
      </c>
      <c r="DE13" s="472">
        <f t="shared" si="22"/>
        <v>0</v>
      </c>
      <c r="DF13" s="472">
        <f t="shared" si="22"/>
        <v>0</v>
      </c>
      <c r="DG13" s="472">
        <f t="shared" si="22"/>
        <v>0</v>
      </c>
      <c r="DH13" s="472">
        <f t="shared" ref="DH13" si="23">+IF(DH3&lt;$C$17,0,IF(AND(DH3&gt;=$C$17,DG13&lt;12, $C$18&gt;=DH3),DG13+1,0))</f>
        <v>0</v>
      </c>
    </row>
    <row r="14" spans="2:112" x14ac:dyDescent="0.25">
      <c r="B14" t="s">
        <v>441</v>
      </c>
      <c r="D14" t="s">
        <v>232</v>
      </c>
      <c r="E14" s="422"/>
      <c r="F14" s="422">
        <f>+IFERROR(INDEX(Assumptions!$F$5:$F$16, MATCH(F13, Assumptions!$D$5:$D$16, 0))*$C$15, 0)</f>
        <v>0</v>
      </c>
      <c r="G14" s="422">
        <f>+IFERROR(INDEX(Assumptions!$F$5:$F$16, MATCH(G13, Assumptions!$D$5:$D$16, 0))*$C$15, 0)</f>
        <v>0</v>
      </c>
      <c r="H14" s="422">
        <f>+IFERROR(INDEX(Assumptions!$F$5:$F$16, MATCH(H13, Assumptions!$D$5:$D$16, 0))*$C$15, 0)</f>
        <v>0</v>
      </c>
      <c r="I14" s="422">
        <f>+IFERROR(INDEX(Assumptions!$F$5:$F$16, MATCH(I13, Assumptions!$D$5:$D$16, 0))*$C$15, 0)</f>
        <v>0</v>
      </c>
      <c r="J14" s="422">
        <f>+IFERROR(INDEX(Assumptions!$F$5:$F$16, MATCH(J13, Assumptions!$D$5:$D$16, 0))*$C$15, 0)</f>
        <v>0</v>
      </c>
      <c r="K14" s="422">
        <f>+IFERROR(INDEX(Assumptions!$F$5:$F$16, MATCH(K13, Assumptions!$D$5:$D$16, 0))*$C$15, 0)</f>
        <v>0</v>
      </c>
      <c r="L14" s="422">
        <f>+IFERROR(INDEX(Assumptions!$F$5:$F$16, MATCH(L13, Assumptions!$D$5:$D$16, 0))*$C$15, 0)</f>
        <v>0</v>
      </c>
      <c r="M14" s="422">
        <f>+IFERROR(INDEX(Assumptions!$F$5:$F$16, MATCH(M13, Assumptions!$D$5:$D$16, 0))*$C$15, 0)</f>
        <v>0</v>
      </c>
      <c r="N14" s="422">
        <f>+IFERROR(INDEX(Assumptions!$F$5:$F$16, MATCH(N13, Assumptions!$D$5:$D$16, 0))*$C$15, 0)</f>
        <v>0</v>
      </c>
      <c r="O14" s="422">
        <f>+IFERROR(INDEX(Assumptions!$F$5:$F$16, MATCH(O13, Assumptions!$D$5:$D$16, 0))*$C$15, 0)</f>
        <v>0</v>
      </c>
      <c r="P14" s="422">
        <f>+IFERROR(INDEX(Assumptions!$F$5:$F$16, MATCH(P13, Assumptions!$D$5:$D$16, 0))*$C$15, 0)</f>
        <v>0</v>
      </c>
      <c r="Q14" s="422">
        <f>+IFERROR(INDEX(Assumptions!$F$5:$F$16, MATCH(Q13, Assumptions!$D$5:$D$16, 0))*$C$15, 0)</f>
        <v>0</v>
      </c>
      <c r="R14" s="494">
        <f>+IFERROR(INDEX(Assumptions!$F$5:$F$16, MATCH(R13, Assumptions!$D$5:$D$16, 0))*$C$15, 0)</f>
        <v>0</v>
      </c>
      <c r="S14" s="422">
        <f>+IFERROR(INDEX(Assumptions!$F$5:$F$16, MATCH(S13, Assumptions!$D$5:$D$16, 0))*$C$15, 0)</f>
        <v>0</v>
      </c>
      <c r="T14" s="422">
        <f>+IFERROR(INDEX(Assumptions!$F$5:$F$16, MATCH(T13, Assumptions!$D$5:$D$16, 0))*$C$15, 0)</f>
        <v>0</v>
      </c>
      <c r="U14" s="422">
        <f>+IFERROR(INDEX(Assumptions!$F$5:$F$16, MATCH(U13, Assumptions!$D$5:$D$16, 0))*$C$15, 0)</f>
        <v>0</v>
      </c>
      <c r="V14" s="494">
        <f>+IFERROR(INDEX(Assumptions!$F$5:$F$16, MATCH(V13, Assumptions!$D$5:$D$16, 0))*$C$15, 0)</f>
        <v>0</v>
      </c>
      <c r="W14" s="146">
        <f>+IFERROR(INDEX(Assumptions!$F$5:$F$16, MATCH(W13, Assumptions!$D$5:$D$16, 0))*$C$15, 0)</f>
        <v>0</v>
      </c>
      <c r="X14" s="146">
        <f>+IFERROR(INDEX(Assumptions!$F$5:$F$16, MATCH(X13, Assumptions!$D$5:$D$16, 0))*$C$15, 0)</f>
        <v>0</v>
      </c>
      <c r="Y14" s="146">
        <f>+IFERROR(INDEX(Assumptions!$F$5:$F$16, MATCH(Y13, Assumptions!$D$5:$D$16, 0))*$C$15, 0)</f>
        <v>0</v>
      </c>
      <c r="Z14" s="146">
        <f>+IFERROR(INDEX(Assumptions!$F$5:$F$16, MATCH(Z13, Assumptions!$D$5:$D$16, 0))*$C$15, 0)</f>
        <v>0</v>
      </c>
      <c r="AA14" s="146">
        <f>+IFERROR(INDEX(Assumptions!$F$5:$F$16, MATCH(AA13, Assumptions!$D$5:$D$16, 0))*$C$15, 0)</f>
        <v>0</v>
      </c>
      <c r="AB14" s="146">
        <f>+IFERROR(INDEX(Assumptions!$F$5:$F$16, MATCH(AB13, Assumptions!$D$5:$D$16, 0))*$C$15, 0)</f>
        <v>0</v>
      </c>
      <c r="AC14" s="146">
        <f>+IFERROR(INDEX(Assumptions!$F$5:$F$16, MATCH(AC13, Assumptions!$D$5:$D$16, 0))*$C$15, 0)</f>
        <v>0</v>
      </c>
      <c r="AD14" s="146">
        <f>+IFERROR(INDEX(Assumptions!$F$5:$F$16, MATCH(AD13, Assumptions!$D$5:$D$16, 0))*$C$15, 0)</f>
        <v>0</v>
      </c>
      <c r="AE14" s="146">
        <f>+IFERROR(INDEX(Assumptions!$F$5:$F$16, MATCH(AE13, Assumptions!$D$5:$D$16, 0))*$C$15, 0)</f>
        <v>0</v>
      </c>
      <c r="AF14" s="245">
        <f>+IFERROR(INDEX(Assumptions!$F$5:$F$16, MATCH(AF13, Assumptions!$D$5:$D$16, 0))*$C$15, 0)</f>
        <v>0</v>
      </c>
      <c r="AG14" s="146">
        <f>+IFERROR(INDEX(Assumptions!$F$5:$F$16, MATCH(AG13, Assumptions!$D$5:$D$16, 0))*$C$15, 0)</f>
        <v>0</v>
      </c>
      <c r="AH14" s="493">
        <v>90000</v>
      </c>
      <c r="AI14" s="245">
        <f>+IFERROR(INDEX(Assumptions!$F$5:$F$16, MATCH(AI13, Assumptions!$D$5:$D$16, 0))*$C$15, 0)</f>
        <v>0</v>
      </c>
      <c r="AJ14" s="245">
        <f>+IFERROR(INDEX(Assumptions!$F$5:$F$16, MATCH(AJ13, Assumptions!$D$5:$D$16, 0))*$C$15, 0)</f>
        <v>0</v>
      </c>
      <c r="AK14" s="245">
        <f>+IFERROR(INDEX(Assumptions!$F$5:$F$16, MATCH(AK13, Assumptions!$D$5:$D$16, 0))*$C$15, 0)</f>
        <v>0</v>
      </c>
      <c r="AL14" s="245">
        <f>+IFERROR(INDEX(Assumptions!$F$5:$F$16, MATCH(AL13, Assumptions!$D$5:$D$16, 0))*$C$15, 0)</f>
        <v>0</v>
      </c>
      <c r="AM14" s="245">
        <f>+IFERROR(INDEX(Assumptions!$F$5:$F$16, MATCH(AM13, Assumptions!$D$5:$D$16, 0))*$C$15, 0)</f>
        <v>0</v>
      </c>
      <c r="AN14" s="245">
        <f>+IFERROR(INDEX(Assumptions!$F$5:$F$16, MATCH(AN13, Assumptions!$D$5:$D$16, 0))*$C$15, 0)</f>
        <v>0</v>
      </c>
      <c r="AO14" s="245">
        <f>+IFERROR(INDEX(Assumptions!$F$5:$F$16, MATCH(AO13, Assumptions!$D$5:$D$16, 0))*$C$15, 0)</f>
        <v>0</v>
      </c>
      <c r="AP14" s="245">
        <f>+IFERROR(INDEX(Assumptions!$F$5:$F$16, MATCH(AP13, Assumptions!$D$5:$D$16, 0))*$C$15, 0)</f>
        <v>0</v>
      </c>
      <c r="AQ14" s="245">
        <f>+IFERROR(INDEX(Assumptions!$F$5:$F$16, MATCH(AQ13, Assumptions!$D$5:$D$16, 0))*$C$15, 0)</f>
        <v>0</v>
      </c>
      <c r="AR14" s="245">
        <f>+IFERROR(INDEX(Assumptions!$F$5:$F$16, MATCH(AR13, Assumptions!$D$5:$D$16, 0))*$C$15, 0)</f>
        <v>0</v>
      </c>
      <c r="AS14" s="245">
        <f>+IFERROR(INDEX(Assumptions!$F$5:$F$16, MATCH(AS13, Assumptions!$D$5:$D$16, 0))*$C$15, 0)</f>
        <v>0</v>
      </c>
      <c r="AT14" s="245">
        <f>+IFERROR(INDEX(Assumptions!$F$5:$F$16, MATCH(AT13, Assumptions!$D$5:$D$16, 0))*$C$15, 0)</f>
        <v>0</v>
      </c>
      <c r="AU14" s="245">
        <f>+IFERROR(INDEX(Assumptions!$F$5:$F$16, MATCH(AU13, Assumptions!$D$5:$D$16, 0))*$C$15, 0)</f>
        <v>0</v>
      </c>
      <c r="AV14" s="245">
        <f>+IFERROR(INDEX(Assumptions!$F$5:$F$16, MATCH(AV13, Assumptions!$D$5:$D$16, 0))*$C$15, 0)</f>
        <v>0</v>
      </c>
      <c r="AW14" s="245">
        <f>+IFERROR(INDEX(Assumptions!$F$5:$F$16, MATCH(AW13, Assumptions!$D$5:$D$16, 0))*$C$15, 0)</f>
        <v>0</v>
      </c>
      <c r="AX14" s="245">
        <f>+IFERROR(INDEX(Assumptions!$F$5:$F$16, MATCH(AX13, Assumptions!$D$5:$D$16, 0))*$C$15, 0)</f>
        <v>0</v>
      </c>
      <c r="AY14" s="245">
        <f>+IFERROR(INDEX(Assumptions!$F$5:$F$16, MATCH(AY13, Assumptions!$D$5:$D$16, 0))*$C$15, 0)</f>
        <v>0</v>
      </c>
      <c r="AZ14" s="245">
        <f>+IFERROR(INDEX(Assumptions!$F$5:$F$16, MATCH(AZ13, Assumptions!$D$5:$D$16, 0))*$C$15, 0)</f>
        <v>0</v>
      </c>
      <c r="BA14" s="245">
        <f>+IFERROR(INDEX(Assumptions!$F$5:$F$16, MATCH(BA13, Assumptions!$D$5:$D$16, 0))*$C$15, 0)</f>
        <v>0</v>
      </c>
      <c r="BB14" s="245">
        <f>+IFERROR(INDEX(Assumptions!$F$5:$F$16, MATCH(BB13, Assumptions!$D$5:$D$16, 0))*$C$15, 0)</f>
        <v>0</v>
      </c>
      <c r="BC14" s="245">
        <f>+IFERROR(INDEX(Assumptions!$F$5:$F$16, MATCH(BC13, Assumptions!$D$5:$D$16, 0))*$C$15, 0)</f>
        <v>0</v>
      </c>
      <c r="BD14" s="245">
        <f>+IFERROR(INDEX(Assumptions!$F$5:$F$16, MATCH(BD13, Assumptions!$D$5:$D$16, 0))*$C$15, 0)</f>
        <v>0</v>
      </c>
      <c r="BE14" s="245">
        <f>+IFERROR(INDEX(Assumptions!$F$5:$F$16, MATCH(BE13, Assumptions!$D$5:$D$16, 0))*$C$15, 0)</f>
        <v>0</v>
      </c>
      <c r="BF14" s="245">
        <f>+IFERROR(INDEX(Assumptions!$F$5:$F$16, MATCH(BF13, Assumptions!$D$5:$D$16, 0))*$C$15, 0)</f>
        <v>0</v>
      </c>
      <c r="BG14" s="245">
        <f>+IFERROR(INDEX(Assumptions!$F$5:$F$16, MATCH(BG13, Assumptions!$D$5:$D$16, 0))*$C$15, 0)</f>
        <v>0</v>
      </c>
      <c r="BH14" s="245">
        <f>+IFERROR(INDEX(Assumptions!$F$5:$F$16, MATCH(BH13, Assumptions!$D$5:$D$16, 0))*$C$15, 0)</f>
        <v>0</v>
      </c>
      <c r="BI14" s="245">
        <f>+IFERROR(INDEX(Assumptions!$F$5:$F$16, MATCH(BI13, Assumptions!$D$5:$D$16, 0))*$C$15, 0)</f>
        <v>0</v>
      </c>
      <c r="BJ14" s="245">
        <f>+IFERROR(INDEX(Assumptions!$F$5:$F$16, MATCH(BJ13, Assumptions!$D$5:$D$16, 0))*$C$15, 0)</f>
        <v>0</v>
      </c>
      <c r="BK14" s="245">
        <f>+IFERROR(INDEX(Assumptions!$F$5:$F$16, MATCH(BK13, Assumptions!$D$5:$D$16, 0))*$C$15, 0)</f>
        <v>0</v>
      </c>
      <c r="BL14" s="245">
        <f>+IFERROR(INDEX(Assumptions!$F$5:$F$16, MATCH(BL13, Assumptions!$D$5:$D$16, 0))*$C$15, 0)</f>
        <v>0</v>
      </c>
      <c r="BM14" s="245">
        <f>+IFERROR(INDEX(Assumptions!$F$5:$F$16, MATCH(BM13, Assumptions!$D$5:$D$16, 0))*$C$15, 0)</f>
        <v>0</v>
      </c>
      <c r="BN14" s="245">
        <f>+IFERROR(INDEX(Assumptions!$F$5:$F$16, MATCH(BN13, Assumptions!$D$5:$D$16, 0))*$C$15, 0)</f>
        <v>0</v>
      </c>
      <c r="BO14" s="245">
        <f>+IFERROR(INDEX(Assumptions!$F$5:$F$16, MATCH(BO13, Assumptions!$D$5:$D$16, 0))*$C$15, 0)</f>
        <v>0</v>
      </c>
      <c r="BP14" s="245">
        <f>+IFERROR(INDEX(Assumptions!$F$5:$F$16, MATCH(BP13, Assumptions!$D$5:$D$16, 0))*$C$15, 0)</f>
        <v>0</v>
      </c>
      <c r="BQ14" s="245">
        <f>+IFERROR(INDEX(Assumptions!$F$5:$F$16, MATCH(BQ13, Assumptions!$D$5:$D$16, 0))*$C$15, 0)</f>
        <v>0</v>
      </c>
      <c r="BR14" s="245">
        <f>+IFERROR(INDEX(Assumptions!$F$5:$F$16, MATCH(BR13, Assumptions!$D$5:$D$16, 0))*$C$15, 0)</f>
        <v>0</v>
      </c>
      <c r="BS14" s="245">
        <f>+IFERROR(INDEX(Assumptions!$F$5:$F$16, MATCH(BS13, Assumptions!$D$5:$D$16, 0))*$C$15, 0)</f>
        <v>0</v>
      </c>
      <c r="BT14" s="245">
        <f>+IFERROR(INDEX(Assumptions!$F$5:$F$16, MATCH(BT13, Assumptions!$D$5:$D$16, 0))*$C$15, 0)</f>
        <v>0</v>
      </c>
      <c r="BU14" s="245">
        <f>+IFERROR(INDEX(Assumptions!$F$5:$F$16, MATCH(BU13, Assumptions!$D$5:$D$16, 0))*$C$15, 0)</f>
        <v>0</v>
      </c>
      <c r="BV14" s="245">
        <f>+IFERROR(INDEX(Assumptions!$F$5:$F$16, MATCH(BV13, Assumptions!$D$5:$D$16, 0))*$C$15, 0)</f>
        <v>0</v>
      </c>
      <c r="BW14" s="245">
        <f>+IFERROR(INDEX(Assumptions!$F$5:$F$16, MATCH(BW13, Assumptions!$D$5:$D$16, 0))*$C$15, 0)</f>
        <v>0</v>
      </c>
      <c r="BX14" s="245">
        <f>+IFERROR(INDEX(Assumptions!$F$5:$F$16, MATCH(BX13, Assumptions!$D$5:$D$16, 0))*$C$15, 0)</f>
        <v>0</v>
      </c>
      <c r="BY14" s="245">
        <f>+IFERROR(INDEX(Assumptions!$F$5:$F$16, MATCH(BY13, Assumptions!$D$5:$D$16, 0))*$C$15, 0)</f>
        <v>0</v>
      </c>
      <c r="BZ14" s="245">
        <f>+IFERROR(INDEX(Assumptions!$F$5:$F$16, MATCH(BZ13, Assumptions!$D$5:$D$16, 0))*$C$15, 0)</f>
        <v>0</v>
      </c>
      <c r="CA14" s="245">
        <f>+IFERROR(INDEX(Assumptions!$F$5:$F$16, MATCH(CA13, Assumptions!$D$5:$D$16, 0))*$C$15, 0)</f>
        <v>0</v>
      </c>
      <c r="CB14" s="245">
        <f>+IFERROR(INDEX(Assumptions!$F$5:$F$16, MATCH(CB13, Assumptions!$D$5:$D$16, 0))*$C$15, 0)</f>
        <v>0</v>
      </c>
      <c r="CC14" s="245">
        <f>+IFERROR(INDEX(Assumptions!$F$5:$F$16, MATCH(CC13, Assumptions!$D$5:$D$16, 0))*$C$15, 0)</f>
        <v>0</v>
      </c>
      <c r="CD14" s="245">
        <f>+IFERROR(INDEX(Assumptions!$F$5:$F$16, MATCH(CD13, Assumptions!$D$5:$D$16, 0))*$C$15, 0)</f>
        <v>0</v>
      </c>
      <c r="CE14" s="245">
        <f>+IFERROR(INDEX(Assumptions!$F$5:$F$16, MATCH(CE13, Assumptions!$D$5:$D$16, 0))*$C$15, 0)</f>
        <v>0</v>
      </c>
      <c r="CF14" s="245">
        <f>+IFERROR(INDEX(Assumptions!$F$5:$F$16, MATCH(CF13, Assumptions!$D$5:$D$16, 0))*$C$15, 0)</f>
        <v>0</v>
      </c>
      <c r="CG14" s="245">
        <f>+IFERROR(INDEX(Assumptions!$F$5:$F$16, MATCH(CG13, Assumptions!$D$5:$D$16, 0))*$C$15, 0)</f>
        <v>0</v>
      </c>
      <c r="CH14" s="245">
        <f>+IFERROR(INDEX(Assumptions!$F$5:$F$16, MATCH(CH13, Assumptions!$D$5:$D$16, 0))*$C$15, 0)</f>
        <v>0</v>
      </c>
      <c r="CI14" s="245">
        <f>+IFERROR(INDEX(Assumptions!$F$5:$F$16, MATCH(CI13, Assumptions!$D$5:$D$16, 0))*$C$15, 0)</f>
        <v>0</v>
      </c>
      <c r="CJ14" s="245">
        <f>+IFERROR(INDEX(Assumptions!$F$5:$F$16, MATCH(CJ13, Assumptions!$D$5:$D$16, 0))*$C$15, 0)</f>
        <v>0</v>
      </c>
      <c r="CK14" s="245">
        <f>+IFERROR(INDEX(Assumptions!$F$5:$F$16, MATCH(CK13, Assumptions!$D$5:$D$16, 0))*$C$15, 0)</f>
        <v>0</v>
      </c>
      <c r="CL14" s="245">
        <f>+IFERROR(INDEX(Assumptions!$F$5:$F$16, MATCH(CL13, Assumptions!$D$5:$D$16, 0))*$C$15, 0)</f>
        <v>0</v>
      </c>
      <c r="CM14" s="245">
        <f>+IFERROR(INDEX(Assumptions!$F$5:$F$16, MATCH(CM13, Assumptions!$D$5:$D$16, 0))*$C$15, 0)</f>
        <v>0</v>
      </c>
      <c r="CN14" s="245">
        <f>+IFERROR(INDEX(Assumptions!$F$5:$F$16, MATCH(CN13, Assumptions!$D$5:$D$16, 0))*$C$15, 0)</f>
        <v>0</v>
      </c>
      <c r="CO14" s="245">
        <f>+IFERROR(INDEX(Assumptions!$F$5:$F$16, MATCH(CO13, Assumptions!$D$5:$D$16, 0))*$C$15, 0)</f>
        <v>0</v>
      </c>
      <c r="CP14" s="245">
        <f>+IFERROR(INDEX(Assumptions!$F$5:$F$16, MATCH(CP13, Assumptions!$D$5:$D$16, 0))*$C$15, 0)</f>
        <v>0</v>
      </c>
      <c r="CQ14" s="245">
        <f>+IFERROR(INDEX(Assumptions!$F$5:$F$16, MATCH(CQ13, Assumptions!$D$5:$D$16, 0))*$C$15, 0)</f>
        <v>0</v>
      </c>
      <c r="CR14" s="245">
        <f>+IFERROR(INDEX(Assumptions!$F$5:$F$16, MATCH(CR13, Assumptions!$D$5:$D$16, 0))*$C$15, 0)</f>
        <v>0</v>
      </c>
      <c r="CS14" s="245">
        <f>+IFERROR(INDEX(Assumptions!$F$5:$F$16, MATCH(CS13, Assumptions!$D$5:$D$16, 0))*$C$15, 0)</f>
        <v>0</v>
      </c>
      <c r="CT14" s="245">
        <f>+IFERROR(INDEX(Assumptions!$F$5:$F$16, MATCH(CT13, Assumptions!$D$5:$D$16, 0))*$C$15, 0)</f>
        <v>0</v>
      </c>
      <c r="CU14" s="245">
        <f>+IFERROR(INDEX(Assumptions!$F$5:$F$16, MATCH(CU13, Assumptions!$D$5:$D$16, 0))*$C$15, 0)</f>
        <v>0</v>
      </c>
      <c r="CV14" s="245">
        <f>+IFERROR(INDEX(Assumptions!$F$5:$F$16, MATCH(CV13, Assumptions!$D$5:$D$16, 0))*$C$15, 0)</f>
        <v>0</v>
      </c>
      <c r="CW14" s="245">
        <f>+IFERROR(INDEX(Assumptions!$F$5:$F$16, MATCH(CW13, Assumptions!$D$5:$D$16, 0))*$C$15, 0)</f>
        <v>0</v>
      </c>
      <c r="CX14" s="245">
        <f>+IFERROR(INDEX(Assumptions!$F$5:$F$16, MATCH(CX13, Assumptions!$D$5:$D$16, 0))*$C$15, 0)</f>
        <v>0</v>
      </c>
      <c r="CY14" s="245">
        <f>+IFERROR(INDEX(Assumptions!$F$5:$F$16, MATCH(CY13, Assumptions!$D$5:$D$16, 0))*$C$15, 0)</f>
        <v>0</v>
      </c>
      <c r="CZ14" s="245">
        <f>+IFERROR(INDEX(Assumptions!$F$5:$F$16, MATCH(CZ13, Assumptions!$D$5:$D$16, 0))*$C$15, 0)</f>
        <v>0</v>
      </c>
      <c r="DA14" s="245">
        <f>+IFERROR(INDEX(Assumptions!$F$5:$F$16, MATCH(DA13, Assumptions!$D$5:$D$16, 0))*$C$15, 0)</f>
        <v>0</v>
      </c>
      <c r="DB14" s="245">
        <f>+IFERROR(INDEX(Assumptions!$F$5:$F$16, MATCH(DB13, Assumptions!$D$5:$D$16, 0))*$C$15, 0)</f>
        <v>0</v>
      </c>
      <c r="DC14" s="245">
        <f>+IFERROR(INDEX(Assumptions!$F$5:$F$16, MATCH(DC13, Assumptions!$D$5:$D$16, 0))*$C$15, 0)</f>
        <v>0</v>
      </c>
      <c r="DD14" s="245">
        <f>+IFERROR(INDEX(Assumptions!$F$5:$F$16, MATCH(DD13, Assumptions!$D$5:$D$16, 0))*$C$15, 0)</f>
        <v>0</v>
      </c>
      <c r="DE14" s="245">
        <f>+IFERROR(INDEX(Assumptions!$F$5:$F$16, MATCH(DE13, Assumptions!$D$5:$D$16, 0))*$C$15, 0)</f>
        <v>0</v>
      </c>
      <c r="DF14" s="245">
        <f>+IFERROR(INDEX(Assumptions!$F$5:$F$16, MATCH(DF13, Assumptions!$D$5:$D$16, 0))*$C$15, 0)</f>
        <v>0</v>
      </c>
      <c r="DG14" s="245">
        <f>+IFERROR(INDEX(Assumptions!$F$5:$F$16, MATCH(DG13, Assumptions!$D$5:$D$16, 0))*$C$15, 0)</f>
        <v>0</v>
      </c>
      <c r="DH14" s="245">
        <f>+IFERROR(INDEX(Assumptions!$F$5:$F$16, MATCH(DH13, Assumptions!$D$5:$D$16, 0))*$C$15, 0)</f>
        <v>0</v>
      </c>
    </row>
    <row r="15" spans="2:112" x14ac:dyDescent="0.25">
      <c r="B15" t="s">
        <v>230</v>
      </c>
      <c r="C15" s="196">
        <v>900000</v>
      </c>
      <c r="D15" t="s">
        <v>282</v>
      </c>
      <c r="E15" s="422"/>
      <c r="F15" s="422">
        <f>+F14+E15</f>
        <v>0</v>
      </c>
      <c r="G15" s="422">
        <f t="shared" ref="G15:V15" si="24">+G14+F15</f>
        <v>0</v>
      </c>
      <c r="H15" s="422">
        <f t="shared" si="24"/>
        <v>0</v>
      </c>
      <c r="I15" s="422">
        <f t="shared" si="24"/>
        <v>0</v>
      </c>
      <c r="J15" s="422">
        <f t="shared" si="24"/>
        <v>0</v>
      </c>
      <c r="K15" s="422">
        <f t="shared" si="24"/>
        <v>0</v>
      </c>
      <c r="L15" s="422">
        <f t="shared" si="24"/>
        <v>0</v>
      </c>
      <c r="M15" s="422">
        <f t="shared" si="24"/>
        <v>0</v>
      </c>
      <c r="N15" s="422">
        <f t="shared" si="24"/>
        <v>0</v>
      </c>
      <c r="O15" s="422">
        <f t="shared" si="24"/>
        <v>0</v>
      </c>
      <c r="P15" s="422">
        <f t="shared" si="24"/>
        <v>0</v>
      </c>
      <c r="Q15" s="422">
        <f t="shared" si="24"/>
        <v>0</v>
      </c>
      <c r="R15" s="494">
        <f t="shared" si="24"/>
        <v>0</v>
      </c>
      <c r="S15" s="422">
        <f t="shared" si="24"/>
        <v>0</v>
      </c>
      <c r="T15" s="422">
        <f t="shared" si="24"/>
        <v>0</v>
      </c>
      <c r="U15" s="422">
        <f t="shared" si="24"/>
        <v>0</v>
      </c>
      <c r="V15" s="494">
        <f t="shared" si="24"/>
        <v>0</v>
      </c>
      <c r="W15" s="146">
        <f t="shared" ref="W15:AK15" si="25">+W14+V15</f>
        <v>0</v>
      </c>
      <c r="X15" s="146">
        <f t="shared" si="25"/>
        <v>0</v>
      </c>
      <c r="Y15" s="146">
        <f t="shared" si="25"/>
        <v>0</v>
      </c>
      <c r="Z15" s="146">
        <f t="shared" si="25"/>
        <v>0</v>
      </c>
      <c r="AA15" s="146">
        <f t="shared" si="25"/>
        <v>0</v>
      </c>
      <c r="AB15" s="146">
        <f t="shared" si="25"/>
        <v>0</v>
      </c>
      <c r="AC15" s="146">
        <f t="shared" si="25"/>
        <v>0</v>
      </c>
      <c r="AD15" s="146">
        <f t="shared" si="25"/>
        <v>0</v>
      </c>
      <c r="AE15" s="146">
        <f t="shared" si="25"/>
        <v>0</v>
      </c>
      <c r="AF15" s="245">
        <f t="shared" si="25"/>
        <v>0</v>
      </c>
      <c r="AG15" s="146">
        <f t="shared" si="25"/>
        <v>0</v>
      </c>
      <c r="AH15" s="245">
        <f t="shared" si="25"/>
        <v>90000</v>
      </c>
      <c r="AI15" s="245">
        <f t="shared" si="25"/>
        <v>90000</v>
      </c>
      <c r="AJ15" s="245">
        <f t="shared" si="25"/>
        <v>90000</v>
      </c>
      <c r="AK15" s="245">
        <f t="shared" si="25"/>
        <v>90000</v>
      </c>
      <c r="AL15" s="245">
        <f t="shared" ref="AL15:CV15" si="26">+AL14+AK15</f>
        <v>90000</v>
      </c>
      <c r="AM15" s="245">
        <f t="shared" si="26"/>
        <v>90000</v>
      </c>
      <c r="AN15" s="245">
        <f t="shared" si="26"/>
        <v>90000</v>
      </c>
      <c r="AO15" s="245">
        <f t="shared" si="26"/>
        <v>90000</v>
      </c>
      <c r="AP15" s="245">
        <f t="shared" si="26"/>
        <v>90000</v>
      </c>
      <c r="AQ15" s="245">
        <f t="shared" si="26"/>
        <v>90000</v>
      </c>
      <c r="AR15" s="245">
        <f t="shared" si="26"/>
        <v>90000</v>
      </c>
      <c r="AS15" s="245">
        <f t="shared" si="26"/>
        <v>90000</v>
      </c>
      <c r="AT15" s="245">
        <f t="shared" si="26"/>
        <v>90000</v>
      </c>
      <c r="AU15" s="245">
        <f t="shared" si="26"/>
        <v>90000</v>
      </c>
      <c r="AV15" s="245">
        <f t="shared" si="26"/>
        <v>90000</v>
      </c>
      <c r="AW15" s="245">
        <f t="shared" si="26"/>
        <v>90000</v>
      </c>
      <c r="AX15" s="245">
        <f t="shared" si="26"/>
        <v>90000</v>
      </c>
      <c r="AY15" s="245">
        <f t="shared" si="26"/>
        <v>90000</v>
      </c>
      <c r="AZ15" s="245">
        <f t="shared" si="26"/>
        <v>90000</v>
      </c>
      <c r="BA15" s="245">
        <f t="shared" si="26"/>
        <v>90000</v>
      </c>
      <c r="BB15" s="245">
        <f t="shared" si="26"/>
        <v>90000</v>
      </c>
      <c r="BC15" s="245">
        <f t="shared" si="26"/>
        <v>90000</v>
      </c>
      <c r="BD15" s="245">
        <f t="shared" si="26"/>
        <v>90000</v>
      </c>
      <c r="BE15" s="245">
        <f t="shared" si="26"/>
        <v>90000</v>
      </c>
      <c r="BF15" s="245">
        <f t="shared" si="26"/>
        <v>90000</v>
      </c>
      <c r="BG15" s="245">
        <f t="shared" si="26"/>
        <v>90000</v>
      </c>
      <c r="BH15" s="245">
        <f t="shared" si="26"/>
        <v>90000</v>
      </c>
      <c r="BI15" s="245">
        <f t="shared" si="26"/>
        <v>90000</v>
      </c>
      <c r="BJ15" s="245">
        <f t="shared" si="26"/>
        <v>90000</v>
      </c>
      <c r="BK15" s="245">
        <f t="shared" si="26"/>
        <v>90000</v>
      </c>
      <c r="BL15" s="245">
        <f t="shared" si="26"/>
        <v>90000</v>
      </c>
      <c r="BM15" s="245">
        <f t="shared" si="26"/>
        <v>90000</v>
      </c>
      <c r="BN15" s="245">
        <f t="shared" si="26"/>
        <v>90000</v>
      </c>
      <c r="BO15" s="245">
        <f t="shared" si="26"/>
        <v>90000</v>
      </c>
      <c r="BP15" s="245">
        <f t="shared" si="26"/>
        <v>90000</v>
      </c>
      <c r="BQ15" s="245">
        <f t="shared" si="26"/>
        <v>90000</v>
      </c>
      <c r="BR15" s="245">
        <f t="shared" si="26"/>
        <v>90000</v>
      </c>
      <c r="BS15" s="245">
        <f t="shared" si="26"/>
        <v>90000</v>
      </c>
      <c r="BT15" s="245">
        <f t="shared" si="26"/>
        <v>90000</v>
      </c>
      <c r="BU15" s="245">
        <f t="shared" si="26"/>
        <v>90000</v>
      </c>
      <c r="BV15" s="245">
        <f t="shared" si="26"/>
        <v>90000</v>
      </c>
      <c r="BW15" s="245">
        <f t="shared" si="26"/>
        <v>90000</v>
      </c>
      <c r="BX15" s="245">
        <f t="shared" si="26"/>
        <v>90000</v>
      </c>
      <c r="BY15" s="245">
        <f t="shared" si="26"/>
        <v>90000</v>
      </c>
      <c r="BZ15" s="245">
        <f t="shared" si="26"/>
        <v>90000</v>
      </c>
      <c r="CA15" s="245">
        <f t="shared" si="26"/>
        <v>90000</v>
      </c>
      <c r="CB15" s="245">
        <f t="shared" si="26"/>
        <v>90000</v>
      </c>
      <c r="CC15" s="245">
        <f t="shared" si="26"/>
        <v>90000</v>
      </c>
      <c r="CD15" s="245">
        <f t="shared" si="26"/>
        <v>90000</v>
      </c>
      <c r="CE15" s="245">
        <f t="shared" si="26"/>
        <v>90000</v>
      </c>
      <c r="CF15" s="245">
        <f t="shared" si="26"/>
        <v>90000</v>
      </c>
      <c r="CG15" s="245">
        <f t="shared" si="26"/>
        <v>90000</v>
      </c>
      <c r="CH15" s="245">
        <f t="shared" si="26"/>
        <v>90000</v>
      </c>
      <c r="CI15" s="245">
        <f t="shared" si="26"/>
        <v>90000</v>
      </c>
      <c r="CJ15" s="245">
        <f t="shared" si="26"/>
        <v>90000</v>
      </c>
      <c r="CK15" s="245">
        <f t="shared" si="26"/>
        <v>90000</v>
      </c>
      <c r="CL15" s="245">
        <f t="shared" si="26"/>
        <v>90000</v>
      </c>
      <c r="CM15" s="245">
        <f t="shared" si="26"/>
        <v>90000</v>
      </c>
      <c r="CN15" s="245">
        <f t="shared" si="26"/>
        <v>90000</v>
      </c>
      <c r="CO15" s="245">
        <f t="shared" si="26"/>
        <v>90000</v>
      </c>
      <c r="CP15" s="245">
        <f t="shared" si="26"/>
        <v>90000</v>
      </c>
      <c r="CQ15" s="245">
        <f t="shared" si="26"/>
        <v>90000</v>
      </c>
      <c r="CR15" s="245">
        <f t="shared" si="26"/>
        <v>90000</v>
      </c>
      <c r="CS15" s="245">
        <f t="shared" si="26"/>
        <v>90000</v>
      </c>
      <c r="CT15" s="245">
        <f t="shared" si="26"/>
        <v>90000</v>
      </c>
      <c r="CU15" s="245">
        <f t="shared" si="26"/>
        <v>90000</v>
      </c>
      <c r="CV15" s="245">
        <f t="shared" si="26"/>
        <v>90000</v>
      </c>
      <c r="CW15" s="245">
        <f t="shared" ref="CW15" si="27">+CW14+CV15</f>
        <v>90000</v>
      </c>
      <c r="CX15" s="245">
        <f t="shared" ref="CX15" si="28">+CX14+CW15</f>
        <v>90000</v>
      </c>
      <c r="CY15" s="245">
        <f t="shared" ref="CY15" si="29">+CY14+CX15</f>
        <v>90000</v>
      </c>
      <c r="CZ15" s="245">
        <f t="shared" ref="CZ15" si="30">+CZ14+CY15</f>
        <v>90000</v>
      </c>
      <c r="DA15" s="245">
        <f t="shared" ref="DA15" si="31">+DA14+CZ15</f>
        <v>90000</v>
      </c>
      <c r="DB15" s="245">
        <f t="shared" ref="DB15" si="32">+DB14+DA15</f>
        <v>90000</v>
      </c>
      <c r="DC15" s="245">
        <f t="shared" ref="DC15" si="33">+DC14+DB15</f>
        <v>90000</v>
      </c>
      <c r="DD15" s="245">
        <f t="shared" ref="DD15" si="34">+DD14+DC15</f>
        <v>90000</v>
      </c>
      <c r="DE15" s="245">
        <f t="shared" ref="DE15" si="35">+DE14+DD15</f>
        <v>90000</v>
      </c>
      <c r="DF15" s="245">
        <f t="shared" ref="DF15" si="36">+DF14+DE15</f>
        <v>90000</v>
      </c>
      <c r="DG15" s="245">
        <f t="shared" ref="DG15:DH15" si="37">+DG14+DF15</f>
        <v>90000</v>
      </c>
      <c r="DH15" s="245">
        <f t="shared" si="37"/>
        <v>90000</v>
      </c>
    </row>
    <row r="16" spans="2:112" x14ac:dyDescent="0.25">
      <c r="B16" t="s">
        <v>233</v>
      </c>
      <c r="C16" s="196">
        <v>620000</v>
      </c>
      <c r="D16" t="s">
        <v>231</v>
      </c>
      <c r="E16" s="423"/>
      <c r="F16" s="422">
        <f>+IFERROR(INDEX(Assumptions!$E$18:$E$29, MATCH(F13, Assumptions!$D$18:$D$29, 0))*$C$16, 0)</f>
        <v>0</v>
      </c>
      <c r="G16" s="423">
        <f>+IFERROR(INDEX(Assumptions!$E$18:$E$29, MATCH(G13, Assumptions!$D$18:$D$29, 0))*$C$16, 0)</f>
        <v>0</v>
      </c>
      <c r="H16" s="423">
        <f>+IFERROR(INDEX(Assumptions!$E$18:$E$29, MATCH(H13, Assumptions!$D$18:$D$29, 0))*$C$16, 0)</f>
        <v>0</v>
      </c>
      <c r="I16" s="423">
        <f>+IFERROR(INDEX(Assumptions!$E$18:$E$29, MATCH(I13, Assumptions!$D$18:$D$29, 0))*$C$16, 0)</f>
        <v>0</v>
      </c>
      <c r="J16" s="423">
        <f>+IFERROR(INDEX(Assumptions!$E$18:$E$29, MATCH(J13, Assumptions!$D$18:$D$29, 0))*$C$16, 0)</f>
        <v>0</v>
      </c>
      <c r="K16" s="423">
        <f>+IFERROR(INDEX(Assumptions!$E$18:$E$29, MATCH(K13, Assumptions!$D$18:$D$29, 0))*$C$16, 0)</f>
        <v>0</v>
      </c>
      <c r="L16" s="423">
        <f>+IFERROR(INDEX(Assumptions!$E$18:$E$29, MATCH(L13, Assumptions!$D$18:$D$29, 0))*$C$16, 0)</f>
        <v>0</v>
      </c>
      <c r="M16" s="423">
        <f>+IFERROR(INDEX(Assumptions!$E$18:$E$29, MATCH(M13, Assumptions!$D$18:$D$29, 0))*$C$16, 0)</f>
        <v>0</v>
      </c>
      <c r="N16" s="423">
        <f>+IFERROR(INDEX(Assumptions!$E$18:$E$29, MATCH(N13, Assumptions!$D$18:$D$29, 0))*$C$16, 0)</f>
        <v>0</v>
      </c>
      <c r="O16" s="423">
        <f>+IFERROR(INDEX(Assumptions!$E$18:$E$29, MATCH(O13, Assumptions!$D$18:$D$29, 0))*$C$16, 0)</f>
        <v>0</v>
      </c>
      <c r="P16" s="423">
        <f>+IFERROR(INDEX(Assumptions!$E$18:$E$29, MATCH(P13, Assumptions!$D$18:$D$29, 0))*$C$16, 0)</f>
        <v>0</v>
      </c>
      <c r="Q16" s="423">
        <f>+IFERROR(INDEX(Assumptions!$E$18:$E$29, MATCH(Q13, Assumptions!$D$18:$D$29, 0))*$C$16, 0)</f>
        <v>0</v>
      </c>
      <c r="R16" s="734">
        <f>+IFERROR(INDEX(Assumptions!$E$18:$E$29, MATCH(R13, Assumptions!$D$18:$D$29, 0))*$C$16, 0)</f>
        <v>0</v>
      </c>
      <c r="S16" s="423">
        <f>+IFERROR(INDEX(Assumptions!$E$18:$E$29, MATCH(S13, Assumptions!$D$18:$D$29, 0))*$C$16, 0)</f>
        <v>0</v>
      </c>
      <c r="T16" s="423">
        <f>+IFERROR(INDEX(Assumptions!$E$18:$E$29, MATCH(T13, Assumptions!$D$18:$D$29, 0))*$C$16, 0)</f>
        <v>0</v>
      </c>
      <c r="U16" s="422">
        <f>+IFERROR(INDEX(Assumptions!$E$18:$E$29, MATCH(U13, Assumptions!$D$18:$D$29, 0))*$C$16, 0)</f>
        <v>0</v>
      </c>
      <c r="V16" s="494">
        <f>+IFERROR(INDEX(Assumptions!$E$18:$E$29, MATCH(V13, Assumptions!$D$18:$D$29, 0))*$C$16, 0)</f>
        <v>0</v>
      </c>
      <c r="W16" s="146">
        <f>+IFERROR(INDEX(Assumptions!$E$18:$E$29, MATCH(W13, Assumptions!$D$18:$D$29, 0))*$C$16, 0)</f>
        <v>0</v>
      </c>
      <c r="X16" s="146">
        <f>+IFERROR(INDEX(Assumptions!$E$18:$E$29, MATCH(X13, Assumptions!$D$18:$D$29, 0))*$C$16, 0)</f>
        <v>0</v>
      </c>
      <c r="Y16" s="146">
        <f>+IFERROR(INDEX(Assumptions!$E$18:$E$29, MATCH(Y13, Assumptions!$D$18:$D$29, 0))*$C$16, 0)</f>
        <v>0</v>
      </c>
      <c r="Z16" s="146">
        <f>+IFERROR(INDEX(Assumptions!$E$18:$E$29, MATCH(Z13, Assumptions!$D$18:$D$29, 0))*$C$16, 0)</f>
        <v>0</v>
      </c>
      <c r="AA16" s="146">
        <f>+IFERROR(INDEX(Assumptions!$E$18:$E$29, MATCH(AA13, Assumptions!$D$18:$D$29, 0))*$C$16, 0)</f>
        <v>0</v>
      </c>
      <c r="AB16" s="146">
        <f>+IFERROR(INDEX(Assumptions!$E$18:$E$29, MATCH(AB13, Assumptions!$D$18:$D$29, 0))*$C$16, 0)</f>
        <v>0</v>
      </c>
      <c r="AC16" s="146">
        <f>+IFERROR(INDEX(Assumptions!$E$18:$E$29, MATCH(AC13, Assumptions!$D$18:$D$29, 0))*$C$16, 0)</f>
        <v>0</v>
      </c>
      <c r="AD16" s="146">
        <f>+IFERROR(INDEX(Assumptions!$E$18:$E$29, MATCH(AD13, Assumptions!$D$18:$D$29, 0))*$C$16, 0)</f>
        <v>0</v>
      </c>
      <c r="AE16" s="146">
        <f>+IFERROR(INDEX(Assumptions!$E$18:$E$29, MATCH(AE13, Assumptions!$D$18:$D$29, 0))*$C$16, 0)</f>
        <v>0</v>
      </c>
      <c r="AF16" s="245">
        <f>+IFERROR(INDEX(Assumptions!$E$18:$E$29, MATCH(AF13, Assumptions!$D$18:$D$29, 0))*$C$16, 0)</f>
        <v>0</v>
      </c>
      <c r="AG16" s="146">
        <f>+IFERROR(INDEX(Assumptions!$E$18:$E$29, MATCH(AG13, Assumptions!$D$18:$D$29, 0))*$C$16, 0)</f>
        <v>0</v>
      </c>
      <c r="AH16" s="493">
        <v>64000</v>
      </c>
      <c r="AI16" s="245">
        <f>+IFERROR(INDEX(Assumptions!$E$18:$E$29, MATCH(AI13, Assumptions!$D$18:$D$29, 0))*$C$16, 0)</f>
        <v>0</v>
      </c>
      <c r="AJ16" s="245">
        <f>+IFERROR(INDEX(Assumptions!$E$18:$E$29, MATCH(AJ13, Assumptions!$D$18:$D$29, 0))*$C$16, 0)</f>
        <v>0</v>
      </c>
      <c r="AK16" s="245">
        <f>+IFERROR(INDEX(Assumptions!$E$18:$E$29, MATCH(AK13, Assumptions!$D$18:$D$29, 0))*$C$16, 0)</f>
        <v>0</v>
      </c>
      <c r="AL16" s="245">
        <f>+IFERROR(INDEX(Assumptions!$E$18:$E$29, MATCH(AL13, Assumptions!$D$18:$D$29, 0))*$C$16, 0)</f>
        <v>0</v>
      </c>
      <c r="AM16" s="245">
        <f>+IFERROR(INDEX(Assumptions!$E$18:$E$29, MATCH(AM13, Assumptions!$D$18:$D$29, 0))*$C$16, 0)</f>
        <v>0</v>
      </c>
      <c r="AN16" s="245">
        <f>+IFERROR(INDEX(Assumptions!$E$18:$E$29, MATCH(AN13, Assumptions!$D$18:$D$29, 0))*$C$16, 0)</f>
        <v>0</v>
      </c>
      <c r="AO16" s="245">
        <f>+IFERROR(INDEX(Assumptions!$E$18:$E$29, MATCH(AO13, Assumptions!$D$18:$D$29, 0))*$C$16, 0)</f>
        <v>0</v>
      </c>
      <c r="AP16" s="245">
        <f>+IFERROR(INDEX(Assumptions!$E$18:$E$29, MATCH(AP13, Assumptions!$D$18:$D$29, 0))*$C$16, 0)</f>
        <v>0</v>
      </c>
      <c r="AQ16" s="245">
        <f>+IFERROR(INDEX(Assumptions!$E$18:$E$29, MATCH(AQ13, Assumptions!$D$18:$D$29, 0))*$C$16, 0)</f>
        <v>0</v>
      </c>
      <c r="AR16" s="245">
        <f>+IFERROR(INDEX(Assumptions!$E$18:$E$29, MATCH(AR13, Assumptions!$D$18:$D$29, 0))*$C$16, 0)</f>
        <v>0</v>
      </c>
      <c r="AS16" s="245">
        <f>+IFERROR(INDEX(Assumptions!$E$18:$E$29, MATCH(AS13, Assumptions!$D$18:$D$29, 0))*$C$16, 0)</f>
        <v>0</v>
      </c>
      <c r="AT16" s="245">
        <f>+IFERROR(INDEX(Assumptions!$E$18:$E$29, MATCH(AT13, Assumptions!$D$18:$D$29, 0))*$C$16, 0)</f>
        <v>0</v>
      </c>
      <c r="AU16" s="245">
        <f>+IFERROR(INDEX(Assumptions!$E$18:$E$29, MATCH(AU13, Assumptions!$D$18:$D$29, 0))*$C$16, 0)</f>
        <v>0</v>
      </c>
      <c r="AV16" s="245">
        <f>+IFERROR(INDEX(Assumptions!$E$18:$E$29, MATCH(AV13, Assumptions!$D$18:$D$29, 0))*$C$16, 0)</f>
        <v>0</v>
      </c>
      <c r="AW16" s="245">
        <f>+IFERROR(INDEX(Assumptions!$E$18:$E$29, MATCH(AW13, Assumptions!$D$18:$D$29, 0))*$C$16, 0)</f>
        <v>0</v>
      </c>
      <c r="AX16" s="245">
        <f>+IFERROR(INDEX(Assumptions!$E$18:$E$29, MATCH(AX13, Assumptions!$D$18:$D$29, 0))*$C$16, 0)</f>
        <v>0</v>
      </c>
      <c r="AY16" s="245">
        <f>+IFERROR(INDEX(Assumptions!$E$18:$E$29, MATCH(AY13, Assumptions!$D$18:$D$29, 0))*$C$16, 0)</f>
        <v>0</v>
      </c>
      <c r="AZ16" s="245">
        <f>+IFERROR(INDEX(Assumptions!$E$18:$E$29, MATCH(AZ13, Assumptions!$D$18:$D$29, 0))*$C$16, 0)</f>
        <v>0</v>
      </c>
      <c r="BA16" s="245">
        <f>+IFERROR(INDEX(Assumptions!$E$18:$E$29, MATCH(BA13, Assumptions!$D$18:$D$29, 0))*$C$16, 0)</f>
        <v>0</v>
      </c>
      <c r="BB16" s="245">
        <f>+IFERROR(INDEX(Assumptions!$E$18:$E$29, MATCH(BB13, Assumptions!$D$18:$D$29, 0))*$C$16, 0)</f>
        <v>0</v>
      </c>
      <c r="BC16" s="245">
        <f>+IFERROR(INDEX(Assumptions!$E$18:$E$29, MATCH(BC13, Assumptions!$D$18:$D$29, 0))*$C$16, 0)</f>
        <v>0</v>
      </c>
      <c r="BD16" s="245">
        <f>+IFERROR(INDEX(Assumptions!$E$18:$E$29, MATCH(BD13, Assumptions!$D$18:$D$29, 0))*$C$16, 0)</f>
        <v>0</v>
      </c>
      <c r="BE16" s="245">
        <f>+IFERROR(INDEX(Assumptions!$E$18:$E$29, MATCH(BE13, Assumptions!$D$18:$D$29, 0))*$C$16, 0)</f>
        <v>0</v>
      </c>
      <c r="BF16" s="245">
        <f>+IFERROR(INDEX(Assumptions!$E$18:$E$29, MATCH(BF13, Assumptions!$D$18:$D$29, 0))*$C$16, 0)</f>
        <v>0</v>
      </c>
      <c r="BG16" s="245">
        <f>+IFERROR(INDEX(Assumptions!$E$18:$E$29, MATCH(BG13, Assumptions!$D$18:$D$29, 0))*$C$16, 0)</f>
        <v>0</v>
      </c>
      <c r="BH16" s="245">
        <f>+IFERROR(INDEX(Assumptions!$E$18:$E$29, MATCH(BH13, Assumptions!$D$18:$D$29, 0))*$C$16, 0)</f>
        <v>0</v>
      </c>
      <c r="BI16" s="245">
        <f>+IFERROR(INDEX(Assumptions!$E$18:$E$29, MATCH(BI13, Assumptions!$D$18:$D$29, 0))*$C$16, 0)</f>
        <v>0</v>
      </c>
      <c r="BJ16" s="245">
        <f>+IFERROR(INDEX(Assumptions!$E$18:$E$29, MATCH(BJ13, Assumptions!$D$18:$D$29, 0))*$C$16, 0)</f>
        <v>0</v>
      </c>
      <c r="BK16" s="245">
        <f>+IFERROR(INDEX(Assumptions!$E$18:$E$29, MATCH(BK13, Assumptions!$D$18:$D$29, 0))*$C$16, 0)</f>
        <v>0</v>
      </c>
      <c r="BL16" s="245">
        <f>+IFERROR(INDEX(Assumptions!$E$18:$E$29, MATCH(BL13, Assumptions!$D$18:$D$29, 0))*$C$16, 0)</f>
        <v>0</v>
      </c>
      <c r="BM16" s="245">
        <f>+IFERROR(INDEX(Assumptions!$E$18:$E$29, MATCH(BM13, Assumptions!$D$18:$D$29, 0))*$C$16, 0)</f>
        <v>0</v>
      </c>
      <c r="BN16" s="245">
        <f>+IFERROR(INDEX(Assumptions!$E$18:$E$29, MATCH(BN13, Assumptions!$D$18:$D$29, 0))*$C$16, 0)</f>
        <v>0</v>
      </c>
      <c r="BO16" s="245">
        <f>+IFERROR(INDEX(Assumptions!$E$18:$E$29, MATCH(BO13, Assumptions!$D$18:$D$29, 0))*$C$16, 0)</f>
        <v>0</v>
      </c>
      <c r="BP16" s="245">
        <f>+IFERROR(INDEX(Assumptions!$E$18:$E$29, MATCH(BP13, Assumptions!$D$18:$D$29, 0))*$C$16, 0)</f>
        <v>0</v>
      </c>
      <c r="BQ16" s="245">
        <f>+IFERROR(INDEX(Assumptions!$E$18:$E$29, MATCH(BQ13, Assumptions!$D$18:$D$29, 0))*$C$16, 0)</f>
        <v>0</v>
      </c>
      <c r="BR16" s="245">
        <f>+IFERROR(INDEX(Assumptions!$E$18:$E$29, MATCH(BR13, Assumptions!$D$18:$D$29, 0))*$C$16, 0)</f>
        <v>0</v>
      </c>
      <c r="BS16" s="245">
        <f>+IFERROR(INDEX(Assumptions!$E$18:$E$29, MATCH(BS13, Assumptions!$D$18:$D$29, 0))*$C$16, 0)</f>
        <v>0</v>
      </c>
      <c r="BT16" s="245">
        <f>+IFERROR(INDEX(Assumptions!$E$18:$E$29, MATCH(BT13, Assumptions!$D$18:$D$29, 0))*$C$16, 0)</f>
        <v>0</v>
      </c>
      <c r="BU16" s="245">
        <f>+IFERROR(INDEX(Assumptions!$E$18:$E$29, MATCH(BU13, Assumptions!$D$18:$D$29, 0))*$C$16, 0)</f>
        <v>0</v>
      </c>
      <c r="BV16" s="245">
        <f>+IFERROR(INDEX(Assumptions!$E$18:$E$29, MATCH(BV13, Assumptions!$D$18:$D$29, 0))*$C$16, 0)</f>
        <v>0</v>
      </c>
      <c r="BW16" s="245">
        <f>+IFERROR(INDEX(Assumptions!$E$18:$E$29, MATCH(BW13, Assumptions!$D$18:$D$29, 0))*$C$16, 0)</f>
        <v>0</v>
      </c>
      <c r="BX16" s="245">
        <f>+IFERROR(INDEX(Assumptions!$E$18:$E$29, MATCH(BX13, Assumptions!$D$18:$D$29, 0))*$C$16, 0)</f>
        <v>0</v>
      </c>
      <c r="BY16" s="245">
        <f>+IFERROR(INDEX(Assumptions!$E$18:$E$29, MATCH(BY13, Assumptions!$D$18:$D$29, 0))*$C$16, 0)</f>
        <v>0</v>
      </c>
      <c r="BZ16" s="245">
        <f>+IFERROR(INDEX(Assumptions!$E$18:$E$29, MATCH(BZ13, Assumptions!$D$18:$D$29, 0))*$C$16, 0)</f>
        <v>0</v>
      </c>
      <c r="CA16" s="245">
        <f>+IFERROR(INDEX(Assumptions!$E$18:$E$29, MATCH(CA13, Assumptions!$D$18:$D$29, 0))*$C$16, 0)</f>
        <v>0</v>
      </c>
      <c r="CB16" s="245">
        <f>+IFERROR(INDEX(Assumptions!$E$18:$E$29, MATCH(CB13, Assumptions!$D$18:$D$29, 0))*$C$16, 0)</f>
        <v>0</v>
      </c>
      <c r="CC16" s="245">
        <f>+IFERROR(INDEX(Assumptions!$E$18:$E$29, MATCH(CC13, Assumptions!$D$18:$D$29, 0))*$C$16, 0)</f>
        <v>0</v>
      </c>
      <c r="CD16" s="245">
        <f>+IFERROR(INDEX(Assumptions!$E$18:$E$29, MATCH(CD13, Assumptions!$D$18:$D$29, 0))*$C$16, 0)</f>
        <v>0</v>
      </c>
      <c r="CE16" s="245">
        <f>+IFERROR(INDEX(Assumptions!$E$18:$E$29, MATCH(CE13, Assumptions!$D$18:$D$29, 0))*$C$16, 0)</f>
        <v>0</v>
      </c>
      <c r="CF16" s="245">
        <f>+IFERROR(INDEX(Assumptions!$E$18:$E$29, MATCH(CF13, Assumptions!$D$18:$D$29, 0))*$C$16, 0)</f>
        <v>0</v>
      </c>
      <c r="CG16" s="245">
        <f>+IFERROR(INDEX(Assumptions!$E$18:$E$29, MATCH(CG13, Assumptions!$D$18:$D$29, 0))*$C$16, 0)</f>
        <v>0</v>
      </c>
      <c r="CH16" s="245">
        <f>+IFERROR(INDEX(Assumptions!$E$18:$E$29, MATCH(CH13, Assumptions!$D$18:$D$29, 0))*$C$16, 0)</f>
        <v>0</v>
      </c>
      <c r="CI16" s="245">
        <f>+IFERROR(INDEX(Assumptions!$E$18:$E$29, MATCH(CI13, Assumptions!$D$18:$D$29, 0))*$C$16, 0)</f>
        <v>0</v>
      </c>
      <c r="CJ16" s="245">
        <f>+IFERROR(INDEX(Assumptions!$E$18:$E$29, MATCH(CJ13, Assumptions!$D$18:$D$29, 0))*$C$16, 0)</f>
        <v>0</v>
      </c>
      <c r="CK16" s="245">
        <f>+IFERROR(INDEX(Assumptions!$E$18:$E$29, MATCH(CK13, Assumptions!$D$18:$D$29, 0))*$C$16, 0)</f>
        <v>0</v>
      </c>
      <c r="CL16" s="245">
        <f>+IFERROR(INDEX(Assumptions!$E$18:$E$29, MATCH(CL13, Assumptions!$D$18:$D$29, 0))*$C$16, 0)</f>
        <v>0</v>
      </c>
      <c r="CM16" s="245">
        <f>+IFERROR(INDEX(Assumptions!$E$18:$E$29, MATCH(CM13, Assumptions!$D$18:$D$29, 0))*$C$16, 0)</f>
        <v>0</v>
      </c>
      <c r="CN16" s="245">
        <f>+IFERROR(INDEX(Assumptions!$E$18:$E$29, MATCH(CN13, Assumptions!$D$18:$D$29, 0))*$C$16, 0)</f>
        <v>0</v>
      </c>
      <c r="CO16" s="245">
        <f>+IFERROR(INDEX(Assumptions!$E$18:$E$29, MATCH(CO13, Assumptions!$D$18:$D$29, 0))*$C$16, 0)</f>
        <v>0</v>
      </c>
      <c r="CP16" s="245">
        <f>+IFERROR(INDEX(Assumptions!$E$18:$E$29, MATCH(CP13, Assumptions!$D$18:$D$29, 0))*$C$16, 0)</f>
        <v>0</v>
      </c>
      <c r="CQ16" s="245">
        <f>+IFERROR(INDEX(Assumptions!$E$18:$E$29, MATCH(CQ13, Assumptions!$D$18:$D$29, 0))*$C$16, 0)</f>
        <v>0</v>
      </c>
      <c r="CR16" s="245">
        <f>+IFERROR(INDEX(Assumptions!$E$18:$E$29, MATCH(CR13, Assumptions!$D$18:$D$29, 0))*$C$16, 0)</f>
        <v>0</v>
      </c>
      <c r="CS16" s="245">
        <f>+IFERROR(INDEX(Assumptions!$E$18:$E$29, MATCH(CS13, Assumptions!$D$18:$D$29, 0))*$C$16, 0)</f>
        <v>0</v>
      </c>
      <c r="CT16" s="245">
        <f>+IFERROR(INDEX(Assumptions!$E$18:$E$29, MATCH(CT13, Assumptions!$D$18:$D$29, 0))*$C$16, 0)</f>
        <v>0</v>
      </c>
      <c r="CU16" s="245">
        <f>+IFERROR(INDEX(Assumptions!$E$18:$E$29, MATCH(CU13, Assumptions!$D$18:$D$29, 0))*$C$16, 0)</f>
        <v>0</v>
      </c>
      <c r="CV16" s="245">
        <f>+IFERROR(INDEX(Assumptions!$E$18:$E$29, MATCH(CV13, Assumptions!$D$18:$D$29, 0))*$C$16, 0)</f>
        <v>0</v>
      </c>
      <c r="CW16" s="245">
        <f>+IFERROR(INDEX(Assumptions!$E$18:$E$29, MATCH(CW13, Assumptions!$D$18:$D$29, 0))*$C$16, 0)</f>
        <v>0</v>
      </c>
      <c r="CX16" s="245">
        <f>+IFERROR(INDEX(Assumptions!$E$18:$E$29, MATCH(CX13, Assumptions!$D$18:$D$29, 0))*$C$16, 0)</f>
        <v>0</v>
      </c>
      <c r="CY16" s="245">
        <f>+IFERROR(INDEX(Assumptions!$E$18:$E$29, MATCH(CY13, Assumptions!$D$18:$D$29, 0))*$C$16, 0)</f>
        <v>0</v>
      </c>
      <c r="CZ16" s="245">
        <f>+IFERROR(INDEX(Assumptions!$E$18:$E$29, MATCH(CZ13, Assumptions!$D$18:$D$29, 0))*$C$16, 0)</f>
        <v>0</v>
      </c>
      <c r="DA16" s="245">
        <f>+IFERROR(INDEX(Assumptions!$E$18:$E$29, MATCH(DA13, Assumptions!$D$18:$D$29, 0))*$C$16, 0)</f>
        <v>0</v>
      </c>
      <c r="DB16" s="245">
        <f>+IFERROR(INDEX(Assumptions!$E$18:$E$29, MATCH(DB13, Assumptions!$D$18:$D$29, 0))*$C$16, 0)</f>
        <v>0</v>
      </c>
      <c r="DC16" s="245">
        <f>+IFERROR(INDEX(Assumptions!$E$18:$E$29, MATCH(DC13, Assumptions!$D$18:$D$29, 0))*$C$16, 0)</f>
        <v>0</v>
      </c>
      <c r="DD16" s="245">
        <f>+IFERROR(INDEX(Assumptions!$E$18:$E$29, MATCH(DD13, Assumptions!$D$18:$D$29, 0))*$C$16, 0)</f>
        <v>0</v>
      </c>
      <c r="DE16" s="245">
        <f>+IFERROR(INDEX(Assumptions!$E$18:$E$29, MATCH(DE13, Assumptions!$D$18:$D$29, 0))*$C$16, 0)</f>
        <v>0</v>
      </c>
      <c r="DF16" s="245">
        <f>+IFERROR(INDEX(Assumptions!$E$18:$E$29, MATCH(DF13, Assumptions!$D$18:$D$29, 0))*$C$16, 0)</f>
        <v>0</v>
      </c>
      <c r="DG16" s="245">
        <f>+IFERROR(INDEX(Assumptions!$E$18:$E$29, MATCH(DG13, Assumptions!$D$18:$D$29, 0))*$C$16, 0)</f>
        <v>0</v>
      </c>
      <c r="DH16" s="245">
        <f>+IFERROR(INDEX(Assumptions!$E$18:$E$29, MATCH(DH13, Assumptions!$D$18:$D$29, 0))*$C$16, 0)</f>
        <v>0</v>
      </c>
    </row>
    <row r="17" spans="2:112" x14ac:dyDescent="0.25">
      <c r="B17" t="s">
        <v>455</v>
      </c>
      <c r="C17" s="471">
        <v>45808</v>
      </c>
      <c r="D17" t="s">
        <v>243</v>
      </c>
      <c r="F17" s="9">
        <f>+F16+E17</f>
        <v>0</v>
      </c>
      <c r="G17" s="9">
        <f t="shared" ref="G17:V17" si="38">+G16+F17</f>
        <v>0</v>
      </c>
      <c r="H17" s="9">
        <f t="shared" si="38"/>
        <v>0</v>
      </c>
      <c r="I17" s="9">
        <f t="shared" si="38"/>
        <v>0</v>
      </c>
      <c r="J17" s="9">
        <f t="shared" si="38"/>
        <v>0</v>
      </c>
      <c r="K17" s="9">
        <f t="shared" si="38"/>
        <v>0</v>
      </c>
      <c r="L17" s="9">
        <f t="shared" si="38"/>
        <v>0</v>
      </c>
      <c r="M17" s="9">
        <f t="shared" si="38"/>
        <v>0</v>
      </c>
      <c r="N17" s="9">
        <f t="shared" si="38"/>
        <v>0</v>
      </c>
      <c r="O17" s="9">
        <f t="shared" si="38"/>
        <v>0</v>
      </c>
      <c r="P17" s="9">
        <f t="shared" si="38"/>
        <v>0</v>
      </c>
      <c r="Q17" s="9">
        <f t="shared" si="38"/>
        <v>0</v>
      </c>
      <c r="R17" s="9">
        <f t="shared" si="38"/>
        <v>0</v>
      </c>
      <c r="S17" s="9">
        <f t="shared" si="38"/>
        <v>0</v>
      </c>
      <c r="T17" s="9">
        <f t="shared" si="38"/>
        <v>0</v>
      </c>
      <c r="U17" s="9">
        <f t="shared" si="38"/>
        <v>0</v>
      </c>
      <c r="V17" s="9">
        <f t="shared" si="38"/>
        <v>0</v>
      </c>
      <c r="W17" s="9">
        <f t="shared" ref="W17:AK17" si="39">+W16+V17</f>
        <v>0</v>
      </c>
      <c r="X17" s="9">
        <f t="shared" si="39"/>
        <v>0</v>
      </c>
      <c r="Y17" s="9">
        <f t="shared" si="39"/>
        <v>0</v>
      </c>
      <c r="Z17" s="9">
        <f t="shared" si="39"/>
        <v>0</v>
      </c>
      <c r="AA17" s="9">
        <f t="shared" si="39"/>
        <v>0</v>
      </c>
      <c r="AB17" s="9">
        <f t="shared" si="39"/>
        <v>0</v>
      </c>
      <c r="AC17" s="9">
        <f t="shared" si="39"/>
        <v>0</v>
      </c>
      <c r="AD17" s="9">
        <f t="shared" si="39"/>
        <v>0</v>
      </c>
      <c r="AE17" s="9">
        <f t="shared" si="39"/>
        <v>0</v>
      </c>
      <c r="AF17" s="9">
        <f t="shared" si="39"/>
        <v>0</v>
      </c>
      <c r="AG17" s="9">
        <f t="shared" si="39"/>
        <v>0</v>
      </c>
      <c r="AH17" s="9">
        <f>+AH16+AG17</f>
        <v>64000</v>
      </c>
      <c r="AI17" s="9">
        <f>+AI16+AH17</f>
        <v>64000</v>
      </c>
      <c r="AJ17" s="9">
        <f t="shared" si="39"/>
        <v>64000</v>
      </c>
      <c r="AK17" s="9">
        <f t="shared" si="39"/>
        <v>64000</v>
      </c>
      <c r="AL17" s="9">
        <f t="shared" ref="AL17:CV17" si="40">+AL16+AK17</f>
        <v>64000</v>
      </c>
      <c r="AM17" s="9">
        <f t="shared" si="40"/>
        <v>64000</v>
      </c>
      <c r="AN17" s="9">
        <f t="shared" si="40"/>
        <v>64000</v>
      </c>
      <c r="AO17" s="9">
        <f t="shared" si="40"/>
        <v>64000</v>
      </c>
      <c r="AP17" s="9">
        <f t="shared" si="40"/>
        <v>64000</v>
      </c>
      <c r="AQ17" s="9">
        <f t="shared" si="40"/>
        <v>64000</v>
      </c>
      <c r="AR17" s="9">
        <f t="shared" si="40"/>
        <v>64000</v>
      </c>
      <c r="AS17" s="9">
        <f t="shared" si="40"/>
        <v>64000</v>
      </c>
      <c r="AT17" s="9">
        <f t="shared" si="40"/>
        <v>64000</v>
      </c>
      <c r="AU17" s="9">
        <f t="shared" si="40"/>
        <v>64000</v>
      </c>
      <c r="AV17" s="9">
        <f t="shared" si="40"/>
        <v>64000</v>
      </c>
      <c r="AW17" s="9">
        <f t="shared" si="40"/>
        <v>64000</v>
      </c>
      <c r="AX17" s="9">
        <f t="shared" si="40"/>
        <v>64000</v>
      </c>
      <c r="AY17" s="9">
        <f t="shared" si="40"/>
        <v>64000</v>
      </c>
      <c r="AZ17" s="9">
        <f t="shared" si="40"/>
        <v>64000</v>
      </c>
      <c r="BA17" s="9">
        <f t="shared" si="40"/>
        <v>64000</v>
      </c>
      <c r="BB17" s="9">
        <f t="shared" si="40"/>
        <v>64000</v>
      </c>
      <c r="BC17" s="9">
        <f t="shared" si="40"/>
        <v>64000</v>
      </c>
      <c r="BD17" s="9">
        <f t="shared" si="40"/>
        <v>64000</v>
      </c>
      <c r="BE17" s="9">
        <f t="shared" si="40"/>
        <v>64000</v>
      </c>
      <c r="BF17" s="9">
        <f t="shared" si="40"/>
        <v>64000</v>
      </c>
      <c r="BG17" s="9">
        <f t="shared" si="40"/>
        <v>64000</v>
      </c>
      <c r="BH17" s="9">
        <f t="shared" si="40"/>
        <v>64000</v>
      </c>
      <c r="BI17" s="9">
        <f t="shared" si="40"/>
        <v>64000</v>
      </c>
      <c r="BJ17" s="9">
        <f t="shared" si="40"/>
        <v>64000</v>
      </c>
      <c r="BK17" s="9">
        <f t="shared" si="40"/>
        <v>64000</v>
      </c>
      <c r="BL17" s="9">
        <f t="shared" si="40"/>
        <v>64000</v>
      </c>
      <c r="BM17" s="9">
        <f t="shared" si="40"/>
        <v>64000</v>
      </c>
      <c r="BN17" s="9">
        <f t="shared" si="40"/>
        <v>64000</v>
      </c>
      <c r="BO17" s="9">
        <f t="shared" si="40"/>
        <v>64000</v>
      </c>
      <c r="BP17" s="9">
        <f t="shared" si="40"/>
        <v>64000</v>
      </c>
      <c r="BQ17" s="9">
        <f t="shared" si="40"/>
        <v>64000</v>
      </c>
      <c r="BR17" s="9">
        <f t="shared" si="40"/>
        <v>64000</v>
      </c>
      <c r="BS17" s="9">
        <f t="shared" si="40"/>
        <v>64000</v>
      </c>
      <c r="BT17" s="9">
        <f t="shared" si="40"/>
        <v>64000</v>
      </c>
      <c r="BU17" s="9">
        <f t="shared" si="40"/>
        <v>64000</v>
      </c>
      <c r="BV17" s="9">
        <f t="shared" si="40"/>
        <v>64000</v>
      </c>
      <c r="BW17" s="9">
        <f t="shared" si="40"/>
        <v>64000</v>
      </c>
      <c r="BX17" s="9">
        <f t="shared" si="40"/>
        <v>64000</v>
      </c>
      <c r="BY17" s="9">
        <f t="shared" si="40"/>
        <v>64000</v>
      </c>
      <c r="BZ17" s="9">
        <f t="shared" si="40"/>
        <v>64000</v>
      </c>
      <c r="CA17" s="9">
        <f t="shared" si="40"/>
        <v>64000</v>
      </c>
      <c r="CB17" s="9">
        <f t="shared" si="40"/>
        <v>64000</v>
      </c>
      <c r="CC17" s="9">
        <f t="shared" si="40"/>
        <v>64000</v>
      </c>
      <c r="CD17" s="9">
        <f t="shared" si="40"/>
        <v>64000</v>
      </c>
      <c r="CE17" s="9">
        <f t="shared" si="40"/>
        <v>64000</v>
      </c>
      <c r="CF17" s="9">
        <f t="shared" si="40"/>
        <v>64000</v>
      </c>
      <c r="CG17" s="9">
        <f t="shared" si="40"/>
        <v>64000</v>
      </c>
      <c r="CH17" s="9">
        <f t="shared" si="40"/>
        <v>64000</v>
      </c>
      <c r="CI17" s="9">
        <f t="shared" si="40"/>
        <v>64000</v>
      </c>
      <c r="CJ17" s="9">
        <f t="shared" si="40"/>
        <v>64000</v>
      </c>
      <c r="CK17" s="9">
        <f t="shared" si="40"/>
        <v>64000</v>
      </c>
      <c r="CL17" s="9">
        <f t="shared" si="40"/>
        <v>64000</v>
      </c>
      <c r="CM17" s="9">
        <f t="shared" si="40"/>
        <v>64000</v>
      </c>
      <c r="CN17" s="9">
        <f t="shared" si="40"/>
        <v>64000</v>
      </c>
      <c r="CO17" s="9">
        <f t="shared" si="40"/>
        <v>64000</v>
      </c>
      <c r="CP17" s="9">
        <f t="shared" si="40"/>
        <v>64000</v>
      </c>
      <c r="CQ17" s="9">
        <f t="shared" si="40"/>
        <v>64000</v>
      </c>
      <c r="CR17" s="9">
        <f t="shared" si="40"/>
        <v>64000</v>
      </c>
      <c r="CS17" s="9">
        <f t="shared" si="40"/>
        <v>64000</v>
      </c>
      <c r="CT17" s="9">
        <f t="shared" si="40"/>
        <v>64000</v>
      </c>
      <c r="CU17" s="9">
        <f t="shared" si="40"/>
        <v>64000</v>
      </c>
      <c r="CV17" s="9">
        <f t="shared" si="40"/>
        <v>64000</v>
      </c>
      <c r="CW17" s="9">
        <f t="shared" ref="CW17" si="41">+CW16+CV17</f>
        <v>64000</v>
      </c>
      <c r="CX17" s="9">
        <f t="shared" ref="CX17" si="42">+CX16+CW17</f>
        <v>64000</v>
      </c>
      <c r="CY17" s="9">
        <f t="shared" ref="CY17" si="43">+CY16+CX17</f>
        <v>64000</v>
      </c>
      <c r="CZ17" s="9">
        <f t="shared" ref="CZ17" si="44">+CZ16+CY17</f>
        <v>64000</v>
      </c>
      <c r="DA17" s="9">
        <f t="shared" ref="DA17" si="45">+DA16+CZ17</f>
        <v>64000</v>
      </c>
      <c r="DB17" s="9">
        <f t="shared" ref="DB17" si="46">+DB16+DA17</f>
        <v>64000</v>
      </c>
      <c r="DC17" s="9">
        <f t="shared" ref="DC17" si="47">+DC16+DB17</f>
        <v>64000</v>
      </c>
      <c r="DD17" s="9">
        <f t="shared" ref="DD17" si="48">+DD16+DC17</f>
        <v>64000</v>
      </c>
      <c r="DE17" s="9">
        <f t="shared" ref="DE17" si="49">+DE16+DD17</f>
        <v>64000</v>
      </c>
      <c r="DF17" s="9">
        <f t="shared" ref="DF17" si="50">+DF16+DE17</f>
        <v>64000</v>
      </c>
      <c r="DG17" s="9">
        <f t="shared" ref="DG17:DH17" si="51">+DG16+DF17</f>
        <v>64000</v>
      </c>
      <c r="DH17" s="9">
        <f t="shared" si="51"/>
        <v>64000</v>
      </c>
    </row>
    <row r="18" spans="2:112" x14ac:dyDescent="0.25">
      <c r="B18" t="s">
        <v>473</v>
      </c>
      <c r="C18" s="473">
        <f>+EOMONTH(C17,1)</f>
        <v>45838</v>
      </c>
      <c r="D18" t="s">
        <v>278</v>
      </c>
      <c r="F18" s="422">
        <f>+IFERROR(INDEX(Assumptions!$F$31:$F$42, MATCH(F13, Assumptions!$D$31:$D$42, 0))*$C$16, 0)</f>
        <v>0</v>
      </c>
      <c r="G18" s="9">
        <f>+IFERROR(INDEX(Assumptions!$F$31:$F$42, MATCH(G13, Assumptions!$D$31:$D$42, 0))*$C$15, 0)</f>
        <v>0</v>
      </c>
      <c r="H18" s="9">
        <f>+IFERROR(INDEX(Assumptions!$F$31:$F$42, MATCH(H13, Assumptions!$D$31:$D$42, 0))*$C$15, 0)</f>
        <v>0</v>
      </c>
      <c r="I18" s="9">
        <f>+IFERROR(INDEX(Assumptions!$F$31:$F$42, MATCH(I13, Assumptions!$D$31:$D$42, 0))*$C$15, 0)</f>
        <v>0</v>
      </c>
      <c r="J18" s="9">
        <f>+IFERROR(INDEX(Assumptions!$F$31:$F$42, MATCH(J13, Assumptions!$D$31:$D$42, 0))*$C$15, 0)</f>
        <v>0</v>
      </c>
      <c r="K18" s="9">
        <f>+IFERROR(INDEX(Assumptions!$F$31:$F$42, MATCH(K13, Assumptions!$D$31:$D$42, 0))*$C$15, 0)</f>
        <v>0</v>
      </c>
      <c r="L18" s="9">
        <f>+IFERROR(INDEX(Assumptions!$F$31:$F$42, MATCH(L13, Assumptions!$D$31:$D$42, 0))*$C$15, 0)</f>
        <v>0</v>
      </c>
      <c r="M18" s="9">
        <f>+IFERROR(INDEX(Assumptions!$F$31:$F$42, MATCH(M13, Assumptions!$D$31:$D$42, 0))*$C$15, 0)</f>
        <v>0</v>
      </c>
      <c r="N18" s="9">
        <f>+IFERROR(INDEX(Assumptions!$F$31:$F$42, MATCH(N13, Assumptions!$D$31:$D$42, 0))*$C$15, 0)</f>
        <v>0</v>
      </c>
      <c r="O18" s="9">
        <f>+IFERROR(INDEX(Assumptions!$F$31:$F$42, MATCH(O13, Assumptions!$D$31:$D$42, 0))*$C$15, 0)</f>
        <v>0</v>
      </c>
      <c r="P18" s="9">
        <f>+IFERROR(INDEX(Assumptions!$F$31:$F$42, MATCH(P13, Assumptions!$D$31:$D$42, 0))*$C$15, 0)</f>
        <v>0</v>
      </c>
      <c r="Q18" s="9">
        <f>+IFERROR(INDEX(Assumptions!$F$31:$F$42, MATCH(Q13, Assumptions!$D$31:$D$42, 0))*$C$15, 0)</f>
        <v>0</v>
      </c>
      <c r="R18" s="9">
        <f>+IFERROR(INDEX(Assumptions!$F$31:$F$42, MATCH(R13, Assumptions!$D$31:$D$42, 0))*$C$15, 0)</f>
        <v>0</v>
      </c>
      <c r="S18" s="9">
        <f>+IFERROR(INDEX(Assumptions!$F$31:$F$42, MATCH(S13, Assumptions!$D$31:$D$42, 0))*$C$15, 0)</f>
        <v>0</v>
      </c>
      <c r="T18" s="9">
        <f>+IFERROR(INDEX(Assumptions!$F$31:$F$42, MATCH(T13, Assumptions!$D$31:$D$42, 0))*$C$15, 0)</f>
        <v>0</v>
      </c>
      <c r="U18" s="9">
        <f>+IFERROR(INDEX(Assumptions!$F$31:$F$42, MATCH(U13, Assumptions!$D$31:$D$42, 0))*$C$15, 0)</f>
        <v>0</v>
      </c>
      <c r="V18" s="9">
        <f>+IFERROR(INDEX(Assumptions!$F$31:$F$42, MATCH(V13, Assumptions!$D$31:$D$42, 0))*$C$15, 0)</f>
        <v>0</v>
      </c>
      <c r="W18" s="9">
        <f>+IFERROR(INDEX(Assumptions!$F$31:$F$42, MATCH(W13, Assumptions!$D$31:$D$42, 0))*$C$15, 0)</f>
        <v>0</v>
      </c>
      <c r="X18" s="9">
        <f>+IFERROR(INDEX(Assumptions!$F$31:$F$42, MATCH(X13, Assumptions!$D$31:$D$42, 0))*$C$15, 0)</f>
        <v>0</v>
      </c>
      <c r="Y18" s="9">
        <f>+IFERROR(INDEX(Assumptions!$F$31:$F$42, MATCH(Y13, Assumptions!$D$31:$D$42, 0))*$C$15, 0)</f>
        <v>0</v>
      </c>
      <c r="Z18" s="9">
        <f>+IFERROR(INDEX(Assumptions!$F$31:$F$42, MATCH(Z13, Assumptions!$D$31:$D$42, 0))*$C$15, 0)</f>
        <v>0</v>
      </c>
      <c r="AA18" s="9">
        <f>+IFERROR(INDEX(Assumptions!$F$31:$F$42, MATCH(AA13, Assumptions!$D$31:$D$42, 0))*$C$15, 0)</f>
        <v>0</v>
      </c>
      <c r="AB18" s="9">
        <f>+IFERROR(INDEX(Assumptions!$F$31:$F$42, MATCH(AB13, Assumptions!$D$31:$D$42, 0))*$C$15, 0)</f>
        <v>0</v>
      </c>
      <c r="AC18" s="9">
        <f>+IFERROR(INDEX(Assumptions!$F$31:$F$42, MATCH(AC13, Assumptions!$D$31:$D$42, 0))*$C$15, 0)</f>
        <v>0</v>
      </c>
      <c r="AD18" s="9">
        <f>+IFERROR(INDEX(Assumptions!$F$31:$F$42, MATCH(AD13, Assumptions!$D$31:$D$42, 0))*$C$15, 0)</f>
        <v>0</v>
      </c>
      <c r="AE18" s="9">
        <f>+IFERROR(INDEX(Assumptions!$F$31:$F$42, MATCH(AE13, Assumptions!$D$31:$D$42, 0))*$C$15, 0)</f>
        <v>0</v>
      </c>
      <c r="AF18" s="9">
        <f>+IFERROR(INDEX(Assumptions!$F$31:$F$42, MATCH(AF13, Assumptions!$D$31:$D$42, 0))*$C$15, 0)</f>
        <v>0</v>
      </c>
      <c r="AG18" s="493">
        <v>90000</v>
      </c>
      <c r="AH18" s="493">
        <v>0</v>
      </c>
      <c r="AI18" s="9">
        <f>+IFERROR(INDEX(Assumptions!$F$31:$F$42, MATCH(AI13, Assumptions!$D$31:$D$42, 0))*$C$15, 0)</f>
        <v>0</v>
      </c>
      <c r="AJ18" s="9">
        <f>+IFERROR(INDEX(Assumptions!$F$31:$F$42, MATCH(AJ13, Assumptions!$D$31:$D$42, 0))*$C$15, 0)</f>
        <v>0</v>
      </c>
      <c r="AK18" s="9">
        <f>+IFERROR(INDEX(Assumptions!$F$31:$F$42, MATCH(AK13, Assumptions!$D$31:$D$42, 0))*$C$15, 0)</f>
        <v>0</v>
      </c>
      <c r="AL18" s="9">
        <f>+IFERROR(INDEX(Assumptions!$F$31:$F$42, MATCH(AL13, Assumptions!$D$31:$D$42, 0))*$C$15, 0)</f>
        <v>0</v>
      </c>
      <c r="AM18" s="9">
        <f>+IFERROR(INDEX(Assumptions!$F$31:$F$42, MATCH(AM13, Assumptions!$D$31:$D$42, 0))*$C$15, 0)</f>
        <v>0</v>
      </c>
      <c r="AN18" s="9">
        <f>+IFERROR(INDEX(Assumptions!$F$31:$F$42, MATCH(AN13, Assumptions!$D$31:$D$42, 0))*$C$15, 0)</f>
        <v>0</v>
      </c>
      <c r="AO18" s="9">
        <f>+IFERROR(INDEX(Assumptions!$F$31:$F$42, MATCH(AO13, Assumptions!$D$31:$D$42, 0))*$C$15, 0)</f>
        <v>0</v>
      </c>
      <c r="AP18" s="9">
        <f>+IFERROR(INDEX(Assumptions!$F$31:$F$42, MATCH(AP13, Assumptions!$D$31:$D$42, 0))*$C$15, 0)</f>
        <v>0</v>
      </c>
      <c r="AQ18" s="9">
        <f>+IFERROR(INDEX(Assumptions!$F$31:$F$42, MATCH(AQ13, Assumptions!$D$31:$D$42, 0))*$C$15, 0)</f>
        <v>0</v>
      </c>
      <c r="AR18" s="9">
        <f>+IFERROR(INDEX(Assumptions!$F$31:$F$42, MATCH(AR13, Assumptions!$D$31:$D$42, 0))*$C$15, 0)</f>
        <v>0</v>
      </c>
      <c r="AS18" s="9">
        <f>+IFERROR(INDEX(Assumptions!$F$31:$F$42, MATCH(AS13, Assumptions!$D$31:$D$42, 0))*$C$15, 0)</f>
        <v>0</v>
      </c>
      <c r="AT18" s="9">
        <f>+IFERROR(INDEX(Assumptions!$F$31:$F$42, MATCH(AT13, Assumptions!$D$31:$D$42, 0))*$C$15, 0)</f>
        <v>0</v>
      </c>
      <c r="AU18" s="9">
        <f>+IFERROR(INDEX(Assumptions!$F$31:$F$42, MATCH(AU13, Assumptions!$D$31:$D$42, 0))*$C$15, 0)</f>
        <v>0</v>
      </c>
      <c r="AV18" s="9">
        <f>+IFERROR(INDEX(Assumptions!$F$31:$F$42, MATCH(AV13, Assumptions!$D$31:$D$42, 0))*$C$15, 0)</f>
        <v>0</v>
      </c>
      <c r="AW18" s="9">
        <f>+IFERROR(INDEX(Assumptions!$F$31:$F$42, MATCH(AW13, Assumptions!$D$31:$D$42, 0))*$C$15, 0)</f>
        <v>0</v>
      </c>
      <c r="AX18" s="9">
        <f>+IFERROR(INDEX(Assumptions!$F$31:$F$42, MATCH(AX13, Assumptions!$D$31:$D$42, 0))*$C$15, 0)</f>
        <v>0</v>
      </c>
      <c r="AY18" s="9">
        <f>+IFERROR(INDEX(Assumptions!$F$31:$F$42, MATCH(AY13, Assumptions!$D$31:$D$42, 0))*$C$15, 0)</f>
        <v>0</v>
      </c>
      <c r="AZ18" s="9">
        <f>+IFERROR(INDEX(Assumptions!$F$31:$F$42, MATCH(AZ13, Assumptions!$D$31:$D$42, 0))*$C$15, 0)</f>
        <v>0</v>
      </c>
      <c r="BA18" s="9">
        <f>+IFERROR(INDEX(Assumptions!$F$31:$F$42, MATCH(BA13, Assumptions!$D$31:$D$42, 0))*$C$15, 0)</f>
        <v>0</v>
      </c>
      <c r="BB18" s="9">
        <f>+IFERROR(INDEX(Assumptions!$F$31:$F$42, MATCH(BB13, Assumptions!$D$31:$D$42, 0))*$C$15, 0)</f>
        <v>0</v>
      </c>
      <c r="BC18" s="9">
        <f>+IFERROR(INDEX(Assumptions!$F$31:$F$42, MATCH(BC13, Assumptions!$D$31:$D$42, 0))*$C$15, 0)</f>
        <v>0</v>
      </c>
      <c r="BD18" s="9">
        <f>+IFERROR(INDEX(Assumptions!$F$31:$F$42, MATCH(BD13, Assumptions!$D$31:$D$42, 0))*$C$15, 0)</f>
        <v>0</v>
      </c>
      <c r="BE18" s="9">
        <f>+IFERROR(INDEX(Assumptions!$F$31:$F$42, MATCH(BE13, Assumptions!$D$31:$D$42, 0))*$C$15, 0)</f>
        <v>0</v>
      </c>
      <c r="BF18" s="9">
        <f>+IFERROR(INDEX(Assumptions!$F$31:$F$42, MATCH(BF13, Assumptions!$D$31:$D$42, 0))*$C$15, 0)</f>
        <v>0</v>
      </c>
      <c r="BG18" s="9">
        <f>+IFERROR(INDEX(Assumptions!$F$31:$F$42, MATCH(BG13, Assumptions!$D$31:$D$42, 0))*$C$15, 0)</f>
        <v>0</v>
      </c>
      <c r="BH18" s="9">
        <f>+IFERROR(INDEX(Assumptions!$F$31:$F$42, MATCH(BH13, Assumptions!$D$31:$D$42, 0))*$C$15, 0)</f>
        <v>0</v>
      </c>
      <c r="BI18" s="9">
        <f>+IFERROR(INDEX(Assumptions!$F$31:$F$42, MATCH(BI13, Assumptions!$D$31:$D$42, 0))*$C$15, 0)</f>
        <v>0</v>
      </c>
      <c r="BJ18" s="9">
        <f>+IFERROR(INDEX(Assumptions!$F$31:$F$42, MATCH(BJ13, Assumptions!$D$31:$D$42, 0))*$C$15, 0)</f>
        <v>0</v>
      </c>
      <c r="BK18" s="9">
        <f>+IFERROR(INDEX(Assumptions!$F$31:$F$42, MATCH(BK13, Assumptions!$D$31:$D$42, 0))*$C$15, 0)</f>
        <v>0</v>
      </c>
      <c r="BL18" s="9">
        <f>+IFERROR(INDEX(Assumptions!$F$31:$F$42, MATCH(BL13, Assumptions!$D$31:$D$42, 0))*$C$15, 0)</f>
        <v>0</v>
      </c>
      <c r="BM18" s="9">
        <f>+IFERROR(INDEX(Assumptions!$F$31:$F$42, MATCH(BM13, Assumptions!$D$31:$D$42, 0))*$C$15, 0)</f>
        <v>0</v>
      </c>
      <c r="BN18" s="9">
        <f>+IFERROR(INDEX(Assumptions!$F$31:$F$42, MATCH(BN13, Assumptions!$D$31:$D$42, 0))*$C$15, 0)</f>
        <v>0</v>
      </c>
      <c r="BO18" s="9">
        <f>+IFERROR(INDEX(Assumptions!$F$31:$F$42, MATCH(BO13, Assumptions!$D$31:$D$42, 0))*$C$15, 0)</f>
        <v>0</v>
      </c>
      <c r="BP18" s="9">
        <f>+IFERROR(INDEX(Assumptions!$F$31:$F$42, MATCH(BP13, Assumptions!$D$31:$D$42, 0))*$C$15, 0)</f>
        <v>0</v>
      </c>
      <c r="BQ18" s="9">
        <f>+IFERROR(INDEX(Assumptions!$F$31:$F$42, MATCH(BQ13, Assumptions!$D$31:$D$42, 0))*$C$15, 0)</f>
        <v>0</v>
      </c>
      <c r="BR18" s="9">
        <f>+IFERROR(INDEX(Assumptions!$F$31:$F$42, MATCH(BR13, Assumptions!$D$31:$D$42, 0))*$C$15, 0)</f>
        <v>0</v>
      </c>
      <c r="BS18" s="9">
        <f>+IFERROR(INDEX(Assumptions!$F$31:$F$42, MATCH(BS13, Assumptions!$D$31:$D$42, 0))*$C$15, 0)</f>
        <v>0</v>
      </c>
      <c r="BT18" s="9">
        <f>+IFERROR(INDEX(Assumptions!$F$31:$F$42, MATCH(BT13, Assumptions!$D$31:$D$42, 0))*$C$15, 0)</f>
        <v>0</v>
      </c>
      <c r="BU18" s="9">
        <f>+IFERROR(INDEX(Assumptions!$F$31:$F$42, MATCH(BU13, Assumptions!$D$31:$D$42, 0))*$C$15, 0)</f>
        <v>0</v>
      </c>
      <c r="BV18" s="9">
        <f>+IFERROR(INDEX(Assumptions!$F$31:$F$42, MATCH(BV13, Assumptions!$D$31:$D$42, 0))*$C$15, 0)</f>
        <v>0</v>
      </c>
      <c r="BW18" s="9">
        <f>+IFERROR(INDEX(Assumptions!$F$31:$F$42, MATCH(BW13, Assumptions!$D$31:$D$42, 0))*$C$15, 0)</f>
        <v>0</v>
      </c>
      <c r="BX18" s="9">
        <f>+IFERROR(INDEX(Assumptions!$F$31:$F$42, MATCH(BX13, Assumptions!$D$31:$D$42, 0))*$C$15, 0)</f>
        <v>0</v>
      </c>
      <c r="BY18" s="9">
        <f>+IFERROR(INDEX(Assumptions!$F$31:$F$42, MATCH(BY13, Assumptions!$D$31:$D$42, 0))*$C$15, 0)</f>
        <v>0</v>
      </c>
      <c r="BZ18" s="9">
        <f>+IFERROR(INDEX(Assumptions!$F$31:$F$42, MATCH(BZ13, Assumptions!$D$31:$D$42, 0))*$C$15, 0)</f>
        <v>0</v>
      </c>
      <c r="CA18" s="9">
        <f>+IFERROR(INDEX(Assumptions!$F$31:$F$42, MATCH(CA13, Assumptions!$D$31:$D$42, 0))*$C$15, 0)</f>
        <v>0</v>
      </c>
      <c r="CB18" s="9">
        <f>+IFERROR(INDEX(Assumptions!$F$31:$F$42, MATCH(CB13, Assumptions!$D$31:$D$42, 0))*$C$15, 0)</f>
        <v>0</v>
      </c>
      <c r="CC18" s="9">
        <f>+IFERROR(INDEX(Assumptions!$F$31:$F$42, MATCH(CC13, Assumptions!$D$31:$D$42, 0))*$C$15, 0)</f>
        <v>0</v>
      </c>
      <c r="CD18" s="9">
        <f>+IFERROR(INDEX(Assumptions!$F$31:$F$42, MATCH(CD13, Assumptions!$D$31:$D$42, 0))*$C$15, 0)</f>
        <v>0</v>
      </c>
      <c r="CE18" s="9">
        <f>+IFERROR(INDEX(Assumptions!$F$31:$F$42, MATCH(CE13, Assumptions!$D$31:$D$42, 0))*$C$15, 0)</f>
        <v>0</v>
      </c>
      <c r="CF18" s="9">
        <f>+IFERROR(INDEX(Assumptions!$F$31:$F$42, MATCH(CF13, Assumptions!$D$31:$D$42, 0))*$C$15, 0)</f>
        <v>0</v>
      </c>
      <c r="CG18" s="9">
        <f>+IFERROR(INDEX(Assumptions!$F$31:$F$42, MATCH(CG13, Assumptions!$D$31:$D$42, 0))*$C$15, 0)</f>
        <v>0</v>
      </c>
      <c r="CH18" s="9">
        <f>+IFERROR(INDEX(Assumptions!$F$31:$F$42, MATCH(CH13, Assumptions!$D$31:$D$42, 0))*$C$15, 0)</f>
        <v>0</v>
      </c>
      <c r="CI18" s="9">
        <f>+IFERROR(INDEX(Assumptions!$F$31:$F$42, MATCH(CI13, Assumptions!$D$31:$D$42, 0))*$C$15, 0)</f>
        <v>0</v>
      </c>
      <c r="CJ18" s="9">
        <f>+IFERROR(INDEX(Assumptions!$F$31:$F$42, MATCH(CJ13, Assumptions!$D$31:$D$42, 0))*$C$15, 0)</f>
        <v>0</v>
      </c>
      <c r="CK18" s="9">
        <f>+IFERROR(INDEX(Assumptions!$F$31:$F$42, MATCH(CK13, Assumptions!$D$31:$D$42, 0))*$C$15, 0)</f>
        <v>0</v>
      </c>
      <c r="CL18" s="9">
        <f>+IFERROR(INDEX(Assumptions!$F$31:$F$42, MATCH(CL13, Assumptions!$D$31:$D$42, 0))*$C$15, 0)</f>
        <v>0</v>
      </c>
      <c r="CM18" s="9">
        <f>+IFERROR(INDEX(Assumptions!$F$31:$F$42, MATCH(CM13, Assumptions!$D$31:$D$42, 0))*$C$15, 0)</f>
        <v>0</v>
      </c>
      <c r="CN18" s="9">
        <f>+IFERROR(INDEX(Assumptions!$F$31:$F$42, MATCH(CN13, Assumptions!$D$31:$D$42, 0))*$C$15, 0)</f>
        <v>0</v>
      </c>
      <c r="CO18" s="9">
        <f>+IFERROR(INDEX(Assumptions!$F$31:$F$42, MATCH(CO13, Assumptions!$D$31:$D$42, 0))*$C$15, 0)</f>
        <v>0</v>
      </c>
      <c r="CP18" s="9">
        <f>+IFERROR(INDEX(Assumptions!$F$31:$F$42, MATCH(CP13, Assumptions!$D$31:$D$42, 0))*$C$15, 0)</f>
        <v>0</v>
      </c>
      <c r="CQ18" s="9">
        <f>+IFERROR(INDEX(Assumptions!$F$31:$F$42, MATCH(CQ13, Assumptions!$D$31:$D$42, 0))*$C$15, 0)</f>
        <v>0</v>
      </c>
      <c r="CR18" s="9">
        <f>+IFERROR(INDEX(Assumptions!$F$31:$F$42, MATCH(CR13, Assumptions!$D$31:$D$42, 0))*$C$15, 0)</f>
        <v>0</v>
      </c>
      <c r="CS18" s="9">
        <f>+IFERROR(INDEX(Assumptions!$F$31:$F$42, MATCH(CS13, Assumptions!$D$31:$D$42, 0))*$C$15, 0)</f>
        <v>0</v>
      </c>
      <c r="CT18" s="9">
        <f>+IFERROR(INDEX(Assumptions!$F$31:$F$42, MATCH(CT13, Assumptions!$D$31:$D$42, 0))*$C$15, 0)</f>
        <v>0</v>
      </c>
      <c r="CU18" s="9">
        <f>+IFERROR(INDEX(Assumptions!$F$31:$F$42, MATCH(CU13, Assumptions!$D$31:$D$42, 0))*$C$15, 0)</f>
        <v>0</v>
      </c>
      <c r="CV18" s="9">
        <f>+IFERROR(INDEX(Assumptions!$F$31:$F$42, MATCH(CV13, Assumptions!$D$31:$D$42, 0))*$C$15, 0)</f>
        <v>0</v>
      </c>
      <c r="CW18" s="9">
        <f>+IFERROR(INDEX(Assumptions!$F$31:$F$42, MATCH(CW13, Assumptions!$D$31:$D$42, 0))*$C$15, 0)</f>
        <v>0</v>
      </c>
      <c r="CX18" s="9">
        <f>+IFERROR(INDEX(Assumptions!$F$31:$F$42, MATCH(CX13, Assumptions!$D$31:$D$42, 0))*$C$15, 0)</f>
        <v>0</v>
      </c>
      <c r="CY18" s="9">
        <f>+IFERROR(INDEX(Assumptions!$F$31:$F$42, MATCH(CY13, Assumptions!$D$31:$D$42, 0))*$C$15, 0)</f>
        <v>0</v>
      </c>
      <c r="CZ18" s="9">
        <f>+IFERROR(INDEX(Assumptions!$F$31:$F$42, MATCH(CZ13, Assumptions!$D$31:$D$42, 0))*$C$15, 0)</f>
        <v>0</v>
      </c>
      <c r="DA18" s="9">
        <f>+IFERROR(INDEX(Assumptions!$F$31:$F$42, MATCH(DA13, Assumptions!$D$31:$D$42, 0))*$C$15, 0)</f>
        <v>0</v>
      </c>
      <c r="DB18" s="9">
        <f>+IFERROR(INDEX(Assumptions!$F$31:$F$42, MATCH(DB13, Assumptions!$D$31:$D$42, 0))*$C$15, 0)</f>
        <v>0</v>
      </c>
      <c r="DC18" s="9">
        <f>+IFERROR(INDEX(Assumptions!$F$31:$F$42, MATCH(DC13, Assumptions!$D$31:$D$42, 0))*$C$15, 0)</f>
        <v>0</v>
      </c>
      <c r="DD18" s="9">
        <f>+IFERROR(INDEX(Assumptions!$F$31:$F$42, MATCH(DD13, Assumptions!$D$31:$D$42, 0))*$C$15, 0)</f>
        <v>0</v>
      </c>
      <c r="DE18" s="9">
        <f>+IFERROR(INDEX(Assumptions!$F$31:$F$42, MATCH(DE13, Assumptions!$D$31:$D$42, 0))*$C$15, 0)</f>
        <v>0</v>
      </c>
      <c r="DF18" s="9">
        <f>+IFERROR(INDEX(Assumptions!$F$31:$F$42, MATCH(DF13, Assumptions!$D$31:$D$42, 0))*$C$15, 0)</f>
        <v>0</v>
      </c>
      <c r="DG18" s="9">
        <f>+IFERROR(INDEX(Assumptions!$F$31:$F$42, MATCH(DG13, Assumptions!$D$31:$D$42, 0))*$C$15, 0)</f>
        <v>0</v>
      </c>
      <c r="DH18" s="9">
        <f>+IFERROR(INDEX(Assumptions!$F$31:$F$42, MATCH(DH13, Assumptions!$D$31:$D$42, 0))*$C$15, 0)</f>
        <v>0</v>
      </c>
    </row>
    <row r="19" spans="2:112" x14ac:dyDescent="0.25">
      <c r="D19" t="s">
        <v>277</v>
      </c>
      <c r="F19" s="9">
        <f>+F18+E19</f>
        <v>0</v>
      </c>
      <c r="G19" s="9">
        <f t="shared" ref="G19:V19" si="52">+G18+F19</f>
        <v>0</v>
      </c>
      <c r="H19" s="9">
        <f t="shared" si="52"/>
        <v>0</v>
      </c>
      <c r="I19" s="9">
        <f t="shared" si="52"/>
        <v>0</v>
      </c>
      <c r="J19" s="9">
        <f t="shared" si="52"/>
        <v>0</v>
      </c>
      <c r="K19" s="9">
        <f t="shared" si="52"/>
        <v>0</v>
      </c>
      <c r="L19" s="9">
        <f t="shared" si="52"/>
        <v>0</v>
      </c>
      <c r="M19" s="9">
        <f t="shared" si="52"/>
        <v>0</v>
      </c>
      <c r="N19" s="9">
        <f t="shared" si="52"/>
        <v>0</v>
      </c>
      <c r="O19" s="9">
        <f t="shared" si="52"/>
        <v>0</v>
      </c>
      <c r="P19" s="9">
        <f t="shared" si="52"/>
        <v>0</v>
      </c>
      <c r="Q19" s="9">
        <f t="shared" si="52"/>
        <v>0</v>
      </c>
      <c r="R19" s="9">
        <f t="shared" si="52"/>
        <v>0</v>
      </c>
      <c r="S19" s="9">
        <f t="shared" si="52"/>
        <v>0</v>
      </c>
      <c r="T19" s="9">
        <f t="shared" si="52"/>
        <v>0</v>
      </c>
      <c r="U19" s="9">
        <f t="shared" si="52"/>
        <v>0</v>
      </c>
      <c r="V19" s="9">
        <f t="shared" si="52"/>
        <v>0</v>
      </c>
      <c r="W19" s="9">
        <f>+W18+V19</f>
        <v>0</v>
      </c>
      <c r="X19" s="9">
        <f t="shared" ref="X19:AK19" si="53">+X18+W19</f>
        <v>0</v>
      </c>
      <c r="Y19" s="9">
        <f t="shared" si="53"/>
        <v>0</v>
      </c>
      <c r="Z19" s="9">
        <f t="shared" si="53"/>
        <v>0</v>
      </c>
      <c r="AA19" s="9">
        <f t="shared" si="53"/>
        <v>0</v>
      </c>
      <c r="AB19" s="9">
        <f t="shared" si="53"/>
        <v>0</v>
      </c>
      <c r="AC19" s="9">
        <f t="shared" si="53"/>
        <v>0</v>
      </c>
      <c r="AD19" s="9">
        <f t="shared" si="53"/>
        <v>0</v>
      </c>
      <c r="AE19" s="9">
        <f t="shared" si="53"/>
        <v>0</v>
      </c>
      <c r="AF19" s="9">
        <f t="shared" si="53"/>
        <v>0</v>
      </c>
      <c r="AG19" s="9">
        <f t="shared" si="53"/>
        <v>90000</v>
      </c>
      <c r="AH19" s="9">
        <f t="shared" si="53"/>
        <v>90000</v>
      </c>
      <c r="AI19" s="9">
        <f t="shared" si="53"/>
        <v>90000</v>
      </c>
      <c r="AJ19" s="9">
        <f t="shared" si="53"/>
        <v>90000</v>
      </c>
      <c r="AK19" s="9">
        <f t="shared" si="53"/>
        <v>90000</v>
      </c>
      <c r="AL19" s="9">
        <f t="shared" ref="AL19" si="54">+AL18+AK19</f>
        <v>90000</v>
      </c>
      <c r="AM19" s="9">
        <f t="shared" ref="AM19" si="55">+AM18+AL19</f>
        <v>90000</v>
      </c>
      <c r="AN19" s="9">
        <f t="shared" ref="AN19" si="56">+AN18+AM19</f>
        <v>90000</v>
      </c>
      <c r="AO19" s="9">
        <f t="shared" ref="AO19" si="57">+AO18+AN19</f>
        <v>90000</v>
      </c>
      <c r="AP19" s="9">
        <f t="shared" ref="AP19" si="58">+AP18+AO19</f>
        <v>90000</v>
      </c>
      <c r="AQ19" s="9">
        <f t="shared" ref="AQ19" si="59">+AQ18+AP19</f>
        <v>90000</v>
      </c>
      <c r="AR19" s="9">
        <f t="shared" ref="AR19" si="60">+AR18+AQ19</f>
        <v>90000</v>
      </c>
      <c r="AS19" s="9">
        <f t="shared" ref="AS19" si="61">+AS18+AR19</f>
        <v>90000</v>
      </c>
      <c r="AT19" s="9">
        <f t="shared" ref="AT19" si="62">+AT18+AS19</f>
        <v>90000</v>
      </c>
      <c r="AU19" s="9">
        <f t="shared" ref="AU19" si="63">+AU18+AT19</f>
        <v>90000</v>
      </c>
      <c r="AV19" s="9">
        <f t="shared" ref="AV19" si="64">+AV18+AU19</f>
        <v>90000</v>
      </c>
      <c r="AW19" s="9">
        <f t="shared" ref="AW19" si="65">+AW18+AV19</f>
        <v>90000</v>
      </c>
      <c r="AX19" s="9">
        <f t="shared" ref="AX19" si="66">+AX18+AW19</f>
        <v>90000</v>
      </c>
      <c r="AY19" s="9">
        <f t="shared" ref="AY19" si="67">+AY18+AX19</f>
        <v>90000</v>
      </c>
      <c r="AZ19" s="9">
        <f t="shared" ref="AZ19" si="68">+AZ18+AY19</f>
        <v>90000</v>
      </c>
      <c r="BA19" s="9">
        <f t="shared" ref="BA19" si="69">+BA18+AZ19</f>
        <v>90000</v>
      </c>
      <c r="BB19" s="9">
        <f t="shared" ref="BB19" si="70">+BB18+BA19</f>
        <v>90000</v>
      </c>
      <c r="BC19" s="9">
        <f t="shared" ref="BC19" si="71">+BC18+BB19</f>
        <v>90000</v>
      </c>
      <c r="BD19" s="9">
        <f t="shared" ref="BD19" si="72">+BD18+BC19</f>
        <v>90000</v>
      </c>
      <c r="BE19" s="9">
        <f t="shared" ref="BE19" si="73">+BE18+BD19</f>
        <v>90000</v>
      </c>
      <c r="BF19" s="9">
        <f t="shared" ref="BF19" si="74">+BF18+BE19</f>
        <v>90000</v>
      </c>
      <c r="BG19" s="9">
        <f t="shared" ref="BG19" si="75">+BG18+BF19</f>
        <v>90000</v>
      </c>
      <c r="BH19" s="9">
        <f t="shared" ref="BH19" si="76">+BH18+BG19</f>
        <v>90000</v>
      </c>
      <c r="BI19" s="9">
        <f t="shared" ref="BI19" si="77">+BI18+BH19</f>
        <v>90000</v>
      </c>
      <c r="BJ19" s="9">
        <f t="shared" ref="BJ19" si="78">+BJ18+BI19</f>
        <v>90000</v>
      </c>
      <c r="BK19" s="9">
        <f t="shared" ref="BK19" si="79">+BK18+BJ19</f>
        <v>90000</v>
      </c>
      <c r="BL19" s="9">
        <f t="shared" ref="BL19" si="80">+BL18+BK19</f>
        <v>90000</v>
      </c>
      <c r="BM19" s="9">
        <f t="shared" ref="BM19" si="81">+BM18+BL19</f>
        <v>90000</v>
      </c>
      <c r="BN19" s="9">
        <f t="shared" ref="BN19" si="82">+BN18+BM19</f>
        <v>90000</v>
      </c>
      <c r="BO19" s="9">
        <f t="shared" ref="BO19" si="83">+BO18+BN19</f>
        <v>90000</v>
      </c>
      <c r="BP19" s="9">
        <f t="shared" ref="BP19" si="84">+BP18+BO19</f>
        <v>90000</v>
      </c>
      <c r="BQ19" s="9">
        <f t="shared" ref="BQ19" si="85">+BQ18+BP19</f>
        <v>90000</v>
      </c>
      <c r="BR19" s="9">
        <f t="shared" ref="BR19" si="86">+BR18+BQ19</f>
        <v>90000</v>
      </c>
      <c r="BS19" s="9">
        <f t="shared" ref="BS19" si="87">+BS18+BR19</f>
        <v>90000</v>
      </c>
      <c r="BT19" s="9">
        <f t="shared" ref="BT19" si="88">+BT18+BS19</f>
        <v>90000</v>
      </c>
      <c r="BU19" s="9">
        <f t="shared" ref="BU19" si="89">+BU18+BT19</f>
        <v>90000</v>
      </c>
      <c r="BV19" s="9">
        <f t="shared" ref="BV19" si="90">+BV18+BU19</f>
        <v>90000</v>
      </c>
      <c r="BW19" s="9">
        <f t="shared" ref="BW19" si="91">+BW18+BV19</f>
        <v>90000</v>
      </c>
      <c r="BX19" s="9">
        <f t="shared" ref="BX19" si="92">+BX18+BW19</f>
        <v>90000</v>
      </c>
      <c r="BY19" s="9">
        <f t="shared" ref="BY19" si="93">+BY18+BX19</f>
        <v>90000</v>
      </c>
      <c r="BZ19" s="9">
        <f t="shared" ref="BZ19" si="94">+BZ18+BY19</f>
        <v>90000</v>
      </c>
      <c r="CA19" s="9">
        <f t="shared" ref="CA19" si="95">+CA18+BZ19</f>
        <v>90000</v>
      </c>
      <c r="CB19" s="9">
        <f t="shared" ref="CB19" si="96">+CB18+CA19</f>
        <v>90000</v>
      </c>
      <c r="CC19" s="9">
        <f t="shared" ref="CC19" si="97">+CC18+CB19</f>
        <v>90000</v>
      </c>
      <c r="CD19" s="9">
        <f t="shared" ref="CD19" si="98">+CD18+CC19</f>
        <v>90000</v>
      </c>
      <c r="CE19" s="9">
        <f t="shared" ref="CE19" si="99">+CE18+CD19</f>
        <v>90000</v>
      </c>
      <c r="CF19" s="9">
        <f t="shared" ref="CF19" si="100">+CF18+CE19</f>
        <v>90000</v>
      </c>
      <c r="CG19" s="9">
        <f t="shared" ref="CG19" si="101">+CG18+CF19</f>
        <v>90000</v>
      </c>
      <c r="CH19" s="9">
        <f t="shared" ref="CH19" si="102">+CH18+CG19</f>
        <v>90000</v>
      </c>
      <c r="CI19" s="9">
        <f t="shared" ref="CI19" si="103">+CI18+CH19</f>
        <v>90000</v>
      </c>
      <c r="CJ19" s="9">
        <f t="shared" ref="CJ19" si="104">+CJ18+CI19</f>
        <v>90000</v>
      </c>
      <c r="CK19" s="9">
        <f t="shared" ref="CK19" si="105">+CK18+CJ19</f>
        <v>90000</v>
      </c>
      <c r="CL19" s="9">
        <f t="shared" ref="CL19" si="106">+CL18+CK19</f>
        <v>90000</v>
      </c>
      <c r="CM19" s="9">
        <f t="shared" ref="CM19" si="107">+CM18+CL19</f>
        <v>90000</v>
      </c>
      <c r="CN19" s="9">
        <f t="shared" ref="CN19" si="108">+CN18+CM19</f>
        <v>90000</v>
      </c>
      <c r="CO19" s="9">
        <f t="shared" ref="CO19" si="109">+CO18+CN19</f>
        <v>90000</v>
      </c>
      <c r="CP19" s="9">
        <f t="shared" ref="CP19" si="110">+CP18+CO19</f>
        <v>90000</v>
      </c>
      <c r="CQ19" s="9">
        <f t="shared" ref="CQ19" si="111">+CQ18+CP19</f>
        <v>90000</v>
      </c>
      <c r="CR19" s="9">
        <f t="shared" ref="CR19" si="112">+CR18+CQ19</f>
        <v>90000</v>
      </c>
      <c r="CS19" s="9">
        <f t="shared" ref="CS19" si="113">+CS18+CR19</f>
        <v>90000</v>
      </c>
      <c r="CT19" s="9">
        <f t="shared" ref="CT19" si="114">+CT18+CS19</f>
        <v>90000</v>
      </c>
      <c r="CU19" s="9">
        <f t="shared" ref="CU19" si="115">+CU18+CT19</f>
        <v>90000</v>
      </c>
      <c r="CV19" s="9">
        <f t="shared" ref="CV19" si="116">+CV18+CU19</f>
        <v>90000</v>
      </c>
      <c r="CW19" s="9">
        <f t="shared" ref="CW19" si="117">+CW18+CV19</f>
        <v>90000</v>
      </c>
      <c r="CX19" s="9">
        <f t="shared" ref="CX19" si="118">+CX18+CW19</f>
        <v>90000</v>
      </c>
      <c r="CY19" s="9">
        <f t="shared" ref="CY19" si="119">+CY18+CX19</f>
        <v>90000</v>
      </c>
      <c r="CZ19" s="9">
        <f t="shared" ref="CZ19" si="120">+CZ18+CY19</f>
        <v>90000</v>
      </c>
      <c r="DA19" s="9">
        <f t="shared" ref="DA19" si="121">+DA18+CZ19</f>
        <v>90000</v>
      </c>
      <c r="DB19" s="9">
        <f t="shared" ref="DB19" si="122">+DB18+DA19</f>
        <v>90000</v>
      </c>
      <c r="DC19" s="9">
        <f t="shared" ref="DC19" si="123">+DC18+DB19</f>
        <v>90000</v>
      </c>
      <c r="DD19" s="9">
        <f t="shared" ref="DD19" si="124">+DD18+DC19</f>
        <v>90000</v>
      </c>
      <c r="DE19" s="9">
        <f t="shared" ref="DE19" si="125">+DE18+DD19</f>
        <v>90000</v>
      </c>
      <c r="DF19" s="9">
        <f t="shared" ref="DF19" si="126">+DF18+DE19</f>
        <v>90000</v>
      </c>
      <c r="DG19" s="9">
        <f t="shared" ref="DG19:DH19" si="127">+DG18+DF19</f>
        <v>90000</v>
      </c>
      <c r="DH19" s="9">
        <f t="shared" si="127"/>
        <v>90000</v>
      </c>
    </row>
    <row r="20" spans="2:112" x14ac:dyDescent="0.25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</row>
    <row r="21" spans="2:112" x14ac:dyDescent="0.25">
      <c r="F21" s="472">
        <f t="shared" ref="F21:AK21" si="128">+IF(F$3&lt;$C$25,0,IF(AND(F$3&gt;=$C$25,E21&lt;12, $C$26&gt;=F$3),E21+1,0))</f>
        <v>0</v>
      </c>
      <c r="G21" s="472">
        <f t="shared" si="128"/>
        <v>0</v>
      </c>
      <c r="H21" s="472">
        <f t="shared" si="128"/>
        <v>0</v>
      </c>
      <c r="I21" s="472">
        <f t="shared" si="128"/>
        <v>0</v>
      </c>
      <c r="J21" s="472">
        <f t="shared" si="128"/>
        <v>0</v>
      </c>
      <c r="K21" s="472">
        <f t="shared" si="128"/>
        <v>0</v>
      </c>
      <c r="L21" s="472">
        <f t="shared" si="128"/>
        <v>0</v>
      </c>
      <c r="M21" s="472">
        <f t="shared" si="128"/>
        <v>0</v>
      </c>
      <c r="N21" s="472">
        <f t="shared" si="128"/>
        <v>0</v>
      </c>
      <c r="O21" s="472">
        <f t="shared" si="128"/>
        <v>0</v>
      </c>
      <c r="P21" s="472">
        <f t="shared" si="128"/>
        <v>0</v>
      </c>
      <c r="Q21" s="472">
        <f t="shared" si="128"/>
        <v>0</v>
      </c>
      <c r="R21" s="82">
        <f t="shared" si="128"/>
        <v>0</v>
      </c>
      <c r="S21" s="472">
        <f t="shared" si="128"/>
        <v>0</v>
      </c>
      <c r="T21" s="472">
        <f t="shared" si="128"/>
        <v>0</v>
      </c>
      <c r="U21" s="472">
        <f t="shared" si="128"/>
        <v>0</v>
      </c>
      <c r="V21" s="82">
        <f t="shared" si="128"/>
        <v>0</v>
      </c>
      <c r="W21" s="82">
        <f t="shared" si="128"/>
        <v>0</v>
      </c>
      <c r="X21" s="82">
        <f t="shared" si="128"/>
        <v>0</v>
      </c>
      <c r="Y21" s="82">
        <f t="shared" si="128"/>
        <v>0</v>
      </c>
      <c r="Z21" s="82">
        <f t="shared" si="128"/>
        <v>0</v>
      </c>
      <c r="AA21" s="82">
        <f t="shared" si="128"/>
        <v>0</v>
      </c>
      <c r="AB21" s="82">
        <f t="shared" si="128"/>
        <v>0</v>
      </c>
      <c r="AC21" s="82">
        <f t="shared" si="128"/>
        <v>0</v>
      </c>
      <c r="AD21" s="82">
        <f t="shared" si="128"/>
        <v>0</v>
      </c>
      <c r="AE21" s="82">
        <f t="shared" si="128"/>
        <v>0</v>
      </c>
      <c r="AF21" s="472">
        <f t="shared" si="128"/>
        <v>0</v>
      </c>
      <c r="AG21" s="82">
        <f t="shared" si="128"/>
        <v>0</v>
      </c>
      <c r="AH21" s="472">
        <f>+IF(AH$3&lt;$C$25,0,IF(AND(AH$3&gt;=$C$25,AG21&lt;12, $C$26&gt;=AH$3),AG21+1,0))</f>
        <v>0</v>
      </c>
      <c r="AI21" s="472">
        <f t="shared" si="128"/>
        <v>0</v>
      </c>
      <c r="AJ21" s="472">
        <f t="shared" si="128"/>
        <v>0</v>
      </c>
      <c r="AK21" s="472">
        <f t="shared" si="128"/>
        <v>0</v>
      </c>
      <c r="AL21" s="472">
        <f t="shared" ref="AL21:BQ21" si="129">+IF(AL$3&lt;$C$25,0,IF(AND(AL$3&gt;=$C$25,AK21&lt;12, $C$26&gt;=AL$3),AK21+1,0))</f>
        <v>0</v>
      </c>
      <c r="AM21" s="472">
        <f t="shared" si="129"/>
        <v>1</v>
      </c>
      <c r="AN21" s="472">
        <f t="shared" si="129"/>
        <v>2</v>
      </c>
      <c r="AO21" s="472">
        <f t="shared" si="129"/>
        <v>3</v>
      </c>
      <c r="AP21" s="472">
        <f t="shared" si="129"/>
        <v>4</v>
      </c>
      <c r="AQ21" s="472">
        <f t="shared" si="129"/>
        <v>5</v>
      </c>
      <c r="AR21" s="472">
        <f t="shared" si="129"/>
        <v>6</v>
      </c>
      <c r="AS21" s="472">
        <f t="shared" si="129"/>
        <v>7</v>
      </c>
      <c r="AT21" s="472">
        <f t="shared" si="129"/>
        <v>8</v>
      </c>
      <c r="AU21" s="472">
        <f t="shared" si="129"/>
        <v>9</v>
      </c>
      <c r="AV21" s="472">
        <f t="shared" si="129"/>
        <v>10</v>
      </c>
      <c r="AW21" s="472">
        <f t="shared" si="129"/>
        <v>11</v>
      </c>
      <c r="AX21" s="472">
        <f t="shared" si="129"/>
        <v>12</v>
      </c>
      <c r="AY21" s="472">
        <f t="shared" si="129"/>
        <v>0</v>
      </c>
      <c r="AZ21" s="472">
        <f t="shared" si="129"/>
        <v>0</v>
      </c>
      <c r="BA21" s="472">
        <f t="shared" si="129"/>
        <v>0</v>
      </c>
      <c r="BB21" s="472">
        <f t="shared" si="129"/>
        <v>0</v>
      </c>
      <c r="BC21" s="472">
        <f t="shared" si="129"/>
        <v>0</v>
      </c>
      <c r="BD21" s="472">
        <f t="shared" si="129"/>
        <v>0</v>
      </c>
      <c r="BE21" s="472">
        <f t="shared" si="129"/>
        <v>0</v>
      </c>
      <c r="BF21" s="472">
        <f t="shared" si="129"/>
        <v>0</v>
      </c>
      <c r="BG21" s="472">
        <f t="shared" si="129"/>
        <v>0</v>
      </c>
      <c r="BH21" s="472">
        <f t="shared" si="129"/>
        <v>0</v>
      </c>
      <c r="BI21" s="472">
        <f t="shared" si="129"/>
        <v>0</v>
      </c>
      <c r="BJ21" s="472">
        <f t="shared" si="129"/>
        <v>0</v>
      </c>
      <c r="BK21" s="472">
        <f t="shared" si="129"/>
        <v>0</v>
      </c>
      <c r="BL21" s="472">
        <f t="shared" si="129"/>
        <v>0</v>
      </c>
      <c r="BM21" s="472">
        <f t="shared" si="129"/>
        <v>0</v>
      </c>
      <c r="BN21" s="472">
        <f t="shared" si="129"/>
        <v>0</v>
      </c>
      <c r="BO21" s="472">
        <f t="shared" si="129"/>
        <v>0</v>
      </c>
      <c r="BP21" s="472">
        <f t="shared" si="129"/>
        <v>0</v>
      </c>
      <c r="BQ21" s="472">
        <f t="shared" si="129"/>
        <v>0</v>
      </c>
      <c r="BR21" s="472">
        <f t="shared" ref="BR21:CV21" si="130">+IF(BR$3&lt;$C$25,0,IF(AND(BR$3&gt;=$C$25,BQ21&lt;12, $C$26&gt;=BR$3),BQ21+1,0))</f>
        <v>0</v>
      </c>
      <c r="BS21" s="472">
        <f t="shared" si="130"/>
        <v>0</v>
      </c>
      <c r="BT21" s="472">
        <f t="shared" si="130"/>
        <v>0</v>
      </c>
      <c r="BU21" s="472">
        <f t="shared" si="130"/>
        <v>0</v>
      </c>
      <c r="BV21" s="472">
        <f t="shared" si="130"/>
        <v>0</v>
      </c>
      <c r="BW21" s="472">
        <f t="shared" si="130"/>
        <v>0</v>
      </c>
      <c r="BX21" s="472">
        <f t="shared" si="130"/>
        <v>0</v>
      </c>
      <c r="BY21" s="472">
        <f t="shared" si="130"/>
        <v>0</v>
      </c>
      <c r="BZ21" s="472">
        <f t="shared" si="130"/>
        <v>0</v>
      </c>
      <c r="CA21" s="472">
        <f t="shared" si="130"/>
        <v>0</v>
      </c>
      <c r="CB21" s="472">
        <f t="shared" si="130"/>
        <v>0</v>
      </c>
      <c r="CC21" s="472">
        <f t="shared" si="130"/>
        <v>0</v>
      </c>
      <c r="CD21" s="472">
        <f t="shared" si="130"/>
        <v>0</v>
      </c>
      <c r="CE21" s="472">
        <f t="shared" si="130"/>
        <v>0</v>
      </c>
      <c r="CF21" s="472">
        <f t="shared" si="130"/>
        <v>0</v>
      </c>
      <c r="CG21" s="472">
        <f t="shared" si="130"/>
        <v>0</v>
      </c>
      <c r="CH21" s="472">
        <f t="shared" si="130"/>
        <v>0</v>
      </c>
      <c r="CI21" s="472">
        <f t="shared" si="130"/>
        <v>0</v>
      </c>
      <c r="CJ21" s="472">
        <f t="shared" si="130"/>
        <v>0</v>
      </c>
      <c r="CK21" s="472">
        <f t="shared" si="130"/>
        <v>0</v>
      </c>
      <c r="CL21" s="472">
        <f t="shared" si="130"/>
        <v>0</v>
      </c>
      <c r="CM21" s="472">
        <f t="shared" si="130"/>
        <v>0</v>
      </c>
      <c r="CN21" s="472">
        <f t="shared" si="130"/>
        <v>0</v>
      </c>
      <c r="CO21" s="472">
        <f t="shared" si="130"/>
        <v>0</v>
      </c>
      <c r="CP21" s="472">
        <f t="shared" si="130"/>
        <v>0</v>
      </c>
      <c r="CQ21" s="472">
        <f t="shared" si="130"/>
        <v>0</v>
      </c>
      <c r="CR21" s="472">
        <f t="shared" si="130"/>
        <v>0</v>
      </c>
      <c r="CS21" s="472">
        <f t="shared" si="130"/>
        <v>0</v>
      </c>
      <c r="CT21" s="472">
        <f t="shared" si="130"/>
        <v>0</v>
      </c>
      <c r="CU21" s="472">
        <f t="shared" si="130"/>
        <v>0</v>
      </c>
      <c r="CV21" s="472">
        <f t="shared" si="130"/>
        <v>0</v>
      </c>
      <c r="CW21" s="472">
        <f t="shared" ref="CW21:DG21" si="131">+IF(CW$3&lt;$C$25,0,IF(AND(CW$3&gt;=$C$25,CV21&lt;12, $C$26&gt;=CW$3),CV21+1,0))</f>
        <v>0</v>
      </c>
      <c r="CX21" s="472">
        <f t="shared" si="131"/>
        <v>0</v>
      </c>
      <c r="CY21" s="472">
        <f t="shared" si="131"/>
        <v>0</v>
      </c>
      <c r="CZ21" s="472">
        <f t="shared" si="131"/>
        <v>0</v>
      </c>
      <c r="DA21" s="472">
        <f t="shared" si="131"/>
        <v>0</v>
      </c>
      <c r="DB21" s="472">
        <f t="shared" si="131"/>
        <v>0</v>
      </c>
      <c r="DC21" s="472">
        <f t="shared" si="131"/>
        <v>0</v>
      </c>
      <c r="DD21" s="472">
        <f t="shared" si="131"/>
        <v>0</v>
      </c>
      <c r="DE21" s="472">
        <f t="shared" si="131"/>
        <v>0</v>
      </c>
      <c r="DF21" s="472">
        <f t="shared" si="131"/>
        <v>0</v>
      </c>
      <c r="DG21" s="472">
        <f t="shared" si="131"/>
        <v>0</v>
      </c>
      <c r="DH21" s="472">
        <f t="shared" ref="DH21" si="132">+IF(DH$3&lt;$C$25,0,IF(AND(DH$3&gt;=$C$25,DG21&lt;12, $C$26&gt;=DH$3),DG21+1,0))</f>
        <v>0</v>
      </c>
    </row>
    <row r="22" spans="2:112" x14ac:dyDescent="0.25">
      <c r="B22" t="s">
        <v>363</v>
      </c>
      <c r="D22" t="s">
        <v>232</v>
      </c>
      <c r="E22" s="422"/>
      <c r="F22" s="422">
        <f>+IFERROR(INDEX(Assumptions!$F$5:$F$16, MATCH(F21, Assumptions!$D$5:$D$16, 0))*$C$23, 0)</f>
        <v>0</v>
      </c>
      <c r="G22" s="422">
        <f>+IFERROR(INDEX(Assumptions!$F$5:$F$16, MATCH(G21, Assumptions!$D$5:$D$16, 0))*$C$23, 0)</f>
        <v>0</v>
      </c>
      <c r="H22" s="422">
        <f>+IFERROR(INDEX(Assumptions!$F$5:$F$16, MATCH(H21, Assumptions!$D$5:$D$16, 0))*$C$23, 0)</f>
        <v>0</v>
      </c>
      <c r="I22" s="422">
        <f>+IFERROR(INDEX(Assumptions!$F$5:$F$16, MATCH(I21, Assumptions!$D$5:$D$16, 0))*$C$23, 0)</f>
        <v>0</v>
      </c>
      <c r="J22" s="422">
        <f>+IFERROR(INDEX(Assumptions!$F$5:$F$16, MATCH(J21, Assumptions!$D$5:$D$16, 0))*$C$23, 0)</f>
        <v>0</v>
      </c>
      <c r="K22" s="422">
        <f>+IFERROR(INDEX(Assumptions!$F$5:$F$16, MATCH(K21, Assumptions!$D$5:$D$16, 0))*$C$23, 0)</f>
        <v>0</v>
      </c>
      <c r="L22" s="422">
        <f>+IFERROR(INDEX(Assumptions!$F$5:$F$16, MATCH(L21, Assumptions!$D$5:$D$16, 0))*$C$23, 0)</f>
        <v>0</v>
      </c>
      <c r="M22" s="422">
        <f>+IFERROR(INDEX(Assumptions!$F$5:$F$16, MATCH(M21, Assumptions!$D$5:$D$16, 0))*$C$23, 0)</f>
        <v>0</v>
      </c>
      <c r="N22" s="422">
        <f>+IFERROR(INDEX(Assumptions!$F$5:$F$16, MATCH(N21, Assumptions!$D$5:$D$16, 0))*$C$23, 0)</f>
        <v>0</v>
      </c>
      <c r="O22" s="422">
        <f>+IFERROR(INDEX(Assumptions!$F$5:$F$16, MATCH(O21, Assumptions!$D$5:$D$16, 0))*$C$23, 0)</f>
        <v>0</v>
      </c>
      <c r="P22" s="422">
        <f>+IFERROR(INDEX(Assumptions!$F$5:$F$16, MATCH(P21, Assumptions!$D$5:$D$16, 0))*$C$23, 0)</f>
        <v>0</v>
      </c>
      <c r="Q22" s="422">
        <f>+IFERROR(INDEX(Assumptions!$F$5:$F$16, MATCH(Q21, Assumptions!$D$5:$D$16, 0))*$C$23, 0)</f>
        <v>0</v>
      </c>
      <c r="R22" s="494">
        <f>+IFERROR(INDEX(Assumptions!$F$5:$F$16, MATCH(R21, Assumptions!$D$5:$D$16, 0))*$C$23, 0)</f>
        <v>0</v>
      </c>
      <c r="S22" s="422">
        <f>+IFERROR(INDEX(Assumptions!$F$5:$F$16, MATCH(S21, Assumptions!$D$5:$D$16, 0))*$C$23, 0)</f>
        <v>0</v>
      </c>
      <c r="T22" s="422">
        <f>+IFERROR(INDEX(Assumptions!$F$5:$F$16, MATCH(T21, Assumptions!$D$5:$D$16, 0))*$C$23, 0)</f>
        <v>0</v>
      </c>
      <c r="U22" s="422">
        <f>+IFERROR(INDEX(Assumptions!$F$5:$F$16, MATCH(U21, Assumptions!$D$5:$D$16, 0))*$C$23, 0)</f>
        <v>0</v>
      </c>
      <c r="V22" s="494">
        <f>+IFERROR(INDEX(Assumptions!$F$5:$F$16, MATCH(V21, Assumptions!$D$5:$D$16, 0))*$C$23, 0)</f>
        <v>0</v>
      </c>
      <c r="W22" s="146">
        <f>+IFERROR(INDEX(Assumptions!$F$5:$F$16, MATCH(W21, Assumptions!$D$5:$D$16, 0))*$C$23, 0)</f>
        <v>0</v>
      </c>
      <c r="X22" s="146">
        <f>+IFERROR(INDEX(Assumptions!$F$5:$F$16, MATCH(X21, Assumptions!$D$5:$D$16, 0))*$C$23, 0)</f>
        <v>0</v>
      </c>
      <c r="Y22" s="146">
        <f>+IFERROR(INDEX(Assumptions!$F$5:$F$16, MATCH(Y21, Assumptions!$D$5:$D$16, 0))*$C$23, 0)</f>
        <v>0</v>
      </c>
      <c r="Z22" s="146">
        <f>+IFERROR(INDEX(Assumptions!$F$5:$F$16, MATCH(Z21, Assumptions!$D$5:$D$16, 0))*$C$23, 0)</f>
        <v>0</v>
      </c>
      <c r="AA22" s="146">
        <f>+IFERROR(INDEX(Assumptions!$F$5:$F$16, MATCH(AA21, Assumptions!$D$5:$D$16, 0))*$C$23, 0)</f>
        <v>0</v>
      </c>
      <c r="AB22" s="146">
        <f>+IFERROR(INDEX(Assumptions!$F$5:$F$16, MATCH(AB21, Assumptions!$D$5:$D$16, 0))*$C$23, 0)</f>
        <v>0</v>
      </c>
      <c r="AC22" s="146">
        <f>+IFERROR(INDEX(Assumptions!$F$5:$F$16, MATCH(AC21, Assumptions!$D$5:$D$16, 0))*$C$23, 0)</f>
        <v>0</v>
      </c>
      <c r="AD22" s="146">
        <f>+IFERROR(INDEX(Assumptions!$F$5:$F$16, MATCH(AD21, Assumptions!$D$5:$D$16, 0))*$C$23, 0)</f>
        <v>0</v>
      </c>
      <c r="AE22" s="146">
        <f>+IFERROR(INDEX(Assumptions!$F$5:$F$16, MATCH(AE21, Assumptions!$D$5:$D$16, 0))*$C$23, 0)</f>
        <v>0</v>
      </c>
      <c r="AF22" s="245">
        <f>+IFERROR(INDEX(Assumptions!$F$5:$F$16, MATCH(AF21, Assumptions!$D$5:$D$16, 0))*$C$23, 0)</f>
        <v>0</v>
      </c>
      <c r="AG22" s="146">
        <f>+IFERROR(INDEX(Assumptions!$F$5:$F$16, MATCH(AG21, Assumptions!$D$5:$D$16, 0))*$C$23, 0)</f>
        <v>0</v>
      </c>
      <c r="AH22" s="245">
        <f>+IFERROR(INDEX(Assumptions!$F$5:$F$16, MATCH(AH21, Assumptions!$D$5:$D$16, 0))*$C$23, 0)</f>
        <v>0</v>
      </c>
      <c r="AI22" s="245">
        <f>+IFERROR(INDEX(Assumptions!$F$5:$F$16, MATCH(AI21, Assumptions!$D$5:$D$16, 0))*$C$23, 0)</f>
        <v>0</v>
      </c>
      <c r="AJ22" s="245">
        <f>+IFERROR(INDEX(Assumptions!$F$5:$F$16, MATCH(AJ21, Assumptions!$D$5:$D$16, 0))*$C$23, 0)</f>
        <v>0</v>
      </c>
      <c r="AK22" s="245">
        <f>+IFERROR(INDEX(Assumptions!$F$5:$F$16, MATCH(AK21, Assumptions!$D$5:$D$16, 0))*$C$23, 0)</f>
        <v>0</v>
      </c>
      <c r="AL22" s="245">
        <f>+IFERROR(INDEX(Assumptions!$F$5:$F$16, MATCH(AL21, Assumptions!$D$5:$D$16, 0))*$C$23, 0)</f>
        <v>0</v>
      </c>
      <c r="AM22" s="245">
        <f>+IFERROR(INDEX(Assumptions!$F$5:$F$16, MATCH(AM21, Assumptions!$D$5:$D$16, 0))*$C$23, 0)</f>
        <v>0</v>
      </c>
      <c r="AN22" s="245">
        <f>+IFERROR(INDEX(Assumptions!$F$5:$F$16, MATCH(AN21, Assumptions!$D$5:$D$16, 0))*$C$23, 0)</f>
        <v>7533.7164629450408</v>
      </c>
      <c r="AO22" s="245">
        <f>+IFERROR(INDEX(Assumptions!$F$5:$F$16, MATCH(AO21, Assumptions!$D$5:$D$16, 0))*$C$23, 0)</f>
        <v>1077.5121250710095</v>
      </c>
      <c r="AP22" s="245">
        <f>+IFERROR(INDEX(Assumptions!$F$5:$F$16, MATCH(AP21, Assumptions!$D$5:$D$16, 0))*$C$23, 0)</f>
        <v>44655.139894241693</v>
      </c>
      <c r="AQ22" s="245">
        <f>+IFERROR(INDEX(Assumptions!$F$5:$F$16, MATCH(AQ21, Assumptions!$D$5:$D$16, 0))*$C$23, 0)</f>
        <v>4030.9595572718176</v>
      </c>
      <c r="AR22" s="245">
        <f>+IFERROR(INDEX(Assumptions!$F$5:$F$16, MATCH(AR21, Assumptions!$D$5:$D$16, 0))*$C$23, 0)</f>
        <v>182356.11231213066</v>
      </c>
      <c r="AS22" s="245">
        <f>+IFERROR(INDEX(Assumptions!$F$5:$F$16, MATCH(AS21, Assumptions!$D$5:$D$16, 0))*$C$23, 0)</f>
        <v>327026.28239196556</v>
      </c>
      <c r="AT22" s="245">
        <f>+IFERROR(INDEX(Assumptions!$F$5:$F$16, MATCH(AT21, Assumptions!$D$5:$D$16, 0))*$C$23, 0)</f>
        <v>220355.97417773673</v>
      </c>
      <c r="AU22" s="245">
        <f>+IFERROR(INDEX(Assumptions!$F$5:$F$16, MATCH(AU21, Assumptions!$D$5:$D$16, 0))*$C$23, 0)</f>
        <v>145407.33470219054</v>
      </c>
      <c r="AV22" s="245">
        <f>+IFERROR(INDEX(Assumptions!$F$5:$F$16, MATCH(AV21, Assumptions!$D$5:$D$16, 0))*$C$23, 0)</f>
        <v>30442.466741147146</v>
      </c>
      <c r="AW22" s="245">
        <f>+IFERROR(INDEX(Assumptions!$F$5:$F$16, MATCH(AW21, Assumptions!$D$5:$D$16, 0))*$C$23, 0)</f>
        <v>233128.59450063354</v>
      </c>
      <c r="AX22" s="245">
        <f>+IFERROR(INDEX(Assumptions!$F$5:$F$16, MATCH(AX21, Assumptions!$D$5:$D$16, 0))*$C$23, 0)</f>
        <v>53985.907134666275</v>
      </c>
      <c r="AY22" s="245">
        <f>+IFERROR(INDEX(Assumptions!$F$5:$F$16, MATCH(AY21, Assumptions!$D$5:$D$16, 0))*$C$23, 0)</f>
        <v>0</v>
      </c>
      <c r="AZ22" s="245">
        <f>+IFERROR(INDEX(Assumptions!$F$5:$F$16, MATCH(AZ21, Assumptions!$D$5:$D$16, 0))*$C$23, 0)</f>
        <v>0</v>
      </c>
      <c r="BA22" s="245">
        <f>+IFERROR(INDEX(Assumptions!$F$5:$F$16, MATCH(BA21, Assumptions!$D$5:$D$16, 0))*$C$23, 0)</f>
        <v>0</v>
      </c>
      <c r="BB22" s="245">
        <f>+IFERROR(INDEX(Assumptions!$F$5:$F$16, MATCH(BB21, Assumptions!$D$5:$D$16, 0))*$C$23, 0)</f>
        <v>0</v>
      </c>
      <c r="BC22" s="245">
        <f>+IFERROR(INDEX(Assumptions!$F$5:$F$16, MATCH(BC21, Assumptions!$D$5:$D$16, 0))*$C$23, 0)</f>
        <v>0</v>
      </c>
      <c r="BD22" s="245">
        <f>+IFERROR(INDEX(Assumptions!$F$5:$F$16, MATCH(BD21, Assumptions!$D$5:$D$16, 0))*$C$23, 0)</f>
        <v>0</v>
      </c>
      <c r="BE22" s="245">
        <f>+IFERROR(INDEX(Assumptions!$F$5:$F$16, MATCH(BE21, Assumptions!$D$5:$D$16, 0))*$C$23, 0)</f>
        <v>0</v>
      </c>
      <c r="BF22" s="245">
        <f>+IFERROR(INDEX(Assumptions!$F$5:$F$16, MATCH(BF21, Assumptions!$D$5:$D$16, 0))*$C$23, 0)</f>
        <v>0</v>
      </c>
      <c r="BG22" s="245">
        <f>+IFERROR(INDEX(Assumptions!$F$5:$F$16, MATCH(BG21, Assumptions!$D$5:$D$16, 0))*$C$23, 0)</f>
        <v>0</v>
      </c>
      <c r="BH22" s="245">
        <f>+IFERROR(INDEX(Assumptions!$F$5:$F$16, MATCH(BH21, Assumptions!$D$5:$D$16, 0))*$C$23, 0)</f>
        <v>0</v>
      </c>
      <c r="BI22" s="245">
        <f>+IFERROR(INDEX(Assumptions!$F$5:$F$16, MATCH(BI21, Assumptions!$D$5:$D$16, 0))*$C$23, 0)</f>
        <v>0</v>
      </c>
      <c r="BJ22" s="245">
        <f>+IFERROR(INDEX(Assumptions!$F$5:$F$16, MATCH(BJ21, Assumptions!$D$5:$D$16, 0))*$C$23, 0)</f>
        <v>0</v>
      </c>
      <c r="BK22" s="245">
        <f>+IFERROR(INDEX(Assumptions!$F$5:$F$16, MATCH(BK21, Assumptions!$D$5:$D$16, 0))*$C$23, 0)</f>
        <v>0</v>
      </c>
      <c r="BL22" s="245">
        <f>+IFERROR(INDEX(Assumptions!$F$5:$F$16, MATCH(BL21, Assumptions!$D$5:$D$16, 0))*$C$23, 0)</f>
        <v>0</v>
      </c>
      <c r="BM22" s="245">
        <f>+IFERROR(INDEX(Assumptions!$F$5:$F$16, MATCH(BM21, Assumptions!$D$5:$D$16, 0))*$C$23, 0)</f>
        <v>0</v>
      </c>
      <c r="BN22" s="245">
        <f>+IFERROR(INDEX(Assumptions!$F$5:$F$16, MATCH(BN21, Assumptions!$D$5:$D$16, 0))*$C$23, 0)</f>
        <v>0</v>
      </c>
      <c r="BO22" s="245">
        <f>+IFERROR(INDEX(Assumptions!$F$5:$F$16, MATCH(BO21, Assumptions!$D$5:$D$16, 0))*$C$23, 0)</f>
        <v>0</v>
      </c>
      <c r="BP22" s="245">
        <f>+IFERROR(INDEX(Assumptions!$F$5:$F$16, MATCH(BP21, Assumptions!$D$5:$D$16, 0))*$C$23, 0)</f>
        <v>0</v>
      </c>
      <c r="BQ22" s="245">
        <f>+IFERROR(INDEX(Assumptions!$F$5:$F$16, MATCH(BQ21, Assumptions!$D$5:$D$16, 0))*$C$23, 0)</f>
        <v>0</v>
      </c>
      <c r="BR22" s="245">
        <f>+IFERROR(INDEX(Assumptions!$F$5:$F$16, MATCH(BR21, Assumptions!$D$5:$D$16, 0))*$C$23, 0)</f>
        <v>0</v>
      </c>
      <c r="BS22" s="245">
        <f>+IFERROR(INDEX(Assumptions!$F$5:$F$16, MATCH(BS21, Assumptions!$D$5:$D$16, 0))*$C$23, 0)</f>
        <v>0</v>
      </c>
      <c r="BT22" s="245">
        <f>+IFERROR(INDEX(Assumptions!$F$5:$F$16, MATCH(BT21, Assumptions!$D$5:$D$16, 0))*$C$23, 0)</f>
        <v>0</v>
      </c>
      <c r="BU22" s="245">
        <f>+IFERROR(INDEX(Assumptions!$F$5:$F$16, MATCH(BU21, Assumptions!$D$5:$D$16, 0))*$C$23, 0)</f>
        <v>0</v>
      </c>
      <c r="BV22" s="245">
        <f>+IFERROR(INDEX(Assumptions!$F$5:$F$16, MATCH(BV21, Assumptions!$D$5:$D$16, 0))*$C$23, 0)</f>
        <v>0</v>
      </c>
      <c r="BW22" s="245">
        <f>+IFERROR(INDEX(Assumptions!$F$5:$F$16, MATCH(BW21, Assumptions!$D$5:$D$16, 0))*$C$23, 0)</f>
        <v>0</v>
      </c>
      <c r="BX22" s="245">
        <f>+IFERROR(INDEX(Assumptions!$F$5:$F$16, MATCH(BX21, Assumptions!$D$5:$D$16, 0))*$C$23, 0)</f>
        <v>0</v>
      </c>
      <c r="BY22" s="245">
        <f>+IFERROR(INDEX(Assumptions!$F$5:$F$16, MATCH(BY21, Assumptions!$D$5:$D$16, 0))*$C$23, 0)</f>
        <v>0</v>
      </c>
      <c r="BZ22" s="245">
        <f>+IFERROR(INDEX(Assumptions!$F$5:$F$16, MATCH(BZ21, Assumptions!$D$5:$D$16, 0))*$C$23, 0)</f>
        <v>0</v>
      </c>
      <c r="CA22" s="245">
        <f>+IFERROR(INDEX(Assumptions!$F$5:$F$16, MATCH(CA21, Assumptions!$D$5:$D$16, 0))*$C$23, 0)</f>
        <v>0</v>
      </c>
      <c r="CB22" s="245">
        <f>+IFERROR(INDEX(Assumptions!$F$5:$F$16, MATCH(CB21, Assumptions!$D$5:$D$16, 0))*$C$23, 0)</f>
        <v>0</v>
      </c>
      <c r="CC22" s="245">
        <f>+IFERROR(INDEX(Assumptions!$F$5:$F$16, MATCH(CC21, Assumptions!$D$5:$D$16, 0))*$C$23, 0)</f>
        <v>0</v>
      </c>
      <c r="CD22" s="245">
        <f>+IFERROR(INDEX(Assumptions!$F$5:$F$16, MATCH(CD21, Assumptions!$D$5:$D$16, 0))*$C$23, 0)</f>
        <v>0</v>
      </c>
      <c r="CE22" s="245">
        <f>+IFERROR(INDEX(Assumptions!$F$5:$F$16, MATCH(CE21, Assumptions!$D$5:$D$16, 0))*$C$23, 0)</f>
        <v>0</v>
      </c>
      <c r="CF22" s="245">
        <f>+IFERROR(INDEX(Assumptions!$F$5:$F$16, MATCH(CF21, Assumptions!$D$5:$D$16, 0))*$C$23, 0)</f>
        <v>0</v>
      </c>
      <c r="CG22" s="245">
        <f>+IFERROR(INDEX(Assumptions!$F$5:$F$16, MATCH(CG21, Assumptions!$D$5:$D$16, 0))*$C$23, 0)</f>
        <v>0</v>
      </c>
      <c r="CH22" s="245">
        <f>+IFERROR(INDEX(Assumptions!$F$5:$F$16, MATCH(CH21, Assumptions!$D$5:$D$16, 0))*$C$23, 0)</f>
        <v>0</v>
      </c>
      <c r="CI22" s="245">
        <f>+IFERROR(INDEX(Assumptions!$F$5:$F$16, MATCH(CI21, Assumptions!$D$5:$D$16, 0))*$C$23, 0)</f>
        <v>0</v>
      </c>
      <c r="CJ22" s="245">
        <f>+IFERROR(INDEX(Assumptions!$F$5:$F$16, MATCH(CJ21, Assumptions!$D$5:$D$16, 0))*$C$23, 0)</f>
        <v>0</v>
      </c>
      <c r="CK22" s="245">
        <f>+IFERROR(INDEX(Assumptions!$F$5:$F$16, MATCH(CK21, Assumptions!$D$5:$D$16, 0))*$C$23, 0)</f>
        <v>0</v>
      </c>
      <c r="CL22" s="245">
        <f>+IFERROR(INDEX(Assumptions!$F$5:$F$16, MATCH(CL21, Assumptions!$D$5:$D$16, 0))*$C$23, 0)</f>
        <v>0</v>
      </c>
      <c r="CM22" s="245">
        <f>+IFERROR(INDEX(Assumptions!$F$5:$F$16, MATCH(CM21, Assumptions!$D$5:$D$16, 0))*$C$23, 0)</f>
        <v>0</v>
      </c>
      <c r="CN22" s="245">
        <f>+IFERROR(INDEX(Assumptions!$F$5:$F$16, MATCH(CN21, Assumptions!$D$5:$D$16, 0))*$C$23, 0)</f>
        <v>0</v>
      </c>
      <c r="CO22" s="245">
        <f>+IFERROR(INDEX(Assumptions!$F$5:$F$16, MATCH(CO21, Assumptions!$D$5:$D$16, 0))*$C$23, 0)</f>
        <v>0</v>
      </c>
      <c r="CP22" s="245">
        <f>+IFERROR(INDEX(Assumptions!$F$5:$F$16, MATCH(CP21, Assumptions!$D$5:$D$16, 0))*$C$23, 0)</f>
        <v>0</v>
      </c>
      <c r="CQ22" s="245">
        <f>+IFERROR(INDEX(Assumptions!$F$5:$F$16, MATCH(CQ21, Assumptions!$D$5:$D$16, 0))*$C$23, 0)</f>
        <v>0</v>
      </c>
      <c r="CR22" s="245">
        <f>+IFERROR(INDEX(Assumptions!$F$5:$F$16, MATCH(CR21, Assumptions!$D$5:$D$16, 0))*$C$23, 0)</f>
        <v>0</v>
      </c>
      <c r="CS22" s="245">
        <f>+IFERROR(INDEX(Assumptions!$F$5:$F$16, MATCH(CS21, Assumptions!$D$5:$D$16, 0))*$C$23, 0)</f>
        <v>0</v>
      </c>
      <c r="CT22" s="245">
        <f>+IFERROR(INDEX(Assumptions!$F$5:$F$16, MATCH(CT21, Assumptions!$D$5:$D$16, 0))*$C$23, 0)</f>
        <v>0</v>
      </c>
      <c r="CU22" s="245">
        <f>+IFERROR(INDEX(Assumptions!$F$5:$F$16, MATCH(CU21, Assumptions!$D$5:$D$16, 0))*$C$23, 0)</f>
        <v>0</v>
      </c>
      <c r="CV22" s="245">
        <f>+IFERROR(INDEX(Assumptions!$F$5:$F$16, MATCH(CV21, Assumptions!$D$5:$D$16, 0))*$C$23, 0)</f>
        <v>0</v>
      </c>
      <c r="CW22" s="245">
        <f>+IFERROR(INDEX(Assumptions!$F$5:$F$16, MATCH(CW21, Assumptions!$D$5:$D$16, 0))*$C$23, 0)</f>
        <v>0</v>
      </c>
      <c r="CX22" s="245">
        <f>+IFERROR(INDEX(Assumptions!$F$5:$F$16, MATCH(CX21, Assumptions!$D$5:$D$16, 0))*$C$23, 0)</f>
        <v>0</v>
      </c>
      <c r="CY22" s="245">
        <f>+IFERROR(INDEX(Assumptions!$F$5:$F$16, MATCH(CY21, Assumptions!$D$5:$D$16, 0))*$C$23, 0)</f>
        <v>0</v>
      </c>
      <c r="CZ22" s="245">
        <f>+IFERROR(INDEX(Assumptions!$F$5:$F$16, MATCH(CZ21, Assumptions!$D$5:$D$16, 0))*$C$23, 0)</f>
        <v>0</v>
      </c>
      <c r="DA22" s="245">
        <f>+IFERROR(INDEX(Assumptions!$F$5:$F$16, MATCH(DA21, Assumptions!$D$5:$D$16, 0))*$C$23, 0)</f>
        <v>0</v>
      </c>
      <c r="DB22" s="245">
        <f>+IFERROR(INDEX(Assumptions!$F$5:$F$16, MATCH(DB21, Assumptions!$D$5:$D$16, 0))*$C$23, 0)</f>
        <v>0</v>
      </c>
      <c r="DC22" s="245">
        <f>+IFERROR(INDEX(Assumptions!$F$5:$F$16, MATCH(DC21, Assumptions!$D$5:$D$16, 0))*$C$23, 0)</f>
        <v>0</v>
      </c>
      <c r="DD22" s="245">
        <f>+IFERROR(INDEX(Assumptions!$F$5:$F$16, MATCH(DD21, Assumptions!$D$5:$D$16, 0))*$C$23, 0)</f>
        <v>0</v>
      </c>
      <c r="DE22" s="245">
        <f>+IFERROR(INDEX(Assumptions!$F$5:$F$16, MATCH(DE21, Assumptions!$D$5:$D$16, 0))*$C$23, 0)</f>
        <v>0</v>
      </c>
      <c r="DF22" s="245">
        <f>+IFERROR(INDEX(Assumptions!$F$5:$F$16, MATCH(DF21, Assumptions!$D$5:$D$16, 0))*$C$23, 0)</f>
        <v>0</v>
      </c>
      <c r="DG22" s="245">
        <f>+IFERROR(INDEX(Assumptions!$F$5:$F$16, MATCH(DG21, Assumptions!$D$5:$D$16, 0))*$C$23, 0)</f>
        <v>0</v>
      </c>
      <c r="DH22" s="245">
        <f>+IFERROR(INDEX(Assumptions!$F$5:$F$16, MATCH(DH21, Assumptions!$D$5:$D$16, 0))*$C$23, 0)</f>
        <v>0</v>
      </c>
    </row>
    <row r="23" spans="2:112" x14ac:dyDescent="0.25">
      <c r="B23" t="s">
        <v>230</v>
      </c>
      <c r="C23" s="196">
        <v>1250000</v>
      </c>
      <c r="D23" t="s">
        <v>282</v>
      </c>
      <c r="E23" s="422"/>
      <c r="F23" s="422">
        <f t="shared" ref="F23" si="133">+F22+E23</f>
        <v>0</v>
      </c>
      <c r="G23" s="422">
        <f t="shared" ref="G23" si="134">+G22+F23</f>
        <v>0</v>
      </c>
      <c r="H23" s="422">
        <f t="shared" ref="H23" si="135">+H22+G23</f>
        <v>0</v>
      </c>
      <c r="I23" s="422">
        <f t="shared" ref="I23" si="136">+I22+H23</f>
        <v>0</v>
      </c>
      <c r="J23" s="422">
        <f t="shared" ref="J23" si="137">+J22+I23</f>
        <v>0</v>
      </c>
      <c r="K23" s="422">
        <f t="shared" ref="K23" si="138">+K22+J23</f>
        <v>0</v>
      </c>
      <c r="L23" s="422">
        <f t="shared" ref="L23" si="139">+L22+K23</f>
        <v>0</v>
      </c>
      <c r="M23" s="422">
        <f t="shared" ref="M23" si="140">+M22+L23</f>
        <v>0</v>
      </c>
      <c r="N23" s="422">
        <f t="shared" ref="N23" si="141">+N22+M23</f>
        <v>0</v>
      </c>
      <c r="O23" s="422">
        <f t="shared" ref="O23" si="142">+O22+N23</f>
        <v>0</v>
      </c>
      <c r="P23" s="422">
        <f t="shared" ref="P23" si="143">+P22+O23</f>
        <v>0</v>
      </c>
      <c r="Q23" s="422">
        <f t="shared" ref="Q23" si="144">+Q22+P23</f>
        <v>0</v>
      </c>
      <c r="R23" s="494">
        <f t="shared" ref="R23" si="145">+R22+Q23</f>
        <v>0</v>
      </c>
      <c r="S23" s="422">
        <f t="shared" ref="S23" si="146">+S22+R23</f>
        <v>0</v>
      </c>
      <c r="T23" s="422">
        <f t="shared" ref="T23" si="147">+T22+S23</f>
        <v>0</v>
      </c>
      <c r="U23" s="422">
        <f t="shared" ref="U23" si="148">+U22+T23</f>
        <v>0</v>
      </c>
      <c r="V23" s="494">
        <f t="shared" ref="V23" si="149">+V22+U23</f>
        <v>0</v>
      </c>
      <c r="W23" s="146">
        <f t="shared" ref="W23:AK23" si="150">+W22+V23</f>
        <v>0</v>
      </c>
      <c r="X23" s="146">
        <f t="shared" si="150"/>
        <v>0</v>
      </c>
      <c r="Y23" s="146">
        <f t="shared" si="150"/>
        <v>0</v>
      </c>
      <c r="Z23" s="146">
        <f t="shared" si="150"/>
        <v>0</v>
      </c>
      <c r="AA23" s="146">
        <f t="shared" si="150"/>
        <v>0</v>
      </c>
      <c r="AB23" s="146">
        <f t="shared" si="150"/>
        <v>0</v>
      </c>
      <c r="AC23" s="146">
        <f t="shared" si="150"/>
        <v>0</v>
      </c>
      <c r="AD23" s="146">
        <f t="shared" si="150"/>
        <v>0</v>
      </c>
      <c r="AE23" s="146">
        <f t="shared" si="150"/>
        <v>0</v>
      </c>
      <c r="AF23" s="245">
        <f t="shared" si="150"/>
        <v>0</v>
      </c>
      <c r="AG23" s="146">
        <f t="shared" si="150"/>
        <v>0</v>
      </c>
      <c r="AH23" s="245">
        <f t="shared" si="150"/>
        <v>0</v>
      </c>
      <c r="AI23" s="245">
        <f t="shared" si="150"/>
        <v>0</v>
      </c>
      <c r="AJ23" s="245">
        <f t="shared" si="150"/>
        <v>0</v>
      </c>
      <c r="AK23" s="245">
        <f t="shared" si="150"/>
        <v>0</v>
      </c>
      <c r="AL23" s="245">
        <f t="shared" ref="AL23" si="151">+AL22+AK23</f>
        <v>0</v>
      </c>
      <c r="AM23" s="245">
        <f t="shared" ref="AM23" si="152">+AM22+AL23</f>
        <v>0</v>
      </c>
      <c r="AN23" s="245">
        <f t="shared" ref="AN23" si="153">+AN22+AM23</f>
        <v>7533.7164629450408</v>
      </c>
      <c r="AO23" s="245">
        <f t="shared" ref="AO23" si="154">+AO22+AN23</f>
        <v>8611.2285880160507</v>
      </c>
      <c r="AP23" s="245">
        <f t="shared" ref="AP23" si="155">+AP22+AO23</f>
        <v>53266.368482257742</v>
      </c>
      <c r="AQ23" s="245">
        <f t="shared" ref="AQ23" si="156">+AQ22+AP23</f>
        <v>57297.328039529559</v>
      </c>
      <c r="AR23" s="245">
        <f t="shared" ref="AR23" si="157">+AR22+AQ23</f>
        <v>239653.44035166022</v>
      </c>
      <c r="AS23" s="245">
        <f t="shared" ref="AS23" si="158">+AS22+AR23</f>
        <v>566679.72274362575</v>
      </c>
      <c r="AT23" s="245">
        <f t="shared" ref="AT23" si="159">+AT22+AS23</f>
        <v>787035.69692136254</v>
      </c>
      <c r="AU23" s="245">
        <f t="shared" ref="AU23" si="160">+AU22+AT23</f>
        <v>932443.03162355302</v>
      </c>
      <c r="AV23" s="245">
        <f t="shared" ref="AV23" si="161">+AV22+AU23</f>
        <v>962885.49836470012</v>
      </c>
      <c r="AW23" s="245">
        <f t="shared" ref="AW23" si="162">+AW22+AV23</f>
        <v>1196014.0928653337</v>
      </c>
      <c r="AX23" s="245">
        <f t="shared" ref="AX23" si="163">+AX22+AW23</f>
        <v>1250000</v>
      </c>
      <c r="AY23" s="245">
        <f t="shared" ref="AY23" si="164">+AY22+AX23</f>
        <v>1250000</v>
      </c>
      <c r="AZ23" s="245">
        <f t="shared" ref="AZ23" si="165">+AZ22+AY23</f>
        <v>1250000</v>
      </c>
      <c r="BA23" s="245">
        <f t="shared" ref="BA23" si="166">+BA22+AZ23</f>
        <v>1250000</v>
      </c>
      <c r="BB23" s="245">
        <f t="shared" ref="BB23" si="167">+BB22+BA23</f>
        <v>1250000</v>
      </c>
      <c r="BC23" s="245">
        <f t="shared" ref="BC23" si="168">+BC22+BB23</f>
        <v>1250000</v>
      </c>
      <c r="BD23" s="245">
        <f t="shared" ref="BD23" si="169">+BD22+BC23</f>
        <v>1250000</v>
      </c>
      <c r="BE23" s="245">
        <f t="shared" ref="BE23" si="170">+BE22+BD23</f>
        <v>1250000</v>
      </c>
      <c r="BF23" s="245">
        <f t="shared" ref="BF23" si="171">+BF22+BE23</f>
        <v>1250000</v>
      </c>
      <c r="BG23" s="245">
        <f t="shared" ref="BG23" si="172">+BG22+BF23</f>
        <v>1250000</v>
      </c>
      <c r="BH23" s="245">
        <f t="shared" ref="BH23" si="173">+BH22+BG23</f>
        <v>1250000</v>
      </c>
      <c r="BI23" s="245">
        <f t="shared" ref="BI23" si="174">+BI22+BH23</f>
        <v>1250000</v>
      </c>
      <c r="BJ23" s="245">
        <f t="shared" ref="BJ23" si="175">+BJ22+BI23</f>
        <v>1250000</v>
      </c>
      <c r="BK23" s="245">
        <f t="shared" ref="BK23" si="176">+BK22+BJ23</f>
        <v>1250000</v>
      </c>
      <c r="BL23" s="245">
        <f t="shared" ref="BL23" si="177">+BL22+BK23</f>
        <v>1250000</v>
      </c>
      <c r="BM23" s="245">
        <f t="shared" ref="BM23" si="178">+BM22+BL23</f>
        <v>1250000</v>
      </c>
      <c r="BN23" s="245">
        <f t="shared" ref="BN23" si="179">+BN22+BM23</f>
        <v>1250000</v>
      </c>
      <c r="BO23" s="245">
        <f t="shared" ref="BO23" si="180">+BO22+BN23</f>
        <v>1250000</v>
      </c>
      <c r="BP23" s="245">
        <f t="shared" ref="BP23" si="181">+BP22+BO23</f>
        <v>1250000</v>
      </c>
      <c r="BQ23" s="245">
        <f t="shared" ref="BQ23" si="182">+BQ22+BP23</f>
        <v>1250000</v>
      </c>
      <c r="BR23" s="245">
        <f t="shared" ref="BR23" si="183">+BR22+BQ23</f>
        <v>1250000</v>
      </c>
      <c r="BS23" s="245">
        <f t="shared" ref="BS23" si="184">+BS22+BR23</f>
        <v>1250000</v>
      </c>
      <c r="BT23" s="245">
        <f t="shared" ref="BT23" si="185">+BT22+BS23</f>
        <v>1250000</v>
      </c>
      <c r="BU23" s="245">
        <f t="shared" ref="BU23" si="186">+BU22+BT23</f>
        <v>1250000</v>
      </c>
      <c r="BV23" s="245">
        <f t="shared" ref="BV23" si="187">+BV22+BU23</f>
        <v>1250000</v>
      </c>
      <c r="BW23" s="245">
        <f t="shared" ref="BW23" si="188">+BW22+BV23</f>
        <v>1250000</v>
      </c>
      <c r="BX23" s="245">
        <f t="shared" ref="BX23" si="189">+BX22+BW23</f>
        <v>1250000</v>
      </c>
      <c r="BY23" s="245">
        <f t="shared" ref="BY23" si="190">+BY22+BX23</f>
        <v>1250000</v>
      </c>
      <c r="BZ23" s="245">
        <f t="shared" ref="BZ23" si="191">+BZ22+BY23</f>
        <v>1250000</v>
      </c>
      <c r="CA23" s="245">
        <f t="shared" ref="CA23" si="192">+CA22+BZ23</f>
        <v>1250000</v>
      </c>
      <c r="CB23" s="245">
        <f t="shared" ref="CB23" si="193">+CB22+CA23</f>
        <v>1250000</v>
      </c>
      <c r="CC23" s="245">
        <f t="shared" ref="CC23" si="194">+CC22+CB23</f>
        <v>1250000</v>
      </c>
      <c r="CD23" s="245">
        <f t="shared" ref="CD23" si="195">+CD22+CC23</f>
        <v>1250000</v>
      </c>
      <c r="CE23" s="245">
        <f t="shared" ref="CE23" si="196">+CE22+CD23</f>
        <v>1250000</v>
      </c>
      <c r="CF23" s="245">
        <f t="shared" ref="CF23" si="197">+CF22+CE23</f>
        <v>1250000</v>
      </c>
      <c r="CG23" s="245">
        <f t="shared" ref="CG23" si="198">+CG22+CF23</f>
        <v>1250000</v>
      </c>
      <c r="CH23" s="245">
        <f t="shared" ref="CH23" si="199">+CH22+CG23</f>
        <v>1250000</v>
      </c>
      <c r="CI23" s="245">
        <f t="shared" ref="CI23" si="200">+CI22+CH23</f>
        <v>1250000</v>
      </c>
      <c r="CJ23" s="245">
        <f t="shared" ref="CJ23" si="201">+CJ22+CI23</f>
        <v>1250000</v>
      </c>
      <c r="CK23" s="245">
        <f t="shared" ref="CK23" si="202">+CK22+CJ23</f>
        <v>1250000</v>
      </c>
      <c r="CL23" s="245">
        <f t="shared" ref="CL23" si="203">+CL22+CK23</f>
        <v>1250000</v>
      </c>
      <c r="CM23" s="245">
        <f t="shared" ref="CM23" si="204">+CM22+CL23</f>
        <v>1250000</v>
      </c>
      <c r="CN23" s="245">
        <f t="shared" ref="CN23" si="205">+CN22+CM23</f>
        <v>1250000</v>
      </c>
      <c r="CO23" s="245">
        <f t="shared" ref="CO23" si="206">+CO22+CN23</f>
        <v>1250000</v>
      </c>
      <c r="CP23" s="245">
        <f t="shared" ref="CP23" si="207">+CP22+CO23</f>
        <v>1250000</v>
      </c>
      <c r="CQ23" s="245">
        <f t="shared" ref="CQ23" si="208">+CQ22+CP23</f>
        <v>1250000</v>
      </c>
      <c r="CR23" s="245">
        <f t="shared" ref="CR23" si="209">+CR22+CQ23</f>
        <v>1250000</v>
      </c>
      <c r="CS23" s="245">
        <f t="shared" ref="CS23" si="210">+CS22+CR23</f>
        <v>1250000</v>
      </c>
      <c r="CT23" s="245">
        <f t="shared" ref="CT23" si="211">+CT22+CS23</f>
        <v>1250000</v>
      </c>
      <c r="CU23" s="245">
        <f t="shared" ref="CU23" si="212">+CU22+CT23</f>
        <v>1250000</v>
      </c>
      <c r="CV23" s="245">
        <f t="shared" ref="CV23" si="213">+CV22+CU23</f>
        <v>1250000</v>
      </c>
      <c r="CW23" s="245">
        <f t="shared" ref="CW23" si="214">+CW22+CV23</f>
        <v>1250000</v>
      </c>
      <c r="CX23" s="245">
        <f t="shared" ref="CX23" si="215">+CX22+CW23</f>
        <v>1250000</v>
      </c>
      <c r="CY23" s="245">
        <f t="shared" ref="CY23" si="216">+CY22+CX23</f>
        <v>1250000</v>
      </c>
      <c r="CZ23" s="245">
        <f t="shared" ref="CZ23" si="217">+CZ22+CY23</f>
        <v>1250000</v>
      </c>
      <c r="DA23" s="245">
        <f t="shared" ref="DA23" si="218">+DA22+CZ23</f>
        <v>1250000</v>
      </c>
      <c r="DB23" s="245">
        <f t="shared" ref="DB23" si="219">+DB22+DA23</f>
        <v>1250000</v>
      </c>
      <c r="DC23" s="245">
        <f t="shared" ref="DC23" si="220">+DC22+DB23</f>
        <v>1250000</v>
      </c>
      <c r="DD23" s="245">
        <f t="shared" ref="DD23" si="221">+DD22+DC23</f>
        <v>1250000</v>
      </c>
      <c r="DE23" s="245">
        <f t="shared" ref="DE23" si="222">+DE22+DD23</f>
        <v>1250000</v>
      </c>
      <c r="DF23" s="245">
        <f t="shared" ref="DF23" si="223">+DF22+DE23</f>
        <v>1250000</v>
      </c>
      <c r="DG23" s="245">
        <f t="shared" ref="DG23:DH23" si="224">+DG22+DF23</f>
        <v>1250000</v>
      </c>
      <c r="DH23" s="245">
        <f t="shared" si="224"/>
        <v>1250000</v>
      </c>
    </row>
    <row r="24" spans="2:112" x14ac:dyDescent="0.25">
      <c r="B24" t="s">
        <v>233</v>
      </c>
      <c r="C24" s="196">
        <v>750000</v>
      </c>
      <c r="D24" t="s">
        <v>231</v>
      </c>
      <c r="E24" s="423"/>
      <c r="F24" s="422">
        <f>+IFERROR(INDEX(Assumptions!$E$18:$E$29, MATCH(F21, Assumptions!$D$18:$D$29, 0))*$C$24, 0)</f>
        <v>0</v>
      </c>
      <c r="G24" s="423">
        <f>+IFERROR(INDEX(Assumptions!$E$18:$E$29, MATCH(G21, Assumptions!$D$18:$D$29, 0))*$C$24, 0)</f>
        <v>0</v>
      </c>
      <c r="H24" s="423">
        <f>+IFERROR(INDEX(Assumptions!$E$18:$E$29, MATCH(H21, Assumptions!$D$18:$D$29, 0))*$C$24, 0)</f>
        <v>0</v>
      </c>
      <c r="I24" s="423">
        <f>+IFERROR(INDEX(Assumptions!$E$18:$E$29, MATCH(I21, Assumptions!$D$18:$D$29, 0))*$C$24, 0)</f>
        <v>0</v>
      </c>
      <c r="J24" s="423">
        <f>+IFERROR(INDEX(Assumptions!$E$18:$E$29, MATCH(J21, Assumptions!$D$18:$D$29, 0))*$C$24, 0)</f>
        <v>0</v>
      </c>
      <c r="K24" s="423">
        <f>+IFERROR(INDEX(Assumptions!$E$18:$E$29, MATCH(K21, Assumptions!$D$18:$D$29, 0))*$C$24, 0)</f>
        <v>0</v>
      </c>
      <c r="L24" s="423">
        <f>+IFERROR(INDEX(Assumptions!$E$18:$E$29, MATCH(L21, Assumptions!$D$18:$D$29, 0))*$C$24, 0)</f>
        <v>0</v>
      </c>
      <c r="M24" s="423">
        <f>+IFERROR(INDEX(Assumptions!$E$18:$E$29, MATCH(M21, Assumptions!$D$18:$D$29, 0))*$C$24, 0)</f>
        <v>0</v>
      </c>
      <c r="N24" s="423">
        <f>+IFERROR(INDEX(Assumptions!$E$18:$E$29, MATCH(N21, Assumptions!$D$18:$D$29, 0))*$C$24, 0)</f>
        <v>0</v>
      </c>
      <c r="O24" s="423">
        <f>+IFERROR(INDEX(Assumptions!$E$18:$E$29, MATCH(O21, Assumptions!$D$18:$D$29, 0))*$C$24, 0)</f>
        <v>0</v>
      </c>
      <c r="P24" s="423">
        <f>+IFERROR(INDEX(Assumptions!$E$18:$E$29, MATCH(P21, Assumptions!$D$18:$D$29, 0))*$C$24, 0)</f>
        <v>0</v>
      </c>
      <c r="Q24" s="423">
        <f>+IFERROR(INDEX(Assumptions!$E$18:$E$29, MATCH(Q21, Assumptions!$D$18:$D$29, 0))*$C$24, 0)</f>
        <v>0</v>
      </c>
      <c r="R24" s="734">
        <f>+IFERROR(INDEX(Assumptions!$E$18:$E$29, MATCH(R21, Assumptions!$D$18:$D$29, 0))*$C$24, 0)</f>
        <v>0</v>
      </c>
      <c r="S24" s="423">
        <f>+IFERROR(INDEX(Assumptions!$E$18:$E$29, MATCH(S21, Assumptions!$D$18:$D$29, 0))*$C$24, 0)</f>
        <v>0</v>
      </c>
      <c r="T24" s="423">
        <f>+IFERROR(INDEX(Assumptions!$E$18:$E$29, MATCH(T21, Assumptions!$D$18:$D$29, 0))*$C$24, 0)</f>
        <v>0</v>
      </c>
      <c r="U24" s="422">
        <f>+IFERROR(INDEX(Assumptions!$E$18:$E$29, MATCH(U21, Assumptions!$D$18:$D$29, 0))*$C$24, 0)</f>
        <v>0</v>
      </c>
      <c r="V24" s="494">
        <f>+IFERROR(INDEX(Assumptions!$E$18:$E$29, MATCH(V21, Assumptions!$D$18:$D$29, 0))*$C$24, 0)</f>
        <v>0</v>
      </c>
      <c r="W24" s="146">
        <f>+IFERROR(INDEX(Assumptions!$E$18:$E$29, MATCH(W21, Assumptions!$D$18:$D$29, 0))*$C$24, 0)</f>
        <v>0</v>
      </c>
      <c r="X24" s="146">
        <f>+IFERROR(INDEX(Assumptions!$E$18:$E$29, MATCH(X21, Assumptions!$D$18:$D$29, 0))*$C$24, 0)</f>
        <v>0</v>
      </c>
      <c r="Y24" s="146">
        <f>+IFERROR(INDEX(Assumptions!$E$18:$E$29, MATCH(Y21, Assumptions!$D$18:$D$29, 0))*$C$24, 0)</f>
        <v>0</v>
      </c>
      <c r="Z24" s="146">
        <f>+IFERROR(INDEX(Assumptions!$E$18:$E$29, MATCH(Z21, Assumptions!$D$18:$D$29, 0))*$C$24, 0)</f>
        <v>0</v>
      </c>
      <c r="AA24" s="146">
        <f>+IFERROR(INDEX(Assumptions!$E$18:$E$29, MATCH(AA21, Assumptions!$D$18:$D$29, 0))*$C$24, 0)</f>
        <v>0</v>
      </c>
      <c r="AB24" s="146">
        <f>+IFERROR(INDEX(Assumptions!$E$18:$E$29, MATCH(AB21, Assumptions!$D$18:$D$29, 0))*$C$24, 0)</f>
        <v>0</v>
      </c>
      <c r="AC24" s="146">
        <f>+IFERROR(INDEX(Assumptions!$E$18:$E$29, MATCH(AC21, Assumptions!$D$18:$D$29, 0))*$C$24, 0)</f>
        <v>0</v>
      </c>
      <c r="AD24" s="146">
        <f>+IFERROR(INDEX(Assumptions!$E$18:$E$29, MATCH(AD21, Assumptions!$D$18:$D$29, 0))*$C$24, 0)</f>
        <v>0</v>
      </c>
      <c r="AE24" s="146">
        <f>+IFERROR(INDEX(Assumptions!$E$18:$E$29, MATCH(AE21, Assumptions!$D$18:$D$29, 0))*$C$24, 0)</f>
        <v>0</v>
      </c>
      <c r="AF24" s="245">
        <f>+IFERROR(INDEX(Assumptions!$E$18:$E$29, MATCH(AF21, Assumptions!$D$18:$D$29, 0))*$C$24, 0)</f>
        <v>0</v>
      </c>
      <c r="AG24" s="146">
        <f>+IFERROR(INDEX(Assumptions!$E$18:$E$29, MATCH(AG21, Assumptions!$D$18:$D$29, 0))*$C$24, 0)</f>
        <v>0</v>
      </c>
      <c r="AH24" s="245">
        <f>+IFERROR(INDEX(Assumptions!$E$18:$E$29, MATCH(AH21, Assumptions!$D$18:$D$29, 0))*$C$24, 0)</f>
        <v>0</v>
      </c>
      <c r="AI24" s="245">
        <f>+IFERROR(INDEX(Assumptions!$E$18:$E$29, MATCH(AI21, Assumptions!$D$18:$D$29, 0))*$C$24, 0)</f>
        <v>0</v>
      </c>
      <c r="AJ24" s="245">
        <f>+IFERROR(INDEX(Assumptions!$E$18:$E$29, MATCH(AJ21, Assumptions!$D$18:$D$29, 0))*$C$24, 0)</f>
        <v>0</v>
      </c>
      <c r="AK24" s="245">
        <f>+IFERROR(INDEX(Assumptions!$E$18:$E$29, MATCH(AK21, Assumptions!$D$18:$D$29, 0))*$C$24, 0)</f>
        <v>0</v>
      </c>
      <c r="AL24" s="245">
        <f>+IFERROR(INDEX(Assumptions!$E$18:$E$29, MATCH(AL21, Assumptions!$D$18:$D$29, 0))*$C$24, 0)</f>
        <v>0</v>
      </c>
      <c r="AM24" s="245">
        <f>+IFERROR(INDEX(Assumptions!$E$18:$E$29, MATCH(AM21, Assumptions!$D$18:$D$29, 0))*$C$24, 0)</f>
        <v>0</v>
      </c>
      <c r="AN24" s="245">
        <f>+IFERROR(INDEX(Assumptions!$E$18:$E$29, MATCH(AN21, Assumptions!$D$18:$D$29, 0))*$C$24, 0)</f>
        <v>4520.2298777670248</v>
      </c>
      <c r="AO24" s="245">
        <f>+IFERROR(INDEX(Assumptions!$E$18:$E$29, MATCH(AO21, Assumptions!$D$18:$D$29, 0))*$C$24, 0)</f>
        <v>646.50727504260567</v>
      </c>
      <c r="AP24" s="245">
        <f>+IFERROR(INDEX(Assumptions!$E$18:$E$29, MATCH(AP21, Assumptions!$D$18:$D$29, 0))*$C$24, 0)</f>
        <v>26793.083936545016</v>
      </c>
      <c r="AQ24" s="245">
        <f>+IFERROR(INDEX(Assumptions!$E$18:$E$29, MATCH(AQ21, Assumptions!$D$18:$D$29, 0))*$C$24, 0)</f>
        <v>2418.5757343630908</v>
      </c>
      <c r="AR24" s="245">
        <f>+IFERROR(INDEX(Assumptions!$E$18:$E$29, MATCH(AR21, Assumptions!$D$18:$D$29, 0))*$C$24, 0)</f>
        <v>109413.66738727839</v>
      </c>
      <c r="AS24" s="245">
        <f>+IFERROR(INDEX(Assumptions!$E$18:$E$29, MATCH(AS21, Assumptions!$D$18:$D$29, 0))*$C$24, 0)</f>
        <v>196215.76943517933</v>
      </c>
      <c r="AT24" s="245">
        <f>+IFERROR(INDEX(Assumptions!$E$18:$E$29, MATCH(AT21, Assumptions!$D$18:$D$29, 0))*$C$24, 0)</f>
        <v>132213.58450664204</v>
      </c>
      <c r="AU24" s="245">
        <f>+IFERROR(INDEX(Assumptions!$E$18:$E$29, MATCH(AU21, Assumptions!$D$18:$D$29, 0))*$C$24, 0)</f>
        <v>87244.400821314324</v>
      </c>
      <c r="AV24" s="245">
        <f>+IFERROR(INDEX(Assumptions!$E$18:$E$29, MATCH(AV21, Assumptions!$D$18:$D$29, 0))*$C$24, 0)</f>
        <v>18265.480044688287</v>
      </c>
      <c r="AW24" s="245">
        <f>+IFERROR(INDEX(Assumptions!$E$18:$E$29, MATCH(AW21, Assumptions!$D$18:$D$29, 0))*$C$24, 0)</f>
        <v>139877.15670038012</v>
      </c>
      <c r="AX24" s="245">
        <f>+IFERROR(INDEX(Assumptions!$E$18:$E$29, MATCH(AX21, Assumptions!$D$18:$D$29, 0))*$C$24, 0)</f>
        <v>32391.544280799768</v>
      </c>
      <c r="AY24" s="245">
        <f>+IFERROR(INDEX(Assumptions!$E$18:$E$29, MATCH(AY21, Assumptions!$D$18:$D$29, 0))*$C$24, 0)</f>
        <v>0</v>
      </c>
      <c r="AZ24" s="245">
        <f>+IFERROR(INDEX(Assumptions!$E$18:$E$29, MATCH(AZ21, Assumptions!$D$18:$D$29, 0))*$C$24, 0)</f>
        <v>0</v>
      </c>
      <c r="BA24" s="245">
        <f>+IFERROR(INDEX(Assumptions!$E$18:$E$29, MATCH(BA21, Assumptions!$D$18:$D$29, 0))*$C$24, 0)</f>
        <v>0</v>
      </c>
      <c r="BB24" s="245">
        <f>+IFERROR(INDEX(Assumptions!$E$18:$E$29, MATCH(BB21, Assumptions!$D$18:$D$29, 0))*$C$24, 0)</f>
        <v>0</v>
      </c>
      <c r="BC24" s="245">
        <f>+IFERROR(INDEX(Assumptions!$E$18:$E$29, MATCH(BC21, Assumptions!$D$18:$D$29, 0))*$C$24, 0)</f>
        <v>0</v>
      </c>
      <c r="BD24" s="245">
        <f>+IFERROR(INDEX(Assumptions!$E$18:$E$29, MATCH(BD21, Assumptions!$D$18:$D$29, 0))*$C$24, 0)</f>
        <v>0</v>
      </c>
      <c r="BE24" s="245">
        <f>+IFERROR(INDEX(Assumptions!$E$18:$E$29, MATCH(BE21, Assumptions!$D$18:$D$29, 0))*$C$24, 0)</f>
        <v>0</v>
      </c>
      <c r="BF24" s="245">
        <f>+IFERROR(INDEX(Assumptions!$E$18:$E$29, MATCH(BF21, Assumptions!$D$18:$D$29, 0))*$C$24, 0)</f>
        <v>0</v>
      </c>
      <c r="BG24" s="245">
        <f>+IFERROR(INDEX(Assumptions!$E$18:$E$29, MATCH(BG21, Assumptions!$D$18:$D$29, 0))*$C$24, 0)</f>
        <v>0</v>
      </c>
      <c r="BH24" s="245">
        <f>+IFERROR(INDEX(Assumptions!$E$18:$E$29, MATCH(BH21, Assumptions!$D$18:$D$29, 0))*$C$24, 0)</f>
        <v>0</v>
      </c>
      <c r="BI24" s="245">
        <f>+IFERROR(INDEX(Assumptions!$E$18:$E$29, MATCH(BI21, Assumptions!$D$18:$D$29, 0))*$C$24, 0)</f>
        <v>0</v>
      </c>
      <c r="BJ24" s="245">
        <f>+IFERROR(INDEX(Assumptions!$E$18:$E$29, MATCH(BJ21, Assumptions!$D$18:$D$29, 0))*$C$24, 0)</f>
        <v>0</v>
      </c>
      <c r="BK24" s="245">
        <f>+IFERROR(INDEX(Assumptions!$E$18:$E$29, MATCH(BK21, Assumptions!$D$18:$D$29, 0))*$C$24, 0)</f>
        <v>0</v>
      </c>
      <c r="BL24" s="245">
        <f>+IFERROR(INDEX(Assumptions!$E$18:$E$29, MATCH(BL21, Assumptions!$D$18:$D$29, 0))*$C$24, 0)</f>
        <v>0</v>
      </c>
      <c r="BM24" s="245">
        <f>+IFERROR(INDEX(Assumptions!$E$18:$E$29, MATCH(BM21, Assumptions!$D$18:$D$29, 0))*$C$24, 0)</f>
        <v>0</v>
      </c>
      <c r="BN24" s="245">
        <f>+IFERROR(INDEX(Assumptions!$E$18:$E$29, MATCH(BN21, Assumptions!$D$18:$D$29, 0))*$C$24, 0)</f>
        <v>0</v>
      </c>
      <c r="BO24" s="245">
        <f>+IFERROR(INDEX(Assumptions!$E$18:$E$29, MATCH(BO21, Assumptions!$D$18:$D$29, 0))*$C$24, 0)</f>
        <v>0</v>
      </c>
      <c r="BP24" s="245">
        <f>+IFERROR(INDEX(Assumptions!$E$18:$E$29, MATCH(BP21, Assumptions!$D$18:$D$29, 0))*$C$24, 0)</f>
        <v>0</v>
      </c>
      <c r="BQ24" s="245">
        <f>+IFERROR(INDEX(Assumptions!$E$18:$E$29, MATCH(BQ21, Assumptions!$D$18:$D$29, 0))*$C$24, 0)</f>
        <v>0</v>
      </c>
      <c r="BR24" s="245">
        <f>+IFERROR(INDEX(Assumptions!$E$18:$E$29, MATCH(BR21, Assumptions!$D$18:$D$29, 0))*$C$24, 0)</f>
        <v>0</v>
      </c>
      <c r="BS24" s="245">
        <f>+IFERROR(INDEX(Assumptions!$E$18:$E$29, MATCH(BS21, Assumptions!$D$18:$D$29, 0))*$C$24, 0)</f>
        <v>0</v>
      </c>
      <c r="BT24" s="245">
        <f>+IFERROR(INDEX(Assumptions!$E$18:$E$29, MATCH(BT21, Assumptions!$D$18:$D$29, 0))*$C$24, 0)</f>
        <v>0</v>
      </c>
      <c r="BU24" s="245">
        <f>+IFERROR(INDEX(Assumptions!$E$18:$E$29, MATCH(BU21, Assumptions!$D$18:$D$29, 0))*$C$24, 0)</f>
        <v>0</v>
      </c>
      <c r="BV24" s="245">
        <f>+IFERROR(INDEX(Assumptions!$E$18:$E$29, MATCH(BV21, Assumptions!$D$18:$D$29, 0))*$C$24, 0)</f>
        <v>0</v>
      </c>
      <c r="BW24" s="245">
        <f>+IFERROR(INDEX(Assumptions!$E$18:$E$29, MATCH(BW21, Assumptions!$D$18:$D$29, 0))*$C$24, 0)</f>
        <v>0</v>
      </c>
      <c r="BX24" s="245">
        <f>+IFERROR(INDEX(Assumptions!$E$18:$E$29, MATCH(BX21, Assumptions!$D$18:$D$29, 0))*$C$24, 0)</f>
        <v>0</v>
      </c>
      <c r="BY24" s="245">
        <f>+IFERROR(INDEX(Assumptions!$E$18:$E$29, MATCH(BY21, Assumptions!$D$18:$D$29, 0))*$C$24, 0)</f>
        <v>0</v>
      </c>
      <c r="BZ24" s="245">
        <f>+IFERROR(INDEX(Assumptions!$E$18:$E$29, MATCH(BZ21, Assumptions!$D$18:$D$29, 0))*$C$24, 0)</f>
        <v>0</v>
      </c>
      <c r="CA24" s="245">
        <f>+IFERROR(INDEX(Assumptions!$E$18:$E$29, MATCH(CA21, Assumptions!$D$18:$D$29, 0))*$C$24, 0)</f>
        <v>0</v>
      </c>
      <c r="CB24" s="245">
        <f>+IFERROR(INDEX(Assumptions!$E$18:$E$29, MATCH(CB21, Assumptions!$D$18:$D$29, 0))*$C$24, 0)</f>
        <v>0</v>
      </c>
      <c r="CC24" s="245">
        <f>+IFERROR(INDEX(Assumptions!$E$18:$E$29, MATCH(CC21, Assumptions!$D$18:$D$29, 0))*$C$24, 0)</f>
        <v>0</v>
      </c>
      <c r="CD24" s="245">
        <f>+IFERROR(INDEX(Assumptions!$E$18:$E$29, MATCH(CD21, Assumptions!$D$18:$D$29, 0))*$C$24, 0)</f>
        <v>0</v>
      </c>
      <c r="CE24" s="245">
        <f>+IFERROR(INDEX(Assumptions!$E$18:$E$29, MATCH(CE21, Assumptions!$D$18:$D$29, 0))*$C$24, 0)</f>
        <v>0</v>
      </c>
      <c r="CF24" s="245">
        <f>+IFERROR(INDEX(Assumptions!$E$18:$E$29, MATCH(CF21, Assumptions!$D$18:$D$29, 0))*$C$24, 0)</f>
        <v>0</v>
      </c>
      <c r="CG24" s="245">
        <f>+IFERROR(INDEX(Assumptions!$E$18:$E$29, MATCH(CG21, Assumptions!$D$18:$D$29, 0))*$C$24, 0)</f>
        <v>0</v>
      </c>
      <c r="CH24" s="245">
        <f>+IFERROR(INDEX(Assumptions!$E$18:$E$29, MATCH(CH21, Assumptions!$D$18:$D$29, 0))*$C$24, 0)</f>
        <v>0</v>
      </c>
      <c r="CI24" s="245">
        <f>+IFERROR(INDEX(Assumptions!$E$18:$E$29, MATCH(CI21, Assumptions!$D$18:$D$29, 0))*$C$24, 0)</f>
        <v>0</v>
      </c>
      <c r="CJ24" s="245">
        <f>+IFERROR(INDEX(Assumptions!$E$18:$E$29, MATCH(CJ21, Assumptions!$D$18:$D$29, 0))*$C$24, 0)</f>
        <v>0</v>
      </c>
      <c r="CK24" s="245">
        <f>+IFERROR(INDEX(Assumptions!$E$18:$E$29, MATCH(CK21, Assumptions!$D$18:$D$29, 0))*$C$24, 0)</f>
        <v>0</v>
      </c>
      <c r="CL24" s="245">
        <f>+IFERROR(INDEX(Assumptions!$E$18:$E$29, MATCH(CL21, Assumptions!$D$18:$D$29, 0))*$C$24, 0)</f>
        <v>0</v>
      </c>
      <c r="CM24" s="245">
        <f>+IFERROR(INDEX(Assumptions!$E$18:$E$29, MATCH(CM21, Assumptions!$D$18:$D$29, 0))*$C$24, 0)</f>
        <v>0</v>
      </c>
      <c r="CN24" s="245">
        <f>+IFERROR(INDEX(Assumptions!$E$18:$E$29, MATCH(CN21, Assumptions!$D$18:$D$29, 0))*$C$24, 0)</f>
        <v>0</v>
      </c>
      <c r="CO24" s="245">
        <f>+IFERROR(INDEX(Assumptions!$E$18:$E$29, MATCH(CO21, Assumptions!$D$18:$D$29, 0))*$C$24, 0)</f>
        <v>0</v>
      </c>
      <c r="CP24" s="245">
        <f>+IFERROR(INDEX(Assumptions!$E$18:$E$29, MATCH(CP21, Assumptions!$D$18:$D$29, 0))*$C$24, 0)</f>
        <v>0</v>
      </c>
      <c r="CQ24" s="245">
        <f>+IFERROR(INDEX(Assumptions!$E$18:$E$29, MATCH(CQ21, Assumptions!$D$18:$D$29, 0))*$C$24, 0)</f>
        <v>0</v>
      </c>
      <c r="CR24" s="245">
        <f>+IFERROR(INDEX(Assumptions!$E$18:$E$29, MATCH(CR21, Assumptions!$D$18:$D$29, 0))*$C$24, 0)</f>
        <v>0</v>
      </c>
      <c r="CS24" s="245">
        <f>+IFERROR(INDEX(Assumptions!$E$18:$E$29, MATCH(CS21, Assumptions!$D$18:$D$29, 0))*$C$24, 0)</f>
        <v>0</v>
      </c>
      <c r="CT24" s="245">
        <f>+IFERROR(INDEX(Assumptions!$E$18:$E$29, MATCH(CT21, Assumptions!$D$18:$D$29, 0))*$C$24, 0)</f>
        <v>0</v>
      </c>
      <c r="CU24" s="245">
        <f>+IFERROR(INDEX(Assumptions!$E$18:$E$29, MATCH(CU21, Assumptions!$D$18:$D$29, 0))*$C$24, 0)</f>
        <v>0</v>
      </c>
      <c r="CV24" s="245">
        <f>+IFERROR(INDEX(Assumptions!$E$18:$E$29, MATCH(CV21, Assumptions!$D$18:$D$29, 0))*$C$24, 0)</f>
        <v>0</v>
      </c>
      <c r="CW24" s="245">
        <f>+IFERROR(INDEX(Assumptions!$E$18:$E$29, MATCH(CW21, Assumptions!$D$18:$D$29, 0))*$C$24, 0)</f>
        <v>0</v>
      </c>
      <c r="CX24" s="245">
        <f>+IFERROR(INDEX(Assumptions!$E$18:$E$29, MATCH(CX21, Assumptions!$D$18:$D$29, 0))*$C$24, 0)</f>
        <v>0</v>
      </c>
      <c r="CY24" s="245">
        <f>+IFERROR(INDEX(Assumptions!$E$18:$E$29, MATCH(CY21, Assumptions!$D$18:$D$29, 0))*$C$24, 0)</f>
        <v>0</v>
      </c>
      <c r="CZ24" s="245">
        <f>+IFERROR(INDEX(Assumptions!$E$18:$E$29, MATCH(CZ21, Assumptions!$D$18:$D$29, 0))*$C$24, 0)</f>
        <v>0</v>
      </c>
      <c r="DA24" s="245">
        <f>+IFERROR(INDEX(Assumptions!$E$18:$E$29, MATCH(DA21, Assumptions!$D$18:$D$29, 0))*$C$24, 0)</f>
        <v>0</v>
      </c>
      <c r="DB24" s="245">
        <f>+IFERROR(INDEX(Assumptions!$E$18:$E$29, MATCH(DB21, Assumptions!$D$18:$D$29, 0))*$C$24, 0)</f>
        <v>0</v>
      </c>
      <c r="DC24" s="245">
        <f>+IFERROR(INDEX(Assumptions!$E$18:$E$29, MATCH(DC21, Assumptions!$D$18:$D$29, 0))*$C$24, 0)</f>
        <v>0</v>
      </c>
      <c r="DD24" s="245">
        <f>+IFERROR(INDEX(Assumptions!$E$18:$E$29, MATCH(DD21, Assumptions!$D$18:$D$29, 0))*$C$24, 0)</f>
        <v>0</v>
      </c>
      <c r="DE24" s="245">
        <f>+IFERROR(INDEX(Assumptions!$E$18:$E$29, MATCH(DE21, Assumptions!$D$18:$D$29, 0))*$C$24, 0)</f>
        <v>0</v>
      </c>
      <c r="DF24" s="245">
        <f>+IFERROR(INDEX(Assumptions!$E$18:$E$29, MATCH(DF21, Assumptions!$D$18:$D$29, 0))*$C$24, 0)</f>
        <v>0</v>
      </c>
      <c r="DG24" s="245">
        <f>+IFERROR(INDEX(Assumptions!$E$18:$E$29, MATCH(DG21, Assumptions!$D$18:$D$29, 0))*$C$24, 0)</f>
        <v>0</v>
      </c>
      <c r="DH24" s="245">
        <f>+IFERROR(INDEX(Assumptions!$E$18:$E$29, MATCH(DH21, Assumptions!$D$18:$D$29, 0))*$C$24, 0)</f>
        <v>0</v>
      </c>
    </row>
    <row r="25" spans="2:112" x14ac:dyDescent="0.25">
      <c r="B25" t="s">
        <v>455</v>
      </c>
      <c r="C25" s="628">
        <f>+EOMONTH(C17, 6)</f>
        <v>45991</v>
      </c>
      <c r="D25" t="s">
        <v>243</v>
      </c>
      <c r="F25" s="9">
        <f t="shared" ref="F25" si="225">+F24+E25</f>
        <v>0</v>
      </c>
      <c r="G25" s="9">
        <f t="shared" ref="G25" si="226">+G24+F25</f>
        <v>0</v>
      </c>
      <c r="H25" s="9">
        <f t="shared" ref="H25" si="227">+H24+G25</f>
        <v>0</v>
      </c>
      <c r="I25" s="9">
        <f t="shared" ref="I25" si="228">+I24+H25</f>
        <v>0</v>
      </c>
      <c r="J25" s="9">
        <f t="shared" ref="J25" si="229">+J24+I25</f>
        <v>0</v>
      </c>
      <c r="K25" s="9">
        <f t="shared" ref="K25" si="230">+K24+J25</f>
        <v>0</v>
      </c>
      <c r="L25" s="9">
        <f t="shared" ref="L25" si="231">+L24+K25</f>
        <v>0</v>
      </c>
      <c r="M25" s="9">
        <f t="shared" ref="M25" si="232">+M24+L25</f>
        <v>0</v>
      </c>
      <c r="N25" s="9">
        <f t="shared" ref="N25" si="233">+N24+M25</f>
        <v>0</v>
      </c>
      <c r="O25" s="9">
        <f t="shared" ref="O25" si="234">+O24+N25</f>
        <v>0</v>
      </c>
      <c r="P25" s="9">
        <f t="shared" ref="P25" si="235">+P24+O25</f>
        <v>0</v>
      </c>
      <c r="Q25" s="9">
        <f t="shared" ref="Q25" si="236">+Q24+P25</f>
        <v>0</v>
      </c>
      <c r="R25" s="9">
        <f t="shared" ref="R25" si="237">+R24+Q25</f>
        <v>0</v>
      </c>
      <c r="S25" s="9">
        <f t="shared" ref="S25" si="238">+S24+R25</f>
        <v>0</v>
      </c>
      <c r="T25" s="9">
        <f t="shared" ref="T25" si="239">+T24+S25</f>
        <v>0</v>
      </c>
      <c r="U25" s="9">
        <f t="shared" ref="U25" si="240">+U24+T25</f>
        <v>0</v>
      </c>
      <c r="V25" s="9">
        <f t="shared" ref="V25" si="241">+V24+U25</f>
        <v>0</v>
      </c>
      <c r="W25" s="9">
        <f t="shared" ref="W25:AK25" si="242">+W24+V25</f>
        <v>0</v>
      </c>
      <c r="X25" s="9">
        <f t="shared" si="242"/>
        <v>0</v>
      </c>
      <c r="Y25" s="9">
        <f t="shared" si="242"/>
        <v>0</v>
      </c>
      <c r="Z25" s="9">
        <f t="shared" si="242"/>
        <v>0</v>
      </c>
      <c r="AA25" s="9">
        <f t="shared" si="242"/>
        <v>0</v>
      </c>
      <c r="AB25" s="9">
        <f t="shared" si="242"/>
        <v>0</v>
      </c>
      <c r="AC25" s="9">
        <f t="shared" si="242"/>
        <v>0</v>
      </c>
      <c r="AD25" s="9">
        <f t="shared" si="242"/>
        <v>0</v>
      </c>
      <c r="AE25" s="9">
        <f t="shared" si="242"/>
        <v>0</v>
      </c>
      <c r="AF25" s="9">
        <f t="shared" si="242"/>
        <v>0</v>
      </c>
      <c r="AG25" s="9">
        <f t="shared" si="242"/>
        <v>0</v>
      </c>
      <c r="AH25" s="9">
        <f t="shared" si="242"/>
        <v>0</v>
      </c>
      <c r="AI25" s="9">
        <f t="shared" si="242"/>
        <v>0</v>
      </c>
      <c r="AJ25" s="9">
        <f t="shared" si="242"/>
        <v>0</v>
      </c>
      <c r="AK25" s="9">
        <f t="shared" si="242"/>
        <v>0</v>
      </c>
      <c r="AL25" s="9">
        <f t="shared" ref="AL25" si="243">+AL24+AK25</f>
        <v>0</v>
      </c>
      <c r="AM25" s="9">
        <f t="shared" ref="AM25" si="244">+AM24+AL25</f>
        <v>0</v>
      </c>
      <c r="AN25" s="9">
        <f t="shared" ref="AN25" si="245">+AN24+AM25</f>
        <v>4520.2298777670248</v>
      </c>
      <c r="AO25" s="9">
        <f t="shared" ref="AO25" si="246">+AO24+AN25</f>
        <v>5166.7371528096301</v>
      </c>
      <c r="AP25" s="9">
        <f t="shared" ref="AP25" si="247">+AP24+AO25</f>
        <v>31959.821089354646</v>
      </c>
      <c r="AQ25" s="9">
        <f t="shared" ref="AQ25" si="248">+AQ24+AP25</f>
        <v>34378.39682371774</v>
      </c>
      <c r="AR25" s="9">
        <f t="shared" ref="AR25" si="249">+AR24+AQ25</f>
        <v>143792.06421099612</v>
      </c>
      <c r="AS25" s="9">
        <f t="shared" ref="AS25" si="250">+AS24+AR25</f>
        <v>340007.83364617545</v>
      </c>
      <c r="AT25" s="9">
        <f t="shared" ref="AT25" si="251">+AT24+AS25</f>
        <v>472221.41815281752</v>
      </c>
      <c r="AU25" s="9">
        <f t="shared" ref="AU25" si="252">+AU24+AT25</f>
        <v>559465.81897413183</v>
      </c>
      <c r="AV25" s="9">
        <f t="shared" ref="AV25" si="253">+AV24+AU25</f>
        <v>577731.29901882017</v>
      </c>
      <c r="AW25" s="9">
        <f t="shared" ref="AW25" si="254">+AW24+AV25</f>
        <v>717608.45571920031</v>
      </c>
      <c r="AX25" s="9">
        <f t="shared" ref="AX25" si="255">+AX24+AW25</f>
        <v>750000.00000000012</v>
      </c>
      <c r="AY25" s="9">
        <f t="shared" ref="AY25" si="256">+AY24+AX25</f>
        <v>750000.00000000012</v>
      </c>
      <c r="AZ25" s="9">
        <f t="shared" ref="AZ25" si="257">+AZ24+AY25</f>
        <v>750000.00000000012</v>
      </c>
      <c r="BA25" s="9">
        <f t="shared" ref="BA25" si="258">+BA24+AZ25</f>
        <v>750000.00000000012</v>
      </c>
      <c r="BB25" s="9">
        <f t="shared" ref="BB25" si="259">+BB24+BA25</f>
        <v>750000.00000000012</v>
      </c>
      <c r="BC25" s="9">
        <f t="shared" ref="BC25" si="260">+BC24+BB25</f>
        <v>750000.00000000012</v>
      </c>
      <c r="BD25" s="9">
        <f t="shared" ref="BD25" si="261">+BD24+BC25</f>
        <v>750000.00000000012</v>
      </c>
      <c r="BE25" s="9">
        <f t="shared" ref="BE25" si="262">+BE24+BD25</f>
        <v>750000.00000000012</v>
      </c>
      <c r="BF25" s="9">
        <f t="shared" ref="BF25" si="263">+BF24+BE25</f>
        <v>750000.00000000012</v>
      </c>
      <c r="BG25" s="9">
        <f t="shared" ref="BG25" si="264">+BG24+BF25</f>
        <v>750000.00000000012</v>
      </c>
      <c r="BH25" s="9">
        <f t="shared" ref="BH25" si="265">+BH24+BG25</f>
        <v>750000.00000000012</v>
      </c>
      <c r="BI25" s="9">
        <f t="shared" ref="BI25" si="266">+BI24+BH25</f>
        <v>750000.00000000012</v>
      </c>
      <c r="BJ25" s="9">
        <f t="shared" ref="BJ25" si="267">+BJ24+BI25</f>
        <v>750000.00000000012</v>
      </c>
      <c r="BK25" s="9">
        <f t="shared" ref="BK25" si="268">+BK24+BJ25</f>
        <v>750000.00000000012</v>
      </c>
      <c r="BL25" s="9">
        <f t="shared" ref="BL25" si="269">+BL24+BK25</f>
        <v>750000.00000000012</v>
      </c>
      <c r="BM25" s="9">
        <f t="shared" ref="BM25" si="270">+BM24+BL25</f>
        <v>750000.00000000012</v>
      </c>
      <c r="BN25" s="9">
        <f t="shared" ref="BN25" si="271">+BN24+BM25</f>
        <v>750000.00000000012</v>
      </c>
      <c r="BO25" s="9">
        <f t="shared" ref="BO25" si="272">+BO24+BN25</f>
        <v>750000.00000000012</v>
      </c>
      <c r="BP25" s="9">
        <f t="shared" ref="BP25" si="273">+BP24+BO25</f>
        <v>750000.00000000012</v>
      </c>
      <c r="BQ25" s="9">
        <f t="shared" ref="BQ25" si="274">+BQ24+BP25</f>
        <v>750000.00000000012</v>
      </c>
      <c r="BR25" s="9">
        <f t="shared" ref="BR25" si="275">+BR24+BQ25</f>
        <v>750000.00000000012</v>
      </c>
      <c r="BS25" s="9">
        <f t="shared" ref="BS25" si="276">+BS24+BR25</f>
        <v>750000.00000000012</v>
      </c>
      <c r="BT25" s="9">
        <f t="shared" ref="BT25" si="277">+BT24+BS25</f>
        <v>750000.00000000012</v>
      </c>
      <c r="BU25" s="9">
        <f t="shared" ref="BU25" si="278">+BU24+BT25</f>
        <v>750000.00000000012</v>
      </c>
      <c r="BV25" s="9">
        <f t="shared" ref="BV25" si="279">+BV24+BU25</f>
        <v>750000.00000000012</v>
      </c>
      <c r="BW25" s="9">
        <f t="shared" ref="BW25" si="280">+BW24+BV25</f>
        <v>750000.00000000012</v>
      </c>
      <c r="BX25" s="9">
        <f t="shared" ref="BX25" si="281">+BX24+BW25</f>
        <v>750000.00000000012</v>
      </c>
      <c r="BY25" s="9">
        <f t="shared" ref="BY25" si="282">+BY24+BX25</f>
        <v>750000.00000000012</v>
      </c>
      <c r="BZ25" s="9">
        <f t="shared" ref="BZ25" si="283">+BZ24+BY25</f>
        <v>750000.00000000012</v>
      </c>
      <c r="CA25" s="9">
        <f t="shared" ref="CA25" si="284">+CA24+BZ25</f>
        <v>750000.00000000012</v>
      </c>
      <c r="CB25" s="9">
        <f t="shared" ref="CB25" si="285">+CB24+CA25</f>
        <v>750000.00000000012</v>
      </c>
      <c r="CC25" s="9">
        <f t="shared" ref="CC25" si="286">+CC24+CB25</f>
        <v>750000.00000000012</v>
      </c>
      <c r="CD25" s="9">
        <f t="shared" ref="CD25" si="287">+CD24+CC25</f>
        <v>750000.00000000012</v>
      </c>
      <c r="CE25" s="9">
        <f t="shared" ref="CE25" si="288">+CE24+CD25</f>
        <v>750000.00000000012</v>
      </c>
      <c r="CF25" s="9">
        <f t="shared" ref="CF25" si="289">+CF24+CE25</f>
        <v>750000.00000000012</v>
      </c>
      <c r="CG25" s="9">
        <f t="shared" ref="CG25" si="290">+CG24+CF25</f>
        <v>750000.00000000012</v>
      </c>
      <c r="CH25" s="9">
        <f t="shared" ref="CH25" si="291">+CH24+CG25</f>
        <v>750000.00000000012</v>
      </c>
      <c r="CI25" s="9">
        <f t="shared" ref="CI25" si="292">+CI24+CH25</f>
        <v>750000.00000000012</v>
      </c>
      <c r="CJ25" s="9">
        <f t="shared" ref="CJ25" si="293">+CJ24+CI25</f>
        <v>750000.00000000012</v>
      </c>
      <c r="CK25" s="9">
        <f t="shared" ref="CK25" si="294">+CK24+CJ25</f>
        <v>750000.00000000012</v>
      </c>
      <c r="CL25" s="9">
        <f t="shared" ref="CL25" si="295">+CL24+CK25</f>
        <v>750000.00000000012</v>
      </c>
      <c r="CM25" s="9">
        <f t="shared" ref="CM25" si="296">+CM24+CL25</f>
        <v>750000.00000000012</v>
      </c>
      <c r="CN25" s="9">
        <f t="shared" ref="CN25" si="297">+CN24+CM25</f>
        <v>750000.00000000012</v>
      </c>
      <c r="CO25" s="9">
        <f t="shared" ref="CO25" si="298">+CO24+CN25</f>
        <v>750000.00000000012</v>
      </c>
      <c r="CP25" s="9">
        <f t="shared" ref="CP25" si="299">+CP24+CO25</f>
        <v>750000.00000000012</v>
      </c>
      <c r="CQ25" s="9">
        <f t="shared" ref="CQ25" si="300">+CQ24+CP25</f>
        <v>750000.00000000012</v>
      </c>
      <c r="CR25" s="9">
        <f t="shared" ref="CR25" si="301">+CR24+CQ25</f>
        <v>750000.00000000012</v>
      </c>
      <c r="CS25" s="9">
        <f t="shared" ref="CS25" si="302">+CS24+CR25</f>
        <v>750000.00000000012</v>
      </c>
      <c r="CT25" s="9">
        <f t="shared" ref="CT25" si="303">+CT24+CS25</f>
        <v>750000.00000000012</v>
      </c>
      <c r="CU25" s="9">
        <f t="shared" ref="CU25" si="304">+CU24+CT25</f>
        <v>750000.00000000012</v>
      </c>
      <c r="CV25" s="9">
        <f t="shared" ref="CV25" si="305">+CV24+CU25</f>
        <v>750000.00000000012</v>
      </c>
      <c r="CW25" s="9">
        <f t="shared" ref="CW25" si="306">+CW24+CV25</f>
        <v>750000.00000000012</v>
      </c>
      <c r="CX25" s="9">
        <f t="shared" ref="CX25" si="307">+CX24+CW25</f>
        <v>750000.00000000012</v>
      </c>
      <c r="CY25" s="9">
        <f t="shared" ref="CY25" si="308">+CY24+CX25</f>
        <v>750000.00000000012</v>
      </c>
      <c r="CZ25" s="9">
        <f t="shared" ref="CZ25" si="309">+CZ24+CY25</f>
        <v>750000.00000000012</v>
      </c>
      <c r="DA25" s="9">
        <f t="shared" ref="DA25" si="310">+DA24+CZ25</f>
        <v>750000.00000000012</v>
      </c>
      <c r="DB25" s="9">
        <f t="shared" ref="DB25" si="311">+DB24+DA25</f>
        <v>750000.00000000012</v>
      </c>
      <c r="DC25" s="9">
        <f t="shared" ref="DC25" si="312">+DC24+DB25</f>
        <v>750000.00000000012</v>
      </c>
      <c r="DD25" s="9">
        <f t="shared" ref="DD25" si="313">+DD24+DC25</f>
        <v>750000.00000000012</v>
      </c>
      <c r="DE25" s="9">
        <f t="shared" ref="DE25" si="314">+DE24+DD25</f>
        <v>750000.00000000012</v>
      </c>
      <c r="DF25" s="9">
        <f t="shared" ref="DF25" si="315">+DF24+DE25</f>
        <v>750000.00000000012</v>
      </c>
      <c r="DG25" s="9">
        <f t="shared" ref="DG25:DH25" si="316">+DG24+DF25</f>
        <v>750000.00000000012</v>
      </c>
      <c r="DH25" s="9">
        <f t="shared" si="316"/>
        <v>750000.00000000012</v>
      </c>
    </row>
    <row r="26" spans="2:112" x14ac:dyDescent="0.25">
      <c r="B26" t="s">
        <v>473</v>
      </c>
      <c r="C26" s="473">
        <f>+EOMONTH(C25,12)</f>
        <v>46356</v>
      </c>
      <c r="D26" t="s">
        <v>278</v>
      </c>
      <c r="F26" s="422">
        <f>+IFERROR(INDEX(Assumptions!$F$31:$F$42, MATCH(F21, Assumptions!$D$31:$D$42, 0))*$C$23, 0)</f>
        <v>0</v>
      </c>
      <c r="G26" s="9">
        <f>+IFERROR(INDEX(Assumptions!$F$31:$F$42, MATCH(G21, Assumptions!$D$31:$D$42, 0))*$C$23, 0)</f>
        <v>0</v>
      </c>
      <c r="H26" s="9">
        <f>+IFERROR(INDEX(Assumptions!$F$31:$F$42, MATCH(H21, Assumptions!$D$31:$D$42, 0))*$C$23, 0)</f>
        <v>0</v>
      </c>
      <c r="I26" s="9">
        <f>+IFERROR(INDEX(Assumptions!$F$31:$F$42, MATCH(I21, Assumptions!$D$31:$D$42, 0))*$C$23, 0)</f>
        <v>0</v>
      </c>
      <c r="J26" s="9">
        <f>+IFERROR(INDEX(Assumptions!$F$31:$F$42, MATCH(J21, Assumptions!$D$31:$D$42, 0))*$C$23, 0)</f>
        <v>0</v>
      </c>
      <c r="K26" s="9">
        <f>+IFERROR(INDEX(Assumptions!$F$31:$F$42, MATCH(K21, Assumptions!$D$31:$D$42, 0))*$C$23, 0)</f>
        <v>0</v>
      </c>
      <c r="L26" s="9">
        <f>+IFERROR(INDEX(Assumptions!$F$31:$F$42, MATCH(L21, Assumptions!$D$31:$D$42, 0))*$C$23, 0)</f>
        <v>0</v>
      </c>
      <c r="M26" s="9">
        <f>+IFERROR(INDEX(Assumptions!$F$31:$F$42, MATCH(M21, Assumptions!$D$31:$D$42, 0))*$C$23, 0)</f>
        <v>0</v>
      </c>
      <c r="N26" s="9">
        <f>+IFERROR(INDEX(Assumptions!$F$31:$F$42, MATCH(N21, Assumptions!$D$31:$D$42, 0))*$C$23, 0)</f>
        <v>0</v>
      </c>
      <c r="O26" s="9">
        <f>+IFERROR(INDEX(Assumptions!$F$31:$F$42, MATCH(O21, Assumptions!$D$31:$D$42, 0))*$C$23, 0)</f>
        <v>0</v>
      </c>
      <c r="P26" s="9">
        <f>+IFERROR(INDEX(Assumptions!$F$31:$F$42, MATCH(P21, Assumptions!$D$31:$D$42, 0))*$C$23, 0)</f>
        <v>0</v>
      </c>
      <c r="Q26" s="9">
        <f>+IFERROR(INDEX(Assumptions!$F$31:$F$42, MATCH(Q21, Assumptions!$D$31:$D$42, 0))*$C$23, 0)</f>
        <v>0</v>
      </c>
      <c r="R26" s="9">
        <f>+IFERROR(INDEX(Assumptions!$F$31:$F$42, MATCH(R21, Assumptions!$D$31:$D$42, 0))*$C$23, 0)</f>
        <v>0</v>
      </c>
      <c r="S26" s="9">
        <f>+IFERROR(INDEX(Assumptions!$F$31:$F$42, MATCH(S21, Assumptions!$D$31:$D$42, 0))*$C$23, 0)</f>
        <v>0</v>
      </c>
      <c r="T26" s="9">
        <f>+IFERROR(INDEX(Assumptions!$F$31:$F$42, MATCH(T21, Assumptions!$D$31:$D$42, 0))*$C$23, 0)</f>
        <v>0</v>
      </c>
      <c r="U26" s="9">
        <f>+IFERROR(INDEX(Assumptions!$F$31:$F$42, MATCH(U21, Assumptions!$D$31:$D$42, 0))*$C$23, 0)</f>
        <v>0</v>
      </c>
      <c r="V26" s="9">
        <f>+IFERROR(INDEX(Assumptions!$F$31:$F$42, MATCH(V21, Assumptions!$D$31:$D$42, 0))*$C$23, 0)</f>
        <v>0</v>
      </c>
      <c r="W26" s="9">
        <f>+IFERROR(INDEX(Assumptions!$F$31:$F$42, MATCH(W21, Assumptions!$D$31:$D$42, 0))*$C$23, 0)</f>
        <v>0</v>
      </c>
      <c r="X26" s="9">
        <f>+IFERROR(INDEX(Assumptions!$F$31:$F$42, MATCH(X21, Assumptions!$D$31:$D$42, 0))*$C$23, 0)</f>
        <v>0</v>
      </c>
      <c r="Y26" s="9">
        <f>+IFERROR(INDEX(Assumptions!$F$31:$F$42, MATCH(Y21, Assumptions!$D$31:$D$42, 0))*$C$23, 0)</f>
        <v>0</v>
      </c>
      <c r="Z26" s="9">
        <f>+IFERROR(INDEX(Assumptions!$F$31:$F$42, MATCH(Z21, Assumptions!$D$31:$D$42, 0))*$C$23, 0)</f>
        <v>0</v>
      </c>
      <c r="AA26" s="9">
        <f>+IFERROR(INDEX(Assumptions!$F$31:$F$42, MATCH(AA21, Assumptions!$D$31:$D$42, 0))*$C$23, 0)</f>
        <v>0</v>
      </c>
      <c r="AB26" s="9">
        <f>+IFERROR(INDEX(Assumptions!$F$31:$F$42, MATCH(AB21, Assumptions!$D$31:$D$42, 0))*$C$23, 0)</f>
        <v>0</v>
      </c>
      <c r="AC26" s="9">
        <f>+IFERROR(INDEX(Assumptions!$F$31:$F$42, MATCH(AC21, Assumptions!$D$31:$D$42, 0))*$C$23, 0)</f>
        <v>0</v>
      </c>
      <c r="AD26" s="9">
        <f>+IFERROR(INDEX(Assumptions!$F$31:$F$42, MATCH(AD21, Assumptions!$D$31:$D$42, 0))*$C$23, 0)</f>
        <v>0</v>
      </c>
      <c r="AE26" s="9">
        <f>+IFERROR(INDEX(Assumptions!$F$31:$F$42, MATCH(AE21, Assumptions!$D$31:$D$42, 0))*$C$23, 0)</f>
        <v>0</v>
      </c>
      <c r="AF26" s="9">
        <f>+IFERROR(INDEX(Assumptions!$F$31:$F$42, MATCH(AF21, Assumptions!$D$31:$D$42, 0))*$C$23, 0)</f>
        <v>0</v>
      </c>
      <c r="AG26" s="9">
        <f>+IFERROR(INDEX(Assumptions!$F$31:$F$42, MATCH(AG21, Assumptions!$D$31:$D$42, 0))*$C$23, 0)</f>
        <v>0</v>
      </c>
      <c r="AH26" s="9">
        <f>+IFERROR(INDEX(Assumptions!$F$31:$F$42, MATCH(AH21, Assumptions!$D$31:$D$42, 0))*$C$23, 0)</f>
        <v>0</v>
      </c>
      <c r="AI26" s="9">
        <f>+IFERROR(INDEX(Assumptions!$F$31:$F$42, MATCH(AI21, Assumptions!$D$31:$D$42, 0))*$C$23, 0)</f>
        <v>0</v>
      </c>
      <c r="AJ26" s="9">
        <f>+IFERROR(INDEX(Assumptions!$F$31:$F$42, MATCH(AJ21, Assumptions!$D$31:$D$42, 0))*$C$23, 0)</f>
        <v>0</v>
      </c>
      <c r="AK26" s="9">
        <f>+IFERROR(INDEX(Assumptions!$F$31:$F$42, MATCH(AK21, Assumptions!$D$31:$D$42, 0))*$C$23, 0)</f>
        <v>0</v>
      </c>
      <c r="AL26" s="9">
        <f>+IFERROR(INDEX(Assumptions!$F$31:$F$42, MATCH(AL21, Assumptions!$D$31:$D$42, 0))*$C$23, 0)</f>
        <v>0</v>
      </c>
      <c r="AM26" s="9">
        <f>+IFERROR(INDEX(Assumptions!$F$31:$F$42, MATCH(AM21, Assumptions!$D$31:$D$42, 0))*$C$23, 0)</f>
        <v>125000</v>
      </c>
      <c r="AN26" s="9">
        <f>+IFERROR(INDEX(Assumptions!$F$31:$F$42, MATCH(AN21, Assumptions!$D$31:$D$42, 0))*$C$23, 0)</f>
        <v>0</v>
      </c>
      <c r="AO26" s="9">
        <f>+IFERROR(INDEX(Assumptions!$F$31:$F$42, MATCH(AO21, Assumptions!$D$31:$D$42, 0))*$C$23, 0)</f>
        <v>0</v>
      </c>
      <c r="AP26" s="9">
        <f>+IFERROR(INDEX(Assumptions!$F$31:$F$42, MATCH(AP21, Assumptions!$D$31:$D$42, 0))*$C$23, 0)</f>
        <v>0</v>
      </c>
      <c r="AQ26" s="9">
        <f>+IFERROR(INDEX(Assumptions!$F$31:$F$42, MATCH(AQ21, Assumptions!$D$31:$D$42, 0))*$C$23, 0)</f>
        <v>250000</v>
      </c>
      <c r="AR26" s="9">
        <f>+IFERROR(INDEX(Assumptions!$F$31:$F$42, MATCH(AR21, Assumptions!$D$31:$D$42, 0))*$C$23, 0)</f>
        <v>312500</v>
      </c>
      <c r="AS26" s="9">
        <f>+IFERROR(INDEX(Assumptions!$F$31:$F$42, MATCH(AS21, Assumptions!$D$31:$D$42, 0))*$C$23, 0)</f>
        <v>187500</v>
      </c>
      <c r="AT26" s="9">
        <f>+IFERROR(INDEX(Assumptions!$F$31:$F$42, MATCH(AT21, Assumptions!$D$31:$D$42, 0))*$C$23, 0)</f>
        <v>0</v>
      </c>
      <c r="AU26" s="9">
        <f>+IFERROR(INDEX(Assumptions!$F$31:$F$42, MATCH(AU21, Assumptions!$D$31:$D$42, 0))*$C$23, 0)</f>
        <v>187500</v>
      </c>
      <c r="AV26" s="9">
        <f>+IFERROR(INDEX(Assumptions!$F$31:$F$42, MATCH(AV21, Assumptions!$D$31:$D$42, 0))*$C$23, 0)</f>
        <v>0</v>
      </c>
      <c r="AW26" s="9">
        <f>+IFERROR(INDEX(Assumptions!$F$31:$F$42, MATCH(AW21, Assumptions!$D$31:$D$42, 0))*$C$23, 0)</f>
        <v>187500</v>
      </c>
      <c r="AX26" s="9">
        <f>+IFERROR(INDEX(Assumptions!$F$31:$F$42, MATCH(AX21, Assumptions!$D$31:$D$42, 0))*$C$23, 0)</f>
        <v>0</v>
      </c>
      <c r="AY26" s="9">
        <f>+IFERROR(INDEX(Assumptions!$F$31:$F$42, MATCH(AY21, Assumptions!$D$31:$D$42, 0))*$C$23, 0)</f>
        <v>0</v>
      </c>
      <c r="AZ26" s="9">
        <f>+IFERROR(INDEX(Assumptions!$F$31:$F$42, MATCH(AZ21, Assumptions!$D$31:$D$42, 0))*$C$23, 0)</f>
        <v>0</v>
      </c>
      <c r="BA26" s="9">
        <f>+IFERROR(INDEX(Assumptions!$F$31:$F$42, MATCH(BA21, Assumptions!$D$31:$D$42, 0))*$C$23, 0)</f>
        <v>0</v>
      </c>
      <c r="BB26" s="9">
        <f>+IFERROR(INDEX(Assumptions!$F$31:$F$42, MATCH(BB21, Assumptions!$D$31:$D$42, 0))*$C$23, 0)</f>
        <v>0</v>
      </c>
      <c r="BC26" s="9">
        <f>+IFERROR(INDEX(Assumptions!$F$31:$F$42, MATCH(BC21, Assumptions!$D$31:$D$42, 0))*$C$23, 0)</f>
        <v>0</v>
      </c>
      <c r="BD26" s="9">
        <f>+IFERROR(INDEX(Assumptions!$F$31:$F$42, MATCH(BD21, Assumptions!$D$31:$D$42, 0))*$C$23, 0)</f>
        <v>0</v>
      </c>
      <c r="BE26" s="9">
        <f>+IFERROR(INDEX(Assumptions!$F$31:$F$42, MATCH(BE21, Assumptions!$D$31:$D$42, 0))*$C$23, 0)</f>
        <v>0</v>
      </c>
      <c r="BF26" s="9">
        <f>+IFERROR(INDEX(Assumptions!$F$31:$F$42, MATCH(BF21, Assumptions!$D$31:$D$42, 0))*$C$23, 0)</f>
        <v>0</v>
      </c>
      <c r="BG26" s="9">
        <f>+IFERROR(INDEX(Assumptions!$F$31:$F$42, MATCH(BG21, Assumptions!$D$31:$D$42, 0))*$C$23, 0)</f>
        <v>0</v>
      </c>
      <c r="BH26" s="9">
        <f>+IFERROR(INDEX(Assumptions!$F$31:$F$42, MATCH(BH21, Assumptions!$D$31:$D$42, 0))*$C$23, 0)</f>
        <v>0</v>
      </c>
      <c r="BI26" s="9">
        <f>+IFERROR(INDEX(Assumptions!$F$31:$F$42, MATCH(BI21, Assumptions!$D$31:$D$42, 0))*$C$23, 0)</f>
        <v>0</v>
      </c>
      <c r="BJ26" s="9">
        <f>+IFERROR(INDEX(Assumptions!$F$31:$F$42, MATCH(BJ21, Assumptions!$D$31:$D$42, 0))*$C$23, 0)</f>
        <v>0</v>
      </c>
      <c r="BK26" s="9">
        <f>+IFERROR(INDEX(Assumptions!$F$31:$F$42, MATCH(BK21, Assumptions!$D$31:$D$42, 0))*$C$23, 0)</f>
        <v>0</v>
      </c>
      <c r="BL26" s="9">
        <f>+IFERROR(INDEX(Assumptions!$F$31:$F$42, MATCH(BL21, Assumptions!$D$31:$D$42, 0))*$C$23, 0)</f>
        <v>0</v>
      </c>
      <c r="BM26" s="9">
        <f>+IFERROR(INDEX(Assumptions!$F$31:$F$42, MATCH(BM21, Assumptions!$D$31:$D$42, 0))*$C$23, 0)</f>
        <v>0</v>
      </c>
      <c r="BN26" s="9">
        <f>+IFERROR(INDEX(Assumptions!$F$31:$F$42, MATCH(BN21, Assumptions!$D$31:$D$42, 0))*$C$23, 0)</f>
        <v>0</v>
      </c>
      <c r="BO26" s="9">
        <f>+IFERROR(INDEX(Assumptions!$F$31:$F$42, MATCH(BO21, Assumptions!$D$31:$D$42, 0))*$C$23, 0)</f>
        <v>0</v>
      </c>
      <c r="BP26" s="9">
        <f>+IFERROR(INDEX(Assumptions!$F$31:$F$42, MATCH(BP21, Assumptions!$D$31:$D$42, 0))*$C$23, 0)</f>
        <v>0</v>
      </c>
      <c r="BQ26" s="9">
        <f>+IFERROR(INDEX(Assumptions!$F$31:$F$42, MATCH(BQ21, Assumptions!$D$31:$D$42, 0))*$C$23, 0)</f>
        <v>0</v>
      </c>
      <c r="BR26" s="9">
        <f>+IFERROR(INDEX(Assumptions!$F$31:$F$42, MATCH(BR21, Assumptions!$D$31:$D$42, 0))*$C$23, 0)</f>
        <v>0</v>
      </c>
      <c r="BS26" s="9">
        <f>+IFERROR(INDEX(Assumptions!$F$31:$F$42, MATCH(BS21, Assumptions!$D$31:$D$42, 0))*$C$23, 0)</f>
        <v>0</v>
      </c>
      <c r="BT26" s="9">
        <f>+IFERROR(INDEX(Assumptions!$F$31:$F$42, MATCH(BT21, Assumptions!$D$31:$D$42, 0))*$C$23, 0)</f>
        <v>0</v>
      </c>
      <c r="BU26" s="9">
        <f>+IFERROR(INDEX(Assumptions!$F$31:$F$42, MATCH(BU21, Assumptions!$D$31:$D$42, 0))*$C$23, 0)</f>
        <v>0</v>
      </c>
      <c r="BV26" s="9">
        <f>+IFERROR(INDEX(Assumptions!$F$31:$F$42, MATCH(BV21, Assumptions!$D$31:$D$42, 0))*$C$23, 0)</f>
        <v>0</v>
      </c>
      <c r="BW26" s="9">
        <f>+IFERROR(INDEX(Assumptions!$F$31:$F$42, MATCH(BW21, Assumptions!$D$31:$D$42, 0))*$C$23, 0)</f>
        <v>0</v>
      </c>
      <c r="BX26" s="9">
        <f>+IFERROR(INDEX(Assumptions!$F$31:$F$42, MATCH(BX21, Assumptions!$D$31:$D$42, 0))*$C$23, 0)</f>
        <v>0</v>
      </c>
      <c r="BY26" s="9">
        <f>+IFERROR(INDEX(Assumptions!$F$31:$F$42, MATCH(BY21, Assumptions!$D$31:$D$42, 0))*$C$23, 0)</f>
        <v>0</v>
      </c>
      <c r="BZ26" s="9">
        <f>+IFERROR(INDEX(Assumptions!$F$31:$F$42, MATCH(BZ21, Assumptions!$D$31:$D$42, 0))*$C$23, 0)</f>
        <v>0</v>
      </c>
      <c r="CA26" s="9">
        <f>+IFERROR(INDEX(Assumptions!$F$31:$F$42, MATCH(CA21, Assumptions!$D$31:$D$42, 0))*$C$23, 0)</f>
        <v>0</v>
      </c>
      <c r="CB26" s="9">
        <f>+IFERROR(INDEX(Assumptions!$F$31:$F$42, MATCH(CB21, Assumptions!$D$31:$D$42, 0))*$C$23, 0)</f>
        <v>0</v>
      </c>
      <c r="CC26" s="9">
        <f>+IFERROR(INDEX(Assumptions!$F$31:$F$42, MATCH(CC21, Assumptions!$D$31:$D$42, 0))*$C$23, 0)</f>
        <v>0</v>
      </c>
      <c r="CD26" s="9">
        <f>+IFERROR(INDEX(Assumptions!$F$31:$F$42, MATCH(CD21, Assumptions!$D$31:$D$42, 0))*$C$23, 0)</f>
        <v>0</v>
      </c>
      <c r="CE26" s="9">
        <f>+IFERROR(INDEX(Assumptions!$F$31:$F$42, MATCH(CE21, Assumptions!$D$31:$D$42, 0))*$C$23, 0)</f>
        <v>0</v>
      </c>
      <c r="CF26" s="9">
        <f>+IFERROR(INDEX(Assumptions!$F$31:$F$42, MATCH(CF21, Assumptions!$D$31:$D$42, 0))*$C$23, 0)</f>
        <v>0</v>
      </c>
      <c r="CG26" s="9">
        <f>+IFERROR(INDEX(Assumptions!$F$31:$F$42, MATCH(CG21, Assumptions!$D$31:$D$42, 0))*$C$23, 0)</f>
        <v>0</v>
      </c>
      <c r="CH26" s="9">
        <f>+IFERROR(INDEX(Assumptions!$F$31:$F$42, MATCH(CH21, Assumptions!$D$31:$D$42, 0))*$C$23, 0)</f>
        <v>0</v>
      </c>
      <c r="CI26" s="9">
        <f>+IFERROR(INDEX(Assumptions!$F$31:$F$42, MATCH(CI21, Assumptions!$D$31:$D$42, 0))*$C$23, 0)</f>
        <v>0</v>
      </c>
      <c r="CJ26" s="9">
        <f>+IFERROR(INDEX(Assumptions!$F$31:$F$42, MATCH(CJ21, Assumptions!$D$31:$D$42, 0))*$C$23, 0)</f>
        <v>0</v>
      </c>
      <c r="CK26" s="9">
        <f>+IFERROR(INDEX(Assumptions!$F$31:$F$42, MATCH(CK21, Assumptions!$D$31:$D$42, 0))*$C$23, 0)</f>
        <v>0</v>
      </c>
      <c r="CL26" s="9">
        <f>+IFERROR(INDEX(Assumptions!$F$31:$F$42, MATCH(CL21, Assumptions!$D$31:$D$42, 0))*$C$23, 0)</f>
        <v>0</v>
      </c>
      <c r="CM26" s="9">
        <f>+IFERROR(INDEX(Assumptions!$F$31:$F$42, MATCH(CM21, Assumptions!$D$31:$D$42, 0))*$C$23, 0)</f>
        <v>0</v>
      </c>
      <c r="CN26" s="9">
        <f>+IFERROR(INDEX(Assumptions!$F$31:$F$42, MATCH(CN21, Assumptions!$D$31:$D$42, 0))*$C$23, 0)</f>
        <v>0</v>
      </c>
      <c r="CO26" s="9">
        <f>+IFERROR(INDEX(Assumptions!$F$31:$F$42, MATCH(CO21, Assumptions!$D$31:$D$42, 0))*$C$23, 0)</f>
        <v>0</v>
      </c>
      <c r="CP26" s="9">
        <f>+IFERROR(INDEX(Assumptions!$F$31:$F$42, MATCH(CP21, Assumptions!$D$31:$D$42, 0))*$C$23, 0)</f>
        <v>0</v>
      </c>
      <c r="CQ26" s="9">
        <f>+IFERROR(INDEX(Assumptions!$F$31:$F$42, MATCH(CQ21, Assumptions!$D$31:$D$42, 0))*$C$23, 0)</f>
        <v>0</v>
      </c>
      <c r="CR26" s="9">
        <f>+IFERROR(INDEX(Assumptions!$F$31:$F$42, MATCH(CR21, Assumptions!$D$31:$D$42, 0))*$C$23, 0)</f>
        <v>0</v>
      </c>
      <c r="CS26" s="9">
        <f>+IFERROR(INDEX(Assumptions!$F$31:$F$42, MATCH(CS21, Assumptions!$D$31:$D$42, 0))*$C$23, 0)</f>
        <v>0</v>
      </c>
      <c r="CT26" s="9">
        <f>+IFERROR(INDEX(Assumptions!$F$31:$F$42, MATCH(CT21, Assumptions!$D$31:$D$42, 0))*$C$23, 0)</f>
        <v>0</v>
      </c>
      <c r="CU26" s="9">
        <f>+IFERROR(INDEX(Assumptions!$F$31:$F$42, MATCH(CU21, Assumptions!$D$31:$D$42, 0))*$C$23, 0)</f>
        <v>0</v>
      </c>
      <c r="CV26" s="9">
        <f>+IFERROR(INDEX(Assumptions!$F$31:$F$42, MATCH(CV21, Assumptions!$D$31:$D$42, 0))*$C$23, 0)</f>
        <v>0</v>
      </c>
      <c r="CW26" s="9">
        <f>+IFERROR(INDEX(Assumptions!$F$31:$F$42, MATCH(CW21, Assumptions!$D$31:$D$42, 0))*$C$23, 0)</f>
        <v>0</v>
      </c>
      <c r="CX26" s="9">
        <f>+IFERROR(INDEX(Assumptions!$F$31:$F$42, MATCH(CX21, Assumptions!$D$31:$D$42, 0))*$C$23, 0)</f>
        <v>0</v>
      </c>
      <c r="CY26" s="9">
        <f>+IFERROR(INDEX(Assumptions!$F$31:$F$42, MATCH(CY21, Assumptions!$D$31:$D$42, 0))*$C$23, 0)</f>
        <v>0</v>
      </c>
      <c r="CZ26" s="9">
        <f>+IFERROR(INDEX(Assumptions!$F$31:$F$42, MATCH(CZ21, Assumptions!$D$31:$D$42, 0))*$C$23, 0)</f>
        <v>0</v>
      </c>
      <c r="DA26" s="9">
        <f>+IFERROR(INDEX(Assumptions!$F$31:$F$42, MATCH(DA21, Assumptions!$D$31:$D$42, 0))*$C$23, 0)</f>
        <v>0</v>
      </c>
      <c r="DB26" s="9">
        <f>+IFERROR(INDEX(Assumptions!$F$31:$F$42, MATCH(DB21, Assumptions!$D$31:$D$42, 0))*$C$23, 0)</f>
        <v>0</v>
      </c>
      <c r="DC26" s="9">
        <f>+IFERROR(INDEX(Assumptions!$F$31:$F$42, MATCH(DC21, Assumptions!$D$31:$D$42, 0))*$C$23, 0)</f>
        <v>0</v>
      </c>
      <c r="DD26" s="9">
        <f>+IFERROR(INDEX(Assumptions!$F$31:$F$42, MATCH(DD21, Assumptions!$D$31:$D$42, 0))*$C$23, 0)</f>
        <v>0</v>
      </c>
      <c r="DE26" s="9">
        <f>+IFERROR(INDEX(Assumptions!$F$31:$F$42, MATCH(DE21, Assumptions!$D$31:$D$42, 0))*$C$23, 0)</f>
        <v>0</v>
      </c>
      <c r="DF26" s="9">
        <f>+IFERROR(INDEX(Assumptions!$F$31:$F$42, MATCH(DF21, Assumptions!$D$31:$D$42, 0))*$C$23, 0)</f>
        <v>0</v>
      </c>
      <c r="DG26" s="9">
        <f>+IFERROR(INDEX(Assumptions!$F$31:$F$42, MATCH(DG21, Assumptions!$D$31:$D$42, 0))*$C$23, 0)</f>
        <v>0</v>
      </c>
      <c r="DH26" s="9">
        <f>+IFERROR(INDEX(Assumptions!$F$31:$F$42, MATCH(DH21, Assumptions!$D$31:$D$42, 0))*$C$23, 0)</f>
        <v>0</v>
      </c>
    </row>
    <row r="27" spans="2:112" x14ac:dyDescent="0.25">
      <c r="D27" t="s">
        <v>277</v>
      </c>
      <c r="F27" s="9">
        <f t="shared" ref="F27" si="317">+F26+E27</f>
        <v>0</v>
      </c>
      <c r="G27" s="9">
        <f t="shared" ref="G27" si="318">+G26+F27</f>
        <v>0</v>
      </c>
      <c r="H27" s="9">
        <f t="shared" ref="H27" si="319">+H26+G27</f>
        <v>0</v>
      </c>
      <c r="I27" s="9">
        <f t="shared" ref="I27" si="320">+I26+H27</f>
        <v>0</v>
      </c>
      <c r="J27" s="9">
        <f t="shared" ref="J27" si="321">+J26+I27</f>
        <v>0</v>
      </c>
      <c r="K27" s="9">
        <f t="shared" ref="K27" si="322">+K26+J27</f>
        <v>0</v>
      </c>
      <c r="L27" s="9">
        <f t="shared" ref="L27" si="323">+L26+K27</f>
        <v>0</v>
      </c>
      <c r="M27" s="9">
        <f t="shared" ref="M27" si="324">+M26+L27</f>
        <v>0</v>
      </c>
      <c r="N27" s="9">
        <f t="shared" ref="N27" si="325">+N26+M27</f>
        <v>0</v>
      </c>
      <c r="O27" s="9">
        <f t="shared" ref="O27" si="326">+O26+N27</f>
        <v>0</v>
      </c>
      <c r="P27" s="9">
        <f t="shared" ref="P27" si="327">+P26+O27</f>
        <v>0</v>
      </c>
      <c r="Q27" s="9">
        <f t="shared" ref="Q27" si="328">+Q26+P27</f>
        <v>0</v>
      </c>
      <c r="R27" s="9">
        <f t="shared" ref="R27" si="329">+R26+Q27</f>
        <v>0</v>
      </c>
      <c r="S27" s="9">
        <f t="shared" ref="S27" si="330">+S26+R27</f>
        <v>0</v>
      </c>
      <c r="T27" s="9">
        <f t="shared" ref="T27" si="331">+T26+S27</f>
        <v>0</v>
      </c>
      <c r="U27" s="9">
        <f t="shared" ref="U27" si="332">+U26+T27</f>
        <v>0</v>
      </c>
      <c r="V27" s="9">
        <f t="shared" ref="V27" si="333">+V26+U27</f>
        <v>0</v>
      </c>
      <c r="W27" s="9">
        <f>+W26+V27</f>
        <v>0</v>
      </c>
      <c r="X27" s="9">
        <f t="shared" ref="X27" si="334">+X26+W27</f>
        <v>0</v>
      </c>
      <c r="Y27" s="9">
        <f t="shared" ref="Y27" si="335">+Y26+X27</f>
        <v>0</v>
      </c>
      <c r="Z27" s="9">
        <f t="shared" ref="Z27" si="336">+Z26+Y27</f>
        <v>0</v>
      </c>
      <c r="AA27" s="9">
        <f t="shared" ref="AA27" si="337">+AA26+Z27</f>
        <v>0</v>
      </c>
      <c r="AB27" s="9">
        <f t="shared" ref="AB27" si="338">+AB26+AA27</f>
        <v>0</v>
      </c>
      <c r="AC27" s="9">
        <f t="shared" ref="AC27" si="339">+AC26+AB27</f>
        <v>0</v>
      </c>
      <c r="AD27" s="9">
        <f t="shared" ref="AD27" si="340">+AD26+AC27</f>
        <v>0</v>
      </c>
      <c r="AE27" s="9">
        <f t="shared" ref="AE27" si="341">+AE26+AD27</f>
        <v>0</v>
      </c>
      <c r="AF27" s="9">
        <f t="shared" ref="AF27" si="342">+AF26+AE27</f>
        <v>0</v>
      </c>
      <c r="AG27" s="9">
        <f t="shared" ref="AG27" si="343">+AG26+AF27</f>
        <v>0</v>
      </c>
      <c r="AH27" s="9">
        <f t="shared" ref="AH27" si="344">+AH26+AG27</f>
        <v>0</v>
      </c>
      <c r="AI27" s="9">
        <f t="shared" ref="AI27" si="345">+AI26+AH27</f>
        <v>0</v>
      </c>
      <c r="AJ27" s="9">
        <f t="shared" ref="AJ27" si="346">+AJ26+AI27</f>
        <v>0</v>
      </c>
      <c r="AK27" s="9">
        <f t="shared" ref="AK27" si="347">+AK26+AJ27</f>
        <v>0</v>
      </c>
      <c r="AL27" s="9">
        <f t="shared" ref="AL27" si="348">+AL26+AK27</f>
        <v>0</v>
      </c>
      <c r="AM27" s="9">
        <f t="shared" ref="AM27" si="349">+AM26+AL27</f>
        <v>125000</v>
      </c>
      <c r="AN27" s="9">
        <f t="shared" ref="AN27" si="350">+AN26+AM27</f>
        <v>125000</v>
      </c>
      <c r="AO27" s="9">
        <f t="shared" ref="AO27" si="351">+AO26+AN27</f>
        <v>125000</v>
      </c>
      <c r="AP27" s="9">
        <f t="shared" ref="AP27" si="352">+AP26+AO27</f>
        <v>125000</v>
      </c>
      <c r="AQ27" s="9">
        <f t="shared" ref="AQ27" si="353">+AQ26+AP27</f>
        <v>375000</v>
      </c>
      <c r="AR27" s="9">
        <f t="shared" ref="AR27" si="354">+AR26+AQ27</f>
        <v>687500</v>
      </c>
      <c r="AS27" s="9">
        <f t="shared" ref="AS27" si="355">+AS26+AR27</f>
        <v>875000</v>
      </c>
      <c r="AT27" s="9">
        <f t="shared" ref="AT27" si="356">+AT26+AS27</f>
        <v>875000</v>
      </c>
      <c r="AU27" s="9">
        <f t="shared" ref="AU27" si="357">+AU26+AT27</f>
        <v>1062500</v>
      </c>
      <c r="AV27" s="9">
        <f t="shared" ref="AV27" si="358">+AV26+AU27</f>
        <v>1062500</v>
      </c>
      <c r="AW27" s="9">
        <f t="shared" ref="AW27" si="359">+AW26+AV27</f>
        <v>1250000</v>
      </c>
      <c r="AX27" s="9">
        <f t="shared" ref="AX27" si="360">+AX26+AW27</f>
        <v>1250000</v>
      </c>
      <c r="AY27" s="9">
        <f t="shared" ref="AY27" si="361">+AY26+AX27</f>
        <v>1250000</v>
      </c>
      <c r="AZ27" s="9">
        <f t="shared" ref="AZ27" si="362">+AZ26+AY27</f>
        <v>1250000</v>
      </c>
      <c r="BA27" s="9">
        <f t="shared" ref="BA27" si="363">+BA26+AZ27</f>
        <v>1250000</v>
      </c>
      <c r="BB27" s="9">
        <f t="shared" ref="BB27" si="364">+BB26+BA27</f>
        <v>1250000</v>
      </c>
      <c r="BC27" s="9">
        <f t="shared" ref="BC27" si="365">+BC26+BB27</f>
        <v>1250000</v>
      </c>
      <c r="BD27" s="9">
        <f t="shared" ref="BD27" si="366">+BD26+BC27</f>
        <v>1250000</v>
      </c>
      <c r="BE27" s="9">
        <f t="shared" ref="BE27" si="367">+BE26+BD27</f>
        <v>1250000</v>
      </c>
      <c r="BF27" s="9">
        <f t="shared" ref="BF27" si="368">+BF26+BE27</f>
        <v>1250000</v>
      </c>
      <c r="BG27" s="9">
        <f t="shared" ref="BG27" si="369">+BG26+BF27</f>
        <v>1250000</v>
      </c>
      <c r="BH27" s="9">
        <f t="shared" ref="BH27" si="370">+BH26+BG27</f>
        <v>1250000</v>
      </c>
      <c r="BI27" s="9">
        <f t="shared" ref="BI27" si="371">+BI26+BH27</f>
        <v>1250000</v>
      </c>
      <c r="BJ27" s="9">
        <f t="shared" ref="BJ27" si="372">+BJ26+BI27</f>
        <v>1250000</v>
      </c>
      <c r="BK27" s="9">
        <f t="shared" ref="BK27" si="373">+BK26+BJ27</f>
        <v>1250000</v>
      </c>
      <c r="BL27" s="9">
        <f t="shared" ref="BL27" si="374">+BL26+BK27</f>
        <v>1250000</v>
      </c>
      <c r="BM27" s="9">
        <f t="shared" ref="BM27" si="375">+BM26+BL27</f>
        <v>1250000</v>
      </c>
      <c r="BN27" s="9">
        <f t="shared" ref="BN27" si="376">+BN26+BM27</f>
        <v>1250000</v>
      </c>
      <c r="BO27" s="9">
        <f t="shared" ref="BO27" si="377">+BO26+BN27</f>
        <v>1250000</v>
      </c>
      <c r="BP27" s="9">
        <f t="shared" ref="BP27" si="378">+BP26+BO27</f>
        <v>1250000</v>
      </c>
      <c r="BQ27" s="9">
        <f t="shared" ref="BQ27" si="379">+BQ26+BP27</f>
        <v>1250000</v>
      </c>
      <c r="BR27" s="9">
        <f t="shared" ref="BR27" si="380">+BR26+BQ27</f>
        <v>1250000</v>
      </c>
      <c r="BS27" s="9">
        <f t="shared" ref="BS27" si="381">+BS26+BR27</f>
        <v>1250000</v>
      </c>
      <c r="BT27" s="9">
        <f t="shared" ref="BT27" si="382">+BT26+BS27</f>
        <v>1250000</v>
      </c>
      <c r="BU27" s="9">
        <f t="shared" ref="BU27" si="383">+BU26+BT27</f>
        <v>1250000</v>
      </c>
      <c r="BV27" s="9">
        <f t="shared" ref="BV27" si="384">+BV26+BU27</f>
        <v>1250000</v>
      </c>
      <c r="BW27" s="9">
        <f t="shared" ref="BW27" si="385">+BW26+BV27</f>
        <v>1250000</v>
      </c>
      <c r="BX27" s="9">
        <f t="shared" ref="BX27" si="386">+BX26+BW27</f>
        <v>1250000</v>
      </c>
      <c r="BY27" s="9">
        <f t="shared" ref="BY27" si="387">+BY26+BX27</f>
        <v>1250000</v>
      </c>
      <c r="BZ27" s="9">
        <f t="shared" ref="BZ27" si="388">+BZ26+BY27</f>
        <v>1250000</v>
      </c>
      <c r="CA27" s="9">
        <f t="shared" ref="CA27" si="389">+CA26+BZ27</f>
        <v>1250000</v>
      </c>
      <c r="CB27" s="9">
        <f t="shared" ref="CB27" si="390">+CB26+CA27</f>
        <v>1250000</v>
      </c>
      <c r="CC27" s="9">
        <f t="shared" ref="CC27" si="391">+CC26+CB27</f>
        <v>1250000</v>
      </c>
      <c r="CD27" s="9">
        <f t="shared" ref="CD27" si="392">+CD26+CC27</f>
        <v>1250000</v>
      </c>
      <c r="CE27" s="9">
        <f t="shared" ref="CE27" si="393">+CE26+CD27</f>
        <v>1250000</v>
      </c>
      <c r="CF27" s="9">
        <f t="shared" ref="CF27" si="394">+CF26+CE27</f>
        <v>1250000</v>
      </c>
      <c r="CG27" s="9">
        <f t="shared" ref="CG27" si="395">+CG26+CF27</f>
        <v>1250000</v>
      </c>
      <c r="CH27" s="9">
        <f t="shared" ref="CH27" si="396">+CH26+CG27</f>
        <v>1250000</v>
      </c>
      <c r="CI27" s="9">
        <f t="shared" ref="CI27" si="397">+CI26+CH27</f>
        <v>1250000</v>
      </c>
      <c r="CJ27" s="9">
        <f t="shared" ref="CJ27" si="398">+CJ26+CI27</f>
        <v>1250000</v>
      </c>
      <c r="CK27" s="9">
        <f t="shared" ref="CK27" si="399">+CK26+CJ27</f>
        <v>1250000</v>
      </c>
      <c r="CL27" s="9">
        <f t="shared" ref="CL27" si="400">+CL26+CK27</f>
        <v>1250000</v>
      </c>
      <c r="CM27" s="9">
        <f t="shared" ref="CM27" si="401">+CM26+CL27</f>
        <v>1250000</v>
      </c>
      <c r="CN27" s="9">
        <f t="shared" ref="CN27" si="402">+CN26+CM27</f>
        <v>1250000</v>
      </c>
      <c r="CO27" s="9">
        <f t="shared" ref="CO27" si="403">+CO26+CN27</f>
        <v>1250000</v>
      </c>
      <c r="CP27" s="9">
        <f t="shared" ref="CP27" si="404">+CP26+CO27</f>
        <v>1250000</v>
      </c>
      <c r="CQ27" s="9">
        <f t="shared" ref="CQ27" si="405">+CQ26+CP27</f>
        <v>1250000</v>
      </c>
      <c r="CR27" s="9">
        <f t="shared" ref="CR27" si="406">+CR26+CQ27</f>
        <v>1250000</v>
      </c>
      <c r="CS27" s="9">
        <f t="shared" ref="CS27" si="407">+CS26+CR27</f>
        <v>1250000</v>
      </c>
      <c r="CT27" s="9">
        <f t="shared" ref="CT27" si="408">+CT26+CS27</f>
        <v>1250000</v>
      </c>
      <c r="CU27" s="9">
        <f t="shared" ref="CU27" si="409">+CU26+CT27</f>
        <v>1250000</v>
      </c>
      <c r="CV27" s="9">
        <f t="shared" ref="CV27" si="410">+CV26+CU27</f>
        <v>1250000</v>
      </c>
      <c r="CW27" s="9">
        <f t="shared" ref="CW27" si="411">+CW26+CV27</f>
        <v>1250000</v>
      </c>
      <c r="CX27" s="9">
        <f t="shared" ref="CX27" si="412">+CX26+CW27</f>
        <v>1250000</v>
      </c>
      <c r="CY27" s="9">
        <f t="shared" ref="CY27" si="413">+CY26+CX27</f>
        <v>1250000</v>
      </c>
      <c r="CZ27" s="9">
        <f t="shared" ref="CZ27" si="414">+CZ26+CY27</f>
        <v>1250000</v>
      </c>
      <c r="DA27" s="9">
        <f t="shared" ref="DA27" si="415">+DA26+CZ27</f>
        <v>1250000</v>
      </c>
      <c r="DB27" s="9">
        <f t="shared" ref="DB27" si="416">+DB26+DA27</f>
        <v>1250000</v>
      </c>
      <c r="DC27" s="9">
        <f t="shared" ref="DC27" si="417">+DC26+DB27</f>
        <v>1250000</v>
      </c>
      <c r="DD27" s="9">
        <f t="shared" ref="DD27" si="418">+DD26+DC27</f>
        <v>1250000</v>
      </c>
      <c r="DE27" s="9">
        <f t="shared" ref="DE27" si="419">+DE26+DD27</f>
        <v>1250000</v>
      </c>
      <c r="DF27" s="9">
        <f t="shared" ref="DF27" si="420">+DF26+DE27</f>
        <v>1250000</v>
      </c>
      <c r="DG27" s="9">
        <f t="shared" ref="DG27:DH27" si="421">+DG26+DF27</f>
        <v>1250000</v>
      </c>
      <c r="DH27" s="9">
        <f t="shared" si="421"/>
        <v>1250000</v>
      </c>
    </row>
    <row r="28" spans="2:112" x14ac:dyDescent="0.25"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</row>
    <row r="29" spans="2:112" x14ac:dyDescent="0.25">
      <c r="F29" s="472">
        <f t="shared" ref="F29:AK29" si="422">+IF(F$3&lt;$C$33,0,IF(AND(F$3&gt;=$C$33,E29&lt;12, $C$34&gt;=F$3),E29+1,0))</f>
        <v>0</v>
      </c>
      <c r="G29" s="472">
        <f t="shared" si="422"/>
        <v>0</v>
      </c>
      <c r="H29" s="472">
        <f t="shared" si="422"/>
        <v>0</v>
      </c>
      <c r="I29" s="472">
        <f t="shared" si="422"/>
        <v>0</v>
      </c>
      <c r="J29" s="472">
        <f t="shared" si="422"/>
        <v>0</v>
      </c>
      <c r="K29" s="472">
        <f t="shared" si="422"/>
        <v>0</v>
      </c>
      <c r="L29" s="472">
        <f t="shared" si="422"/>
        <v>0</v>
      </c>
      <c r="M29" s="472">
        <f t="shared" si="422"/>
        <v>0</v>
      </c>
      <c r="N29" s="472">
        <f t="shared" si="422"/>
        <v>0</v>
      </c>
      <c r="O29" s="472">
        <f t="shared" si="422"/>
        <v>0</v>
      </c>
      <c r="P29" s="472">
        <f t="shared" si="422"/>
        <v>0</v>
      </c>
      <c r="Q29" s="472">
        <f t="shared" si="422"/>
        <v>0</v>
      </c>
      <c r="R29" s="82">
        <f t="shared" si="422"/>
        <v>0</v>
      </c>
      <c r="S29" s="472">
        <f t="shared" si="422"/>
        <v>0</v>
      </c>
      <c r="T29" s="472">
        <f t="shared" si="422"/>
        <v>0</v>
      </c>
      <c r="U29" s="472">
        <f t="shared" si="422"/>
        <v>0</v>
      </c>
      <c r="V29" s="82">
        <f t="shared" si="422"/>
        <v>0</v>
      </c>
      <c r="W29" s="82">
        <f t="shared" si="422"/>
        <v>0</v>
      </c>
      <c r="X29" s="82">
        <f t="shared" si="422"/>
        <v>0</v>
      </c>
      <c r="Y29" s="82">
        <f t="shared" si="422"/>
        <v>0</v>
      </c>
      <c r="Z29" s="82">
        <f t="shared" si="422"/>
        <v>0</v>
      </c>
      <c r="AA29" s="82">
        <f t="shared" si="422"/>
        <v>0</v>
      </c>
      <c r="AB29" s="82">
        <f t="shared" si="422"/>
        <v>0</v>
      </c>
      <c r="AC29" s="82">
        <f t="shared" si="422"/>
        <v>0</v>
      </c>
      <c r="AD29" s="82">
        <f t="shared" si="422"/>
        <v>0</v>
      </c>
      <c r="AE29" s="82">
        <f t="shared" si="422"/>
        <v>0</v>
      </c>
      <c r="AF29" s="472">
        <f t="shared" si="422"/>
        <v>0</v>
      </c>
      <c r="AG29" s="82">
        <f t="shared" si="422"/>
        <v>0</v>
      </c>
      <c r="AH29" s="472">
        <f t="shared" si="422"/>
        <v>0</v>
      </c>
      <c r="AI29" s="472">
        <f t="shared" si="422"/>
        <v>0</v>
      </c>
      <c r="AJ29" s="472">
        <f t="shared" si="422"/>
        <v>0</v>
      </c>
      <c r="AK29" s="472">
        <f t="shared" si="422"/>
        <v>0</v>
      </c>
      <c r="AL29" s="472">
        <f t="shared" ref="AL29:BQ29" si="423">+IF(AL$3&lt;$C$33,0,IF(AND(AL$3&gt;=$C$33,AK29&lt;12, $C$34&gt;=AL$3),AK29+1,0))</f>
        <v>0</v>
      </c>
      <c r="AM29" s="472">
        <f t="shared" si="423"/>
        <v>0</v>
      </c>
      <c r="AN29" s="472">
        <f t="shared" si="423"/>
        <v>0</v>
      </c>
      <c r="AO29" s="472">
        <f t="shared" si="423"/>
        <v>0</v>
      </c>
      <c r="AP29" s="472">
        <f t="shared" si="423"/>
        <v>0</v>
      </c>
      <c r="AQ29" s="472">
        <f t="shared" si="423"/>
        <v>0</v>
      </c>
      <c r="AR29" s="472">
        <f t="shared" si="423"/>
        <v>0</v>
      </c>
      <c r="AS29" s="472">
        <f t="shared" si="423"/>
        <v>0</v>
      </c>
      <c r="AT29" s="472">
        <f t="shared" si="423"/>
        <v>0</v>
      </c>
      <c r="AU29" s="472">
        <f t="shared" si="423"/>
        <v>0</v>
      </c>
      <c r="AV29" s="472">
        <f t="shared" si="423"/>
        <v>0</v>
      </c>
      <c r="AW29" s="472">
        <f t="shared" si="423"/>
        <v>0</v>
      </c>
      <c r="AX29" s="472">
        <f t="shared" si="423"/>
        <v>0</v>
      </c>
      <c r="AY29" s="472">
        <f t="shared" si="423"/>
        <v>1</v>
      </c>
      <c r="AZ29" s="472">
        <f t="shared" si="423"/>
        <v>2</v>
      </c>
      <c r="BA29" s="472">
        <f t="shared" si="423"/>
        <v>3</v>
      </c>
      <c r="BB29" s="472">
        <f t="shared" si="423"/>
        <v>4</v>
      </c>
      <c r="BC29" s="472">
        <f t="shared" si="423"/>
        <v>5</v>
      </c>
      <c r="BD29" s="472">
        <f t="shared" si="423"/>
        <v>6</v>
      </c>
      <c r="BE29" s="472">
        <f t="shared" si="423"/>
        <v>7</v>
      </c>
      <c r="BF29" s="472">
        <f t="shared" si="423"/>
        <v>8</v>
      </c>
      <c r="BG29" s="472">
        <f t="shared" si="423"/>
        <v>9</v>
      </c>
      <c r="BH29" s="472">
        <f t="shared" si="423"/>
        <v>10</v>
      </c>
      <c r="BI29" s="472">
        <f t="shared" si="423"/>
        <v>11</v>
      </c>
      <c r="BJ29" s="472">
        <f t="shared" si="423"/>
        <v>12</v>
      </c>
      <c r="BK29" s="472">
        <f t="shared" si="423"/>
        <v>0</v>
      </c>
      <c r="BL29" s="472">
        <f t="shared" si="423"/>
        <v>0</v>
      </c>
      <c r="BM29" s="472">
        <f t="shared" si="423"/>
        <v>0</v>
      </c>
      <c r="BN29" s="472">
        <f t="shared" si="423"/>
        <v>0</v>
      </c>
      <c r="BO29" s="472">
        <f t="shared" si="423"/>
        <v>0</v>
      </c>
      <c r="BP29" s="472">
        <f t="shared" si="423"/>
        <v>0</v>
      </c>
      <c r="BQ29" s="472">
        <f t="shared" si="423"/>
        <v>0</v>
      </c>
      <c r="BR29" s="472">
        <f t="shared" ref="BR29:CV29" si="424">+IF(BR$3&lt;$C$33,0,IF(AND(BR$3&gt;=$C$33,BQ29&lt;12, $C$34&gt;=BR$3),BQ29+1,0))</f>
        <v>0</v>
      </c>
      <c r="BS29" s="472">
        <f t="shared" si="424"/>
        <v>0</v>
      </c>
      <c r="BT29" s="472">
        <f t="shared" si="424"/>
        <v>0</v>
      </c>
      <c r="BU29" s="472">
        <f t="shared" si="424"/>
        <v>0</v>
      </c>
      <c r="BV29" s="472">
        <f t="shared" si="424"/>
        <v>0</v>
      </c>
      <c r="BW29" s="472">
        <f t="shared" si="424"/>
        <v>0</v>
      </c>
      <c r="BX29" s="472">
        <f t="shared" si="424"/>
        <v>0</v>
      </c>
      <c r="BY29" s="472">
        <f t="shared" si="424"/>
        <v>0</v>
      </c>
      <c r="BZ29" s="472">
        <f t="shared" si="424"/>
        <v>0</v>
      </c>
      <c r="CA29" s="472">
        <f t="shared" si="424"/>
        <v>0</v>
      </c>
      <c r="CB29" s="472">
        <f t="shared" si="424"/>
        <v>0</v>
      </c>
      <c r="CC29" s="472">
        <f t="shared" si="424"/>
        <v>0</v>
      </c>
      <c r="CD29" s="472">
        <f t="shared" si="424"/>
        <v>0</v>
      </c>
      <c r="CE29" s="472">
        <f t="shared" si="424"/>
        <v>0</v>
      </c>
      <c r="CF29" s="472">
        <f t="shared" si="424"/>
        <v>0</v>
      </c>
      <c r="CG29" s="472">
        <f t="shared" si="424"/>
        <v>0</v>
      </c>
      <c r="CH29" s="472">
        <f t="shared" si="424"/>
        <v>0</v>
      </c>
      <c r="CI29" s="472">
        <f t="shared" si="424"/>
        <v>0</v>
      </c>
      <c r="CJ29" s="472">
        <f t="shared" si="424"/>
        <v>0</v>
      </c>
      <c r="CK29" s="472">
        <f t="shared" si="424"/>
        <v>0</v>
      </c>
      <c r="CL29" s="472">
        <f t="shared" si="424"/>
        <v>0</v>
      </c>
      <c r="CM29" s="472">
        <f t="shared" si="424"/>
        <v>0</v>
      </c>
      <c r="CN29" s="472">
        <f t="shared" si="424"/>
        <v>0</v>
      </c>
      <c r="CO29" s="472">
        <f t="shared" si="424"/>
        <v>0</v>
      </c>
      <c r="CP29" s="472">
        <f t="shared" si="424"/>
        <v>0</v>
      </c>
      <c r="CQ29" s="472">
        <f t="shared" si="424"/>
        <v>0</v>
      </c>
      <c r="CR29" s="472">
        <f t="shared" si="424"/>
        <v>0</v>
      </c>
      <c r="CS29" s="472">
        <f t="shared" si="424"/>
        <v>0</v>
      </c>
      <c r="CT29" s="472">
        <f t="shared" si="424"/>
        <v>0</v>
      </c>
      <c r="CU29" s="472">
        <f t="shared" si="424"/>
        <v>0</v>
      </c>
      <c r="CV29" s="472">
        <f t="shared" si="424"/>
        <v>0</v>
      </c>
      <c r="CW29" s="472">
        <f t="shared" ref="CW29:DG29" si="425">+IF(CW$3&lt;$C$33,0,IF(AND(CW$3&gt;=$C$33,CV29&lt;12, $C$34&gt;=CW$3),CV29+1,0))</f>
        <v>0</v>
      </c>
      <c r="CX29" s="472">
        <f t="shared" si="425"/>
        <v>0</v>
      </c>
      <c r="CY29" s="472">
        <f t="shared" si="425"/>
        <v>0</v>
      </c>
      <c r="CZ29" s="472">
        <f t="shared" si="425"/>
        <v>0</v>
      </c>
      <c r="DA29" s="472">
        <f t="shared" si="425"/>
        <v>0</v>
      </c>
      <c r="DB29" s="472">
        <f t="shared" si="425"/>
        <v>0</v>
      </c>
      <c r="DC29" s="472">
        <f t="shared" si="425"/>
        <v>0</v>
      </c>
      <c r="DD29" s="472">
        <f t="shared" si="425"/>
        <v>0</v>
      </c>
      <c r="DE29" s="472">
        <f t="shared" si="425"/>
        <v>0</v>
      </c>
      <c r="DF29" s="472">
        <f t="shared" si="425"/>
        <v>0</v>
      </c>
      <c r="DG29" s="472">
        <f t="shared" si="425"/>
        <v>0</v>
      </c>
      <c r="DH29" s="472">
        <f t="shared" ref="DH29" si="426">+IF(DH$3&lt;$C$33,0,IF(AND(DH$3&gt;=$C$33,DG29&lt;12, $C$34&gt;=DH$3),DG29+1,0))</f>
        <v>0</v>
      </c>
    </row>
    <row r="30" spans="2:112" x14ac:dyDescent="0.25">
      <c r="B30" t="s">
        <v>364</v>
      </c>
      <c r="D30" t="s">
        <v>232</v>
      </c>
      <c r="E30" s="422"/>
      <c r="F30" s="422">
        <f>+IFERROR(INDEX(Assumptions!$F$5:$F$16, MATCH(F29, Assumptions!$D$5:$D$16, 0))*$C$31, 0)</f>
        <v>0</v>
      </c>
      <c r="G30" s="422">
        <f>+IFERROR(INDEX(Assumptions!$F$5:$F$16, MATCH(G29, Assumptions!$D$5:$D$16, 0))*$C$31, 0)</f>
        <v>0</v>
      </c>
      <c r="H30" s="422">
        <f>+IFERROR(INDEX(Assumptions!$F$5:$F$16, MATCH(H29, Assumptions!$D$5:$D$16, 0))*$C$31, 0)</f>
        <v>0</v>
      </c>
      <c r="I30" s="422">
        <f>+IFERROR(INDEX(Assumptions!$F$5:$F$16, MATCH(I29, Assumptions!$D$5:$D$16, 0))*$C$31, 0)</f>
        <v>0</v>
      </c>
      <c r="J30" s="422">
        <f>+IFERROR(INDEX(Assumptions!$F$5:$F$16, MATCH(J29, Assumptions!$D$5:$D$16, 0))*$C$31, 0)</f>
        <v>0</v>
      </c>
      <c r="K30" s="422">
        <f>+IFERROR(INDEX(Assumptions!$F$5:$F$16, MATCH(K29, Assumptions!$D$5:$D$16, 0))*$C$31, 0)</f>
        <v>0</v>
      </c>
      <c r="L30" s="422">
        <f>+IFERROR(INDEX(Assumptions!$F$5:$F$16, MATCH(L29, Assumptions!$D$5:$D$16, 0))*$C$31, 0)</f>
        <v>0</v>
      </c>
      <c r="M30" s="422">
        <f>+IFERROR(INDEX(Assumptions!$F$5:$F$16, MATCH(M29, Assumptions!$D$5:$D$16, 0))*$C$31, 0)</f>
        <v>0</v>
      </c>
      <c r="N30" s="422">
        <f>+IFERROR(INDEX(Assumptions!$F$5:$F$16, MATCH(N29, Assumptions!$D$5:$D$16, 0))*$C$31, 0)</f>
        <v>0</v>
      </c>
      <c r="O30" s="422">
        <f>+IFERROR(INDEX(Assumptions!$F$5:$F$16, MATCH(O29, Assumptions!$D$5:$D$16, 0))*$C$31, 0)</f>
        <v>0</v>
      </c>
      <c r="P30" s="422">
        <f>+IFERROR(INDEX(Assumptions!$F$5:$F$16, MATCH(P29, Assumptions!$D$5:$D$16, 0))*$C$31, 0)</f>
        <v>0</v>
      </c>
      <c r="Q30" s="422">
        <f>+IFERROR(INDEX(Assumptions!$F$5:$F$16, MATCH(Q29, Assumptions!$D$5:$D$16, 0))*$C$31, 0)</f>
        <v>0</v>
      </c>
      <c r="R30" s="494">
        <f>+IFERROR(INDEX(Assumptions!$F$5:$F$16, MATCH(R29, Assumptions!$D$5:$D$16, 0))*$C$31, 0)</f>
        <v>0</v>
      </c>
      <c r="S30" s="422">
        <f>+IFERROR(INDEX(Assumptions!$F$5:$F$16, MATCH(S29, Assumptions!$D$5:$D$16, 0))*$C$31, 0)</f>
        <v>0</v>
      </c>
      <c r="T30" s="422">
        <f>+IFERROR(INDEX(Assumptions!$F$5:$F$16, MATCH(T29, Assumptions!$D$5:$D$16, 0))*$C$31, 0)</f>
        <v>0</v>
      </c>
      <c r="U30" s="422">
        <f>+IFERROR(INDEX(Assumptions!$F$5:$F$16, MATCH(U29, Assumptions!$D$5:$D$16, 0))*$C$31, 0)</f>
        <v>0</v>
      </c>
      <c r="V30" s="494">
        <f>+IFERROR(INDEX(Assumptions!$F$5:$F$16, MATCH(V29, Assumptions!$D$5:$D$16, 0))*$C$31, 0)</f>
        <v>0</v>
      </c>
      <c r="W30" s="146">
        <f>+IFERROR(INDEX(Assumptions!$F$5:$F$16, MATCH(W29, Assumptions!$D$5:$D$16, 0))*$C$31, 0)</f>
        <v>0</v>
      </c>
      <c r="X30" s="146">
        <f>+IFERROR(INDEX(Assumptions!$F$5:$F$16, MATCH(X29, Assumptions!$D$5:$D$16, 0))*$C$31, 0)</f>
        <v>0</v>
      </c>
      <c r="Y30" s="146">
        <f>+IFERROR(INDEX(Assumptions!$F$5:$F$16, MATCH(Y29, Assumptions!$D$5:$D$16, 0))*$C$31, 0)</f>
        <v>0</v>
      </c>
      <c r="Z30" s="146">
        <f>+IFERROR(INDEX(Assumptions!$F$5:$F$16, MATCH(Z29, Assumptions!$D$5:$D$16, 0))*$C$31, 0)</f>
        <v>0</v>
      </c>
      <c r="AA30" s="146">
        <f>+IFERROR(INDEX(Assumptions!$F$5:$F$16, MATCH(AA29, Assumptions!$D$5:$D$16, 0))*$C$31, 0)</f>
        <v>0</v>
      </c>
      <c r="AB30" s="146">
        <f>+IFERROR(INDEX(Assumptions!$F$5:$F$16, MATCH(AB29, Assumptions!$D$5:$D$16, 0))*$C$31, 0)</f>
        <v>0</v>
      </c>
      <c r="AC30" s="146">
        <f>+IFERROR(INDEX(Assumptions!$F$5:$F$16, MATCH(AC29, Assumptions!$D$5:$D$16, 0))*$C$31, 0)</f>
        <v>0</v>
      </c>
      <c r="AD30" s="146">
        <f>+IFERROR(INDEX(Assumptions!$F$5:$F$16, MATCH(AD29, Assumptions!$D$5:$D$16, 0))*$C$31, 0)</f>
        <v>0</v>
      </c>
      <c r="AE30" s="146">
        <f>+IFERROR(INDEX(Assumptions!$F$5:$F$16, MATCH(AE29, Assumptions!$D$5:$D$16, 0))*$C$31, 0)</f>
        <v>0</v>
      </c>
      <c r="AF30" s="245">
        <f>+IFERROR(INDEX(Assumptions!$F$5:$F$16, MATCH(AF29, Assumptions!$D$5:$D$16, 0))*$C$31, 0)</f>
        <v>0</v>
      </c>
      <c r="AG30" s="146">
        <f>+IFERROR(INDEX(Assumptions!$F$5:$F$16, MATCH(AG29, Assumptions!$D$5:$D$16, 0))*$C$31, 0)</f>
        <v>0</v>
      </c>
      <c r="AH30" s="245">
        <f>+IFERROR(INDEX(Assumptions!$F$5:$F$16, MATCH(AH29, Assumptions!$D$5:$D$16, 0))*$C$31, 0)</f>
        <v>0</v>
      </c>
      <c r="AI30" s="245">
        <f>+IFERROR(INDEX(Assumptions!$F$5:$F$16, MATCH(AI29, Assumptions!$D$5:$D$16, 0))*$C$31, 0)</f>
        <v>0</v>
      </c>
      <c r="AJ30" s="245">
        <f>+IFERROR(INDEX(Assumptions!$F$5:$F$16, MATCH(AJ29, Assumptions!$D$5:$D$16, 0))*$C$31, 0)</f>
        <v>0</v>
      </c>
      <c r="AK30" s="245">
        <f>+IFERROR(INDEX(Assumptions!$F$5:$F$16, MATCH(AK29, Assumptions!$D$5:$D$16, 0))*$C$31, 0)</f>
        <v>0</v>
      </c>
      <c r="AL30" s="245">
        <f>+IFERROR(INDEX(Assumptions!$F$5:$F$16, MATCH(AL29, Assumptions!$D$5:$D$16, 0))*$C$31, 0)</f>
        <v>0</v>
      </c>
      <c r="AM30" s="245">
        <f>+IFERROR(INDEX(Assumptions!$F$5:$F$16, MATCH(AM29, Assumptions!$D$5:$D$16, 0))*$C$31, 0)</f>
        <v>0</v>
      </c>
      <c r="AN30" s="245">
        <f>+IFERROR(INDEX(Assumptions!$F$5:$F$16, MATCH(AN29, Assumptions!$D$5:$D$16, 0))*$C$31, 0)</f>
        <v>0</v>
      </c>
      <c r="AO30" s="245">
        <f>+IFERROR(INDEX(Assumptions!$F$5:$F$16, MATCH(AO29, Assumptions!$D$5:$D$16, 0))*$C$31, 0)</f>
        <v>0</v>
      </c>
      <c r="AP30" s="245">
        <f>+IFERROR(INDEX(Assumptions!$F$5:$F$16, MATCH(AP29, Assumptions!$D$5:$D$16, 0))*$C$31, 0)</f>
        <v>0</v>
      </c>
      <c r="AQ30" s="245">
        <f>+IFERROR(INDEX(Assumptions!$F$5:$F$16, MATCH(AQ29, Assumptions!$D$5:$D$16, 0))*$C$31, 0)</f>
        <v>0</v>
      </c>
      <c r="AR30" s="245">
        <f>+IFERROR(INDEX(Assumptions!$F$5:$F$16, MATCH(AR29, Assumptions!$D$5:$D$16, 0))*$C$31, 0)</f>
        <v>0</v>
      </c>
      <c r="AS30" s="245">
        <f>+IFERROR(INDEX(Assumptions!$F$5:$F$16, MATCH(AS29, Assumptions!$D$5:$D$16, 0))*$C$31, 0)</f>
        <v>0</v>
      </c>
      <c r="AT30" s="245">
        <f>+IFERROR(INDEX(Assumptions!$F$5:$F$16, MATCH(AT29, Assumptions!$D$5:$D$16, 0))*$C$31, 0)</f>
        <v>0</v>
      </c>
      <c r="AU30" s="245">
        <f>+IFERROR(INDEX(Assumptions!$F$5:$F$16, MATCH(AU29, Assumptions!$D$5:$D$16, 0))*$C$31, 0)</f>
        <v>0</v>
      </c>
      <c r="AV30" s="245">
        <f>+IFERROR(INDEX(Assumptions!$F$5:$F$16, MATCH(AV29, Assumptions!$D$5:$D$16, 0))*$C$31, 0)</f>
        <v>0</v>
      </c>
      <c r="AW30" s="245">
        <f>+IFERROR(INDEX(Assumptions!$F$5:$F$16, MATCH(AW29, Assumptions!$D$5:$D$16, 0))*$C$31, 0)</f>
        <v>0</v>
      </c>
      <c r="AX30" s="245">
        <f>+IFERROR(INDEX(Assumptions!$F$5:$F$16, MATCH(AX29, Assumptions!$D$5:$D$16, 0))*$C$31, 0)</f>
        <v>0</v>
      </c>
      <c r="AY30" s="245">
        <f>+IFERROR(INDEX(Assumptions!$F$5:$F$16, MATCH(AY29, Assumptions!$D$5:$D$16, 0))*$C$31, 0)</f>
        <v>0</v>
      </c>
      <c r="AZ30" s="245">
        <f>+IFERROR(INDEX(Assumptions!$F$5:$F$16, MATCH(AZ29, Assumptions!$D$5:$D$16, 0))*$C$31, 0)</f>
        <v>12957.99231626547</v>
      </c>
      <c r="BA30" s="245">
        <f>+IFERROR(INDEX(Assumptions!$F$5:$F$16, MATCH(BA29, Assumptions!$D$5:$D$16, 0))*$C$31, 0)</f>
        <v>1853.3208551221362</v>
      </c>
      <c r="BB30" s="245">
        <f>+IFERROR(INDEX(Assumptions!$F$5:$F$16, MATCH(BB29, Assumptions!$D$5:$D$16, 0))*$C$31, 0)</f>
        <v>76806.84061809571</v>
      </c>
      <c r="BC30" s="245">
        <f>+IFERROR(INDEX(Assumptions!$F$5:$F$16, MATCH(BC29, Assumptions!$D$5:$D$16, 0))*$C$31, 0)</f>
        <v>6933.2504385075263</v>
      </c>
      <c r="BD30" s="245">
        <f>+IFERROR(INDEX(Assumptions!$F$5:$F$16, MATCH(BD29, Assumptions!$D$5:$D$16, 0))*$C$31, 0)</f>
        <v>313652.51317686471</v>
      </c>
      <c r="BE30" s="245">
        <f>+IFERROR(INDEX(Assumptions!$F$5:$F$16, MATCH(BE29, Assumptions!$D$5:$D$16, 0))*$C$31, 0)</f>
        <v>562485.20571418072</v>
      </c>
      <c r="BF30" s="245">
        <f>+IFERROR(INDEX(Assumptions!$F$5:$F$16, MATCH(BF29, Assumptions!$D$5:$D$16, 0))*$C$31, 0)</f>
        <v>379012.27558570716</v>
      </c>
      <c r="BG30" s="245">
        <f>+IFERROR(INDEX(Assumptions!$F$5:$F$16, MATCH(BG29, Assumptions!$D$5:$D$16, 0))*$C$31, 0)</f>
        <v>250100.61568776774</v>
      </c>
      <c r="BH30" s="245">
        <f>+IFERROR(INDEX(Assumptions!$F$5:$F$16, MATCH(BH29, Assumptions!$D$5:$D$16, 0))*$C$31, 0)</f>
        <v>52361.042794773093</v>
      </c>
      <c r="BI30" s="245">
        <f>+IFERROR(INDEX(Assumptions!$F$5:$F$16, MATCH(BI29, Assumptions!$D$5:$D$16, 0))*$C$31, 0)</f>
        <v>400981.18254108966</v>
      </c>
      <c r="BJ30" s="245">
        <f>+IFERROR(INDEX(Assumptions!$F$5:$F$16, MATCH(BJ29, Assumptions!$D$5:$D$16, 0))*$C$31, 0)</f>
        <v>92855.760271626001</v>
      </c>
      <c r="BK30" s="245">
        <f>+IFERROR(INDEX(Assumptions!$F$5:$F$16, MATCH(BK29, Assumptions!$D$5:$D$16, 0))*$C$31, 0)</f>
        <v>0</v>
      </c>
      <c r="BL30" s="245">
        <f>+IFERROR(INDEX(Assumptions!$F$5:$F$16, MATCH(BL29, Assumptions!$D$5:$D$16, 0))*$C$31, 0)</f>
        <v>0</v>
      </c>
      <c r="BM30" s="245">
        <f>+IFERROR(INDEX(Assumptions!$F$5:$F$16, MATCH(BM29, Assumptions!$D$5:$D$16, 0))*$C$31, 0)</f>
        <v>0</v>
      </c>
      <c r="BN30" s="245">
        <f>+IFERROR(INDEX(Assumptions!$F$5:$F$16, MATCH(BN29, Assumptions!$D$5:$D$16, 0))*$C$31, 0)</f>
        <v>0</v>
      </c>
      <c r="BO30" s="245">
        <f>+IFERROR(INDEX(Assumptions!$F$5:$F$16, MATCH(BO29, Assumptions!$D$5:$D$16, 0))*$C$31, 0)</f>
        <v>0</v>
      </c>
      <c r="BP30" s="245">
        <f>+IFERROR(INDEX(Assumptions!$F$5:$F$16, MATCH(BP29, Assumptions!$D$5:$D$16, 0))*$C$31, 0)</f>
        <v>0</v>
      </c>
      <c r="BQ30" s="245">
        <f>+IFERROR(INDEX(Assumptions!$F$5:$F$16, MATCH(BQ29, Assumptions!$D$5:$D$16, 0))*$C$31, 0)</f>
        <v>0</v>
      </c>
      <c r="BR30" s="245">
        <f>+IFERROR(INDEX(Assumptions!$F$5:$F$16, MATCH(BR29, Assumptions!$D$5:$D$16, 0))*$C$31, 0)</f>
        <v>0</v>
      </c>
      <c r="BS30" s="245">
        <f>+IFERROR(INDEX(Assumptions!$F$5:$F$16, MATCH(BS29, Assumptions!$D$5:$D$16, 0))*$C$31, 0)</f>
        <v>0</v>
      </c>
      <c r="BT30" s="245">
        <f>+IFERROR(INDEX(Assumptions!$F$5:$F$16, MATCH(BT29, Assumptions!$D$5:$D$16, 0))*$C$31, 0)</f>
        <v>0</v>
      </c>
      <c r="BU30" s="245">
        <f>+IFERROR(INDEX(Assumptions!$F$5:$F$16, MATCH(BU29, Assumptions!$D$5:$D$16, 0))*$C$31, 0)</f>
        <v>0</v>
      </c>
      <c r="BV30" s="245">
        <f>+IFERROR(INDEX(Assumptions!$F$5:$F$16, MATCH(BV29, Assumptions!$D$5:$D$16, 0))*$C$31, 0)</f>
        <v>0</v>
      </c>
      <c r="BW30" s="245">
        <f>+IFERROR(INDEX(Assumptions!$F$5:$F$16, MATCH(BW29, Assumptions!$D$5:$D$16, 0))*$C$31, 0)</f>
        <v>0</v>
      </c>
      <c r="BX30" s="245">
        <f>+IFERROR(INDEX(Assumptions!$F$5:$F$16, MATCH(BX29, Assumptions!$D$5:$D$16, 0))*$C$31, 0)</f>
        <v>0</v>
      </c>
      <c r="BY30" s="245">
        <f>+IFERROR(INDEX(Assumptions!$F$5:$F$16, MATCH(BY29, Assumptions!$D$5:$D$16, 0))*$C$31, 0)</f>
        <v>0</v>
      </c>
      <c r="BZ30" s="245">
        <f>+IFERROR(INDEX(Assumptions!$F$5:$F$16, MATCH(BZ29, Assumptions!$D$5:$D$16, 0))*$C$31, 0)</f>
        <v>0</v>
      </c>
      <c r="CA30" s="245">
        <f>+IFERROR(INDEX(Assumptions!$F$5:$F$16, MATCH(CA29, Assumptions!$D$5:$D$16, 0))*$C$31, 0)</f>
        <v>0</v>
      </c>
      <c r="CB30" s="245">
        <f>+IFERROR(INDEX(Assumptions!$F$5:$F$16, MATCH(CB29, Assumptions!$D$5:$D$16, 0))*$C$31, 0)</f>
        <v>0</v>
      </c>
      <c r="CC30" s="245">
        <f>+IFERROR(INDEX(Assumptions!$F$5:$F$16, MATCH(CC29, Assumptions!$D$5:$D$16, 0))*$C$31, 0)</f>
        <v>0</v>
      </c>
      <c r="CD30" s="245">
        <f>+IFERROR(INDEX(Assumptions!$F$5:$F$16, MATCH(CD29, Assumptions!$D$5:$D$16, 0))*$C$31, 0)</f>
        <v>0</v>
      </c>
      <c r="CE30" s="245">
        <f>+IFERROR(INDEX(Assumptions!$F$5:$F$16, MATCH(CE29, Assumptions!$D$5:$D$16, 0))*$C$31, 0)</f>
        <v>0</v>
      </c>
      <c r="CF30" s="245">
        <f>+IFERROR(INDEX(Assumptions!$F$5:$F$16, MATCH(CF29, Assumptions!$D$5:$D$16, 0))*$C$31, 0)</f>
        <v>0</v>
      </c>
      <c r="CG30" s="245">
        <f>+IFERROR(INDEX(Assumptions!$F$5:$F$16, MATCH(CG29, Assumptions!$D$5:$D$16, 0))*$C$31, 0)</f>
        <v>0</v>
      </c>
      <c r="CH30" s="245">
        <f>+IFERROR(INDEX(Assumptions!$F$5:$F$16, MATCH(CH29, Assumptions!$D$5:$D$16, 0))*$C$31, 0)</f>
        <v>0</v>
      </c>
      <c r="CI30" s="245">
        <f>+IFERROR(INDEX(Assumptions!$F$5:$F$16, MATCH(CI29, Assumptions!$D$5:$D$16, 0))*$C$31, 0)</f>
        <v>0</v>
      </c>
      <c r="CJ30" s="245">
        <f>+IFERROR(INDEX(Assumptions!$F$5:$F$16, MATCH(CJ29, Assumptions!$D$5:$D$16, 0))*$C$31, 0)</f>
        <v>0</v>
      </c>
      <c r="CK30" s="245">
        <f>+IFERROR(INDEX(Assumptions!$F$5:$F$16, MATCH(CK29, Assumptions!$D$5:$D$16, 0))*$C$31, 0)</f>
        <v>0</v>
      </c>
      <c r="CL30" s="245">
        <f>+IFERROR(INDEX(Assumptions!$F$5:$F$16, MATCH(CL29, Assumptions!$D$5:$D$16, 0))*$C$31, 0)</f>
        <v>0</v>
      </c>
      <c r="CM30" s="245">
        <f>+IFERROR(INDEX(Assumptions!$F$5:$F$16, MATCH(CM29, Assumptions!$D$5:$D$16, 0))*$C$31, 0)</f>
        <v>0</v>
      </c>
      <c r="CN30" s="245">
        <f>+IFERROR(INDEX(Assumptions!$F$5:$F$16, MATCH(CN29, Assumptions!$D$5:$D$16, 0))*$C$31, 0)</f>
        <v>0</v>
      </c>
      <c r="CO30" s="245">
        <f>+IFERROR(INDEX(Assumptions!$F$5:$F$16, MATCH(CO29, Assumptions!$D$5:$D$16, 0))*$C$31, 0)</f>
        <v>0</v>
      </c>
      <c r="CP30" s="245">
        <f>+IFERROR(INDEX(Assumptions!$F$5:$F$16, MATCH(CP29, Assumptions!$D$5:$D$16, 0))*$C$31, 0)</f>
        <v>0</v>
      </c>
      <c r="CQ30" s="245">
        <f>+IFERROR(INDEX(Assumptions!$F$5:$F$16, MATCH(CQ29, Assumptions!$D$5:$D$16, 0))*$C$31, 0)</f>
        <v>0</v>
      </c>
      <c r="CR30" s="245">
        <f>+IFERROR(INDEX(Assumptions!$F$5:$F$16, MATCH(CR29, Assumptions!$D$5:$D$16, 0))*$C$31, 0)</f>
        <v>0</v>
      </c>
      <c r="CS30" s="245">
        <f>+IFERROR(INDEX(Assumptions!$F$5:$F$16, MATCH(CS29, Assumptions!$D$5:$D$16, 0))*$C$31, 0)</f>
        <v>0</v>
      </c>
      <c r="CT30" s="245">
        <f>+IFERROR(INDEX(Assumptions!$F$5:$F$16, MATCH(CT29, Assumptions!$D$5:$D$16, 0))*$C$31, 0)</f>
        <v>0</v>
      </c>
      <c r="CU30" s="245">
        <f>+IFERROR(INDEX(Assumptions!$F$5:$F$16, MATCH(CU29, Assumptions!$D$5:$D$16, 0))*$C$31, 0)</f>
        <v>0</v>
      </c>
      <c r="CV30" s="245">
        <f>+IFERROR(INDEX(Assumptions!$F$5:$F$16, MATCH(CV29, Assumptions!$D$5:$D$16, 0))*$C$31, 0)</f>
        <v>0</v>
      </c>
      <c r="CW30" s="245">
        <f>+IFERROR(INDEX(Assumptions!$F$5:$F$16, MATCH(CW29, Assumptions!$D$5:$D$16, 0))*$C$31, 0)</f>
        <v>0</v>
      </c>
      <c r="CX30" s="245">
        <f>+IFERROR(INDEX(Assumptions!$F$5:$F$16, MATCH(CX29, Assumptions!$D$5:$D$16, 0))*$C$31, 0)</f>
        <v>0</v>
      </c>
      <c r="CY30" s="245">
        <f>+IFERROR(INDEX(Assumptions!$F$5:$F$16, MATCH(CY29, Assumptions!$D$5:$D$16, 0))*$C$31, 0)</f>
        <v>0</v>
      </c>
      <c r="CZ30" s="245">
        <f>+IFERROR(INDEX(Assumptions!$F$5:$F$16, MATCH(CZ29, Assumptions!$D$5:$D$16, 0))*$C$31, 0)</f>
        <v>0</v>
      </c>
      <c r="DA30" s="245">
        <f>+IFERROR(INDEX(Assumptions!$F$5:$F$16, MATCH(DA29, Assumptions!$D$5:$D$16, 0))*$C$31, 0)</f>
        <v>0</v>
      </c>
      <c r="DB30" s="245">
        <f>+IFERROR(INDEX(Assumptions!$F$5:$F$16, MATCH(DB29, Assumptions!$D$5:$D$16, 0))*$C$31, 0)</f>
        <v>0</v>
      </c>
      <c r="DC30" s="245">
        <f>+IFERROR(INDEX(Assumptions!$F$5:$F$16, MATCH(DC29, Assumptions!$D$5:$D$16, 0))*$C$31, 0)</f>
        <v>0</v>
      </c>
      <c r="DD30" s="245">
        <f>+IFERROR(INDEX(Assumptions!$F$5:$F$16, MATCH(DD29, Assumptions!$D$5:$D$16, 0))*$C$31, 0)</f>
        <v>0</v>
      </c>
      <c r="DE30" s="245">
        <f>+IFERROR(INDEX(Assumptions!$F$5:$F$16, MATCH(DE29, Assumptions!$D$5:$D$16, 0))*$C$31, 0)</f>
        <v>0</v>
      </c>
      <c r="DF30" s="245">
        <f>+IFERROR(INDEX(Assumptions!$F$5:$F$16, MATCH(DF29, Assumptions!$D$5:$D$16, 0))*$C$31, 0)</f>
        <v>0</v>
      </c>
      <c r="DG30" s="245">
        <f>+IFERROR(INDEX(Assumptions!$F$5:$F$16, MATCH(DG29, Assumptions!$D$5:$D$16, 0))*$C$31, 0)</f>
        <v>0</v>
      </c>
      <c r="DH30" s="245">
        <f>+IFERROR(INDEX(Assumptions!$F$5:$F$16, MATCH(DH29, Assumptions!$D$5:$D$16, 0))*$C$31, 0)</f>
        <v>0</v>
      </c>
    </row>
    <row r="31" spans="2:112" x14ac:dyDescent="0.25">
      <c r="B31" t="s">
        <v>230</v>
      </c>
      <c r="C31" s="196">
        <v>2150000</v>
      </c>
      <c r="D31" t="s">
        <v>282</v>
      </c>
      <c r="E31" s="422"/>
      <c r="F31" s="422">
        <f t="shared" ref="F31" si="427">+F30+E31</f>
        <v>0</v>
      </c>
      <c r="G31" s="422">
        <f t="shared" ref="G31" si="428">+G30+F31</f>
        <v>0</v>
      </c>
      <c r="H31" s="422">
        <f t="shared" ref="H31" si="429">+H30+G31</f>
        <v>0</v>
      </c>
      <c r="I31" s="422">
        <f t="shared" ref="I31" si="430">+I30+H31</f>
        <v>0</v>
      </c>
      <c r="J31" s="422">
        <f t="shared" ref="J31" si="431">+J30+I31</f>
        <v>0</v>
      </c>
      <c r="K31" s="422">
        <f t="shared" ref="K31" si="432">+K30+J31</f>
        <v>0</v>
      </c>
      <c r="L31" s="422">
        <f t="shared" ref="L31" si="433">+L30+K31</f>
        <v>0</v>
      </c>
      <c r="M31" s="422">
        <f t="shared" ref="M31" si="434">+M30+L31</f>
        <v>0</v>
      </c>
      <c r="N31" s="422">
        <f t="shared" ref="N31" si="435">+N30+M31</f>
        <v>0</v>
      </c>
      <c r="O31" s="422">
        <f t="shared" ref="O31" si="436">+O30+N31</f>
        <v>0</v>
      </c>
      <c r="P31" s="422">
        <f t="shared" ref="P31" si="437">+P30+O31</f>
        <v>0</v>
      </c>
      <c r="Q31" s="422">
        <f t="shared" ref="Q31" si="438">+Q30+P31</f>
        <v>0</v>
      </c>
      <c r="R31" s="494">
        <f t="shared" ref="R31" si="439">+R30+Q31</f>
        <v>0</v>
      </c>
      <c r="S31" s="422">
        <f t="shared" ref="S31" si="440">+S30+R31</f>
        <v>0</v>
      </c>
      <c r="T31" s="422">
        <f t="shared" ref="T31" si="441">+T30+S31</f>
        <v>0</v>
      </c>
      <c r="U31" s="422">
        <f t="shared" ref="U31" si="442">+U30+T31</f>
        <v>0</v>
      </c>
      <c r="V31" s="494">
        <f t="shared" ref="V31" si="443">+V30+U31</f>
        <v>0</v>
      </c>
      <c r="W31" s="146">
        <f t="shared" ref="W31:AK31" si="444">+W30+V31</f>
        <v>0</v>
      </c>
      <c r="X31" s="146">
        <f t="shared" si="444"/>
        <v>0</v>
      </c>
      <c r="Y31" s="146">
        <f t="shared" si="444"/>
        <v>0</v>
      </c>
      <c r="Z31" s="146">
        <f t="shared" si="444"/>
        <v>0</v>
      </c>
      <c r="AA31" s="146">
        <f t="shared" si="444"/>
        <v>0</v>
      </c>
      <c r="AB31" s="146">
        <f t="shared" si="444"/>
        <v>0</v>
      </c>
      <c r="AC31" s="146">
        <f t="shared" si="444"/>
        <v>0</v>
      </c>
      <c r="AD31" s="146">
        <f t="shared" si="444"/>
        <v>0</v>
      </c>
      <c r="AE31" s="146">
        <f t="shared" si="444"/>
        <v>0</v>
      </c>
      <c r="AF31" s="245">
        <f t="shared" si="444"/>
        <v>0</v>
      </c>
      <c r="AG31" s="146">
        <f t="shared" si="444"/>
        <v>0</v>
      </c>
      <c r="AH31" s="245">
        <f t="shared" si="444"/>
        <v>0</v>
      </c>
      <c r="AI31" s="245">
        <f t="shared" si="444"/>
        <v>0</v>
      </c>
      <c r="AJ31" s="245">
        <f t="shared" si="444"/>
        <v>0</v>
      </c>
      <c r="AK31" s="245">
        <f t="shared" si="444"/>
        <v>0</v>
      </c>
      <c r="AL31" s="245">
        <f t="shared" ref="AL31" si="445">+AL30+AK31</f>
        <v>0</v>
      </c>
      <c r="AM31" s="245">
        <f t="shared" ref="AM31" si="446">+AM30+AL31</f>
        <v>0</v>
      </c>
      <c r="AN31" s="245">
        <f t="shared" ref="AN31" si="447">+AN30+AM31</f>
        <v>0</v>
      </c>
      <c r="AO31" s="245">
        <f t="shared" ref="AO31" si="448">+AO30+AN31</f>
        <v>0</v>
      </c>
      <c r="AP31" s="245">
        <f t="shared" ref="AP31" si="449">+AP30+AO31</f>
        <v>0</v>
      </c>
      <c r="AQ31" s="245">
        <f t="shared" ref="AQ31" si="450">+AQ30+AP31</f>
        <v>0</v>
      </c>
      <c r="AR31" s="245">
        <f t="shared" ref="AR31" si="451">+AR30+AQ31</f>
        <v>0</v>
      </c>
      <c r="AS31" s="245">
        <f t="shared" ref="AS31" si="452">+AS30+AR31</f>
        <v>0</v>
      </c>
      <c r="AT31" s="245">
        <f t="shared" ref="AT31" si="453">+AT30+AS31</f>
        <v>0</v>
      </c>
      <c r="AU31" s="245">
        <f t="shared" ref="AU31" si="454">+AU30+AT31</f>
        <v>0</v>
      </c>
      <c r="AV31" s="245">
        <f t="shared" ref="AV31" si="455">+AV30+AU31</f>
        <v>0</v>
      </c>
      <c r="AW31" s="245">
        <f t="shared" ref="AW31" si="456">+AW30+AV31</f>
        <v>0</v>
      </c>
      <c r="AX31" s="245">
        <f t="shared" ref="AX31" si="457">+AX30+AW31</f>
        <v>0</v>
      </c>
      <c r="AY31" s="245">
        <f t="shared" ref="AY31" si="458">+AY30+AX31</f>
        <v>0</v>
      </c>
      <c r="AZ31" s="245">
        <f t="shared" ref="AZ31" si="459">+AZ30+AY31</f>
        <v>12957.99231626547</v>
      </c>
      <c r="BA31" s="245">
        <f t="shared" ref="BA31" si="460">+BA30+AZ31</f>
        <v>14811.313171387606</v>
      </c>
      <c r="BB31" s="245">
        <f t="shared" ref="BB31" si="461">+BB30+BA31</f>
        <v>91618.153789483316</v>
      </c>
      <c r="BC31" s="245">
        <f t="shared" ref="BC31" si="462">+BC30+BB31</f>
        <v>98551.404227990846</v>
      </c>
      <c r="BD31" s="245">
        <f t="shared" ref="BD31" si="463">+BD30+BC31</f>
        <v>412203.91740485554</v>
      </c>
      <c r="BE31" s="245">
        <f t="shared" ref="BE31" si="464">+BE30+BD31</f>
        <v>974689.1231190362</v>
      </c>
      <c r="BF31" s="245">
        <f t="shared" ref="BF31" si="465">+BF30+BE31</f>
        <v>1353701.3987047435</v>
      </c>
      <c r="BG31" s="245">
        <f t="shared" ref="BG31" si="466">+BG30+BF31</f>
        <v>1603802.0143925112</v>
      </c>
      <c r="BH31" s="245">
        <f t="shared" ref="BH31" si="467">+BH30+BG31</f>
        <v>1656163.0571872843</v>
      </c>
      <c r="BI31" s="245">
        <f t="shared" ref="BI31" si="468">+BI30+BH31</f>
        <v>2057144.2397283739</v>
      </c>
      <c r="BJ31" s="245">
        <f t="shared" ref="BJ31" si="469">+BJ30+BI31</f>
        <v>2150000</v>
      </c>
      <c r="BK31" s="245">
        <f t="shared" ref="BK31" si="470">+BK30+BJ31</f>
        <v>2150000</v>
      </c>
      <c r="BL31" s="245">
        <f t="shared" ref="BL31" si="471">+BL30+BK31</f>
        <v>2150000</v>
      </c>
      <c r="BM31" s="245">
        <f t="shared" ref="BM31" si="472">+BM30+BL31</f>
        <v>2150000</v>
      </c>
      <c r="BN31" s="245">
        <f t="shared" ref="BN31" si="473">+BN30+BM31</f>
        <v>2150000</v>
      </c>
      <c r="BO31" s="245">
        <f t="shared" ref="BO31" si="474">+BO30+BN31</f>
        <v>2150000</v>
      </c>
      <c r="BP31" s="245">
        <f t="shared" ref="BP31" si="475">+BP30+BO31</f>
        <v>2150000</v>
      </c>
      <c r="BQ31" s="245">
        <f t="shared" ref="BQ31" si="476">+BQ30+BP31</f>
        <v>2150000</v>
      </c>
      <c r="BR31" s="245">
        <f t="shared" ref="BR31" si="477">+BR30+BQ31</f>
        <v>2150000</v>
      </c>
      <c r="BS31" s="245">
        <f t="shared" ref="BS31" si="478">+BS30+BR31</f>
        <v>2150000</v>
      </c>
      <c r="BT31" s="245">
        <f t="shared" ref="BT31" si="479">+BT30+BS31</f>
        <v>2150000</v>
      </c>
      <c r="BU31" s="245">
        <f t="shared" ref="BU31" si="480">+BU30+BT31</f>
        <v>2150000</v>
      </c>
      <c r="BV31" s="245">
        <f t="shared" ref="BV31" si="481">+BV30+BU31</f>
        <v>2150000</v>
      </c>
      <c r="BW31" s="245">
        <f t="shared" ref="BW31" si="482">+BW30+BV31</f>
        <v>2150000</v>
      </c>
      <c r="BX31" s="245">
        <f t="shared" ref="BX31" si="483">+BX30+BW31</f>
        <v>2150000</v>
      </c>
      <c r="BY31" s="245">
        <f t="shared" ref="BY31" si="484">+BY30+BX31</f>
        <v>2150000</v>
      </c>
      <c r="BZ31" s="245">
        <f t="shared" ref="BZ31" si="485">+BZ30+BY31</f>
        <v>2150000</v>
      </c>
      <c r="CA31" s="245">
        <f t="shared" ref="CA31" si="486">+CA30+BZ31</f>
        <v>2150000</v>
      </c>
      <c r="CB31" s="245">
        <f t="shared" ref="CB31" si="487">+CB30+CA31</f>
        <v>2150000</v>
      </c>
      <c r="CC31" s="245">
        <f t="shared" ref="CC31" si="488">+CC30+CB31</f>
        <v>2150000</v>
      </c>
      <c r="CD31" s="245">
        <f t="shared" ref="CD31" si="489">+CD30+CC31</f>
        <v>2150000</v>
      </c>
      <c r="CE31" s="245">
        <f t="shared" ref="CE31" si="490">+CE30+CD31</f>
        <v>2150000</v>
      </c>
      <c r="CF31" s="245">
        <f t="shared" ref="CF31" si="491">+CF30+CE31</f>
        <v>2150000</v>
      </c>
      <c r="CG31" s="245">
        <f t="shared" ref="CG31" si="492">+CG30+CF31</f>
        <v>2150000</v>
      </c>
      <c r="CH31" s="245">
        <f t="shared" ref="CH31" si="493">+CH30+CG31</f>
        <v>2150000</v>
      </c>
      <c r="CI31" s="245">
        <f t="shared" ref="CI31" si="494">+CI30+CH31</f>
        <v>2150000</v>
      </c>
      <c r="CJ31" s="245">
        <f t="shared" ref="CJ31" si="495">+CJ30+CI31</f>
        <v>2150000</v>
      </c>
      <c r="CK31" s="245">
        <f t="shared" ref="CK31" si="496">+CK30+CJ31</f>
        <v>2150000</v>
      </c>
      <c r="CL31" s="245">
        <f t="shared" ref="CL31" si="497">+CL30+CK31</f>
        <v>2150000</v>
      </c>
      <c r="CM31" s="245">
        <f t="shared" ref="CM31" si="498">+CM30+CL31</f>
        <v>2150000</v>
      </c>
      <c r="CN31" s="245">
        <f t="shared" ref="CN31" si="499">+CN30+CM31</f>
        <v>2150000</v>
      </c>
      <c r="CO31" s="245">
        <f t="shared" ref="CO31" si="500">+CO30+CN31</f>
        <v>2150000</v>
      </c>
      <c r="CP31" s="245">
        <f t="shared" ref="CP31" si="501">+CP30+CO31</f>
        <v>2150000</v>
      </c>
      <c r="CQ31" s="245">
        <f t="shared" ref="CQ31" si="502">+CQ30+CP31</f>
        <v>2150000</v>
      </c>
      <c r="CR31" s="245">
        <f t="shared" ref="CR31" si="503">+CR30+CQ31</f>
        <v>2150000</v>
      </c>
      <c r="CS31" s="245">
        <f t="shared" ref="CS31" si="504">+CS30+CR31</f>
        <v>2150000</v>
      </c>
      <c r="CT31" s="245">
        <f t="shared" ref="CT31" si="505">+CT30+CS31</f>
        <v>2150000</v>
      </c>
      <c r="CU31" s="245">
        <f t="shared" ref="CU31" si="506">+CU30+CT31</f>
        <v>2150000</v>
      </c>
      <c r="CV31" s="245">
        <f t="shared" ref="CV31" si="507">+CV30+CU31</f>
        <v>2150000</v>
      </c>
      <c r="CW31" s="245">
        <f t="shared" ref="CW31" si="508">+CW30+CV31</f>
        <v>2150000</v>
      </c>
      <c r="CX31" s="245">
        <f t="shared" ref="CX31" si="509">+CX30+CW31</f>
        <v>2150000</v>
      </c>
      <c r="CY31" s="245">
        <f t="shared" ref="CY31" si="510">+CY30+CX31</f>
        <v>2150000</v>
      </c>
      <c r="CZ31" s="245">
        <f t="shared" ref="CZ31" si="511">+CZ30+CY31</f>
        <v>2150000</v>
      </c>
      <c r="DA31" s="245">
        <f t="shared" ref="DA31" si="512">+DA30+CZ31</f>
        <v>2150000</v>
      </c>
      <c r="DB31" s="245">
        <f t="shared" ref="DB31" si="513">+DB30+DA31</f>
        <v>2150000</v>
      </c>
      <c r="DC31" s="245">
        <f t="shared" ref="DC31" si="514">+DC30+DB31</f>
        <v>2150000</v>
      </c>
      <c r="DD31" s="245">
        <f t="shared" ref="DD31" si="515">+DD30+DC31</f>
        <v>2150000</v>
      </c>
      <c r="DE31" s="245">
        <f t="shared" ref="DE31" si="516">+DE30+DD31</f>
        <v>2150000</v>
      </c>
      <c r="DF31" s="245">
        <f t="shared" ref="DF31" si="517">+DF30+DE31</f>
        <v>2150000</v>
      </c>
      <c r="DG31" s="245">
        <f t="shared" ref="DG31:DH31" si="518">+DG30+DF31</f>
        <v>2150000</v>
      </c>
      <c r="DH31" s="245">
        <f t="shared" si="518"/>
        <v>2150000</v>
      </c>
    </row>
    <row r="32" spans="2:112" x14ac:dyDescent="0.25">
      <c r="B32" t="s">
        <v>233</v>
      </c>
      <c r="C32" s="196">
        <v>850000</v>
      </c>
      <c r="D32" t="s">
        <v>231</v>
      </c>
      <c r="E32" s="423"/>
      <c r="F32" s="422">
        <f>+IFERROR(INDEX(Assumptions!$E$18:$E$29, MATCH(F29, Assumptions!$D$18:$D$29, 0))*$C$32, 0)</f>
        <v>0</v>
      </c>
      <c r="G32" s="423">
        <f>+IFERROR(INDEX(Assumptions!$E$18:$E$29, MATCH(G29, Assumptions!$D$18:$D$29, 0))*$C$32, 0)</f>
        <v>0</v>
      </c>
      <c r="H32" s="423">
        <f>+IFERROR(INDEX(Assumptions!$E$18:$E$29, MATCH(H29, Assumptions!$D$18:$D$29, 0))*$C$32, 0)</f>
        <v>0</v>
      </c>
      <c r="I32" s="423">
        <f>+IFERROR(INDEX(Assumptions!$E$18:$E$29, MATCH(I29, Assumptions!$D$18:$D$29, 0))*$C$32, 0)</f>
        <v>0</v>
      </c>
      <c r="J32" s="423">
        <f>+IFERROR(INDEX(Assumptions!$E$18:$E$29, MATCH(J29, Assumptions!$D$18:$D$29, 0))*$C$32, 0)</f>
        <v>0</v>
      </c>
      <c r="K32" s="423">
        <f>+IFERROR(INDEX(Assumptions!$E$18:$E$29, MATCH(K29, Assumptions!$D$18:$D$29, 0))*$C$32, 0)</f>
        <v>0</v>
      </c>
      <c r="L32" s="423">
        <f>+IFERROR(INDEX(Assumptions!$E$18:$E$29, MATCH(L29, Assumptions!$D$18:$D$29, 0))*$C$32, 0)</f>
        <v>0</v>
      </c>
      <c r="M32" s="423">
        <f>+IFERROR(INDEX(Assumptions!$E$18:$E$29, MATCH(M29, Assumptions!$D$18:$D$29, 0))*$C$32, 0)</f>
        <v>0</v>
      </c>
      <c r="N32" s="423">
        <f>+IFERROR(INDEX(Assumptions!$E$18:$E$29, MATCH(N29, Assumptions!$D$18:$D$29, 0))*$C$32, 0)</f>
        <v>0</v>
      </c>
      <c r="O32" s="423">
        <f>+IFERROR(INDEX(Assumptions!$E$18:$E$29, MATCH(O29, Assumptions!$D$18:$D$29, 0))*$C$32, 0)</f>
        <v>0</v>
      </c>
      <c r="P32" s="423">
        <f>+IFERROR(INDEX(Assumptions!$E$18:$E$29, MATCH(P29, Assumptions!$D$18:$D$29, 0))*$C$32, 0)</f>
        <v>0</v>
      </c>
      <c r="Q32" s="423">
        <f>+IFERROR(INDEX(Assumptions!$E$18:$E$29, MATCH(Q29, Assumptions!$D$18:$D$29, 0))*$C$32, 0)</f>
        <v>0</v>
      </c>
      <c r="R32" s="734">
        <f>+IFERROR(INDEX(Assumptions!$E$18:$E$29, MATCH(R29, Assumptions!$D$18:$D$29, 0))*$C$32, 0)</f>
        <v>0</v>
      </c>
      <c r="S32" s="423">
        <f>+IFERROR(INDEX(Assumptions!$E$18:$E$29, MATCH(S29, Assumptions!$D$18:$D$29, 0))*$C$32, 0)</f>
        <v>0</v>
      </c>
      <c r="T32" s="423">
        <f>+IFERROR(INDEX(Assumptions!$E$18:$E$29, MATCH(T29, Assumptions!$D$18:$D$29, 0))*$C$32, 0)</f>
        <v>0</v>
      </c>
      <c r="U32" s="422">
        <f>+IFERROR(INDEX(Assumptions!$E$18:$E$29, MATCH(U29, Assumptions!$D$18:$D$29, 0))*$C$32, 0)</f>
        <v>0</v>
      </c>
      <c r="V32" s="494">
        <f>+IFERROR(INDEX(Assumptions!$E$18:$E$29, MATCH(V29, Assumptions!$D$18:$D$29, 0))*$C$32, 0)</f>
        <v>0</v>
      </c>
      <c r="W32" s="146">
        <f>+IFERROR(INDEX(Assumptions!$E$18:$E$29, MATCH(W29, Assumptions!$D$18:$D$29, 0))*$C$32, 0)</f>
        <v>0</v>
      </c>
      <c r="X32" s="146">
        <f>+IFERROR(INDEX(Assumptions!$E$18:$E$29, MATCH(X29, Assumptions!$D$18:$D$29, 0))*$C$32, 0)</f>
        <v>0</v>
      </c>
      <c r="Y32" s="146">
        <f>+IFERROR(INDEX(Assumptions!$E$18:$E$29, MATCH(Y29, Assumptions!$D$18:$D$29, 0))*$C$32, 0)</f>
        <v>0</v>
      </c>
      <c r="Z32" s="146">
        <f>+IFERROR(INDEX(Assumptions!$E$18:$E$29, MATCH(Z29, Assumptions!$D$18:$D$29, 0))*$C$32, 0)</f>
        <v>0</v>
      </c>
      <c r="AA32" s="146">
        <f>+IFERROR(INDEX(Assumptions!$E$18:$E$29, MATCH(AA29, Assumptions!$D$18:$D$29, 0))*$C$32, 0)</f>
        <v>0</v>
      </c>
      <c r="AB32" s="146">
        <f>+IFERROR(INDEX(Assumptions!$E$18:$E$29, MATCH(AB29, Assumptions!$D$18:$D$29, 0))*$C$32, 0)</f>
        <v>0</v>
      </c>
      <c r="AC32" s="146">
        <f>+IFERROR(INDEX(Assumptions!$E$18:$E$29, MATCH(AC29, Assumptions!$D$18:$D$29, 0))*$C$32, 0)</f>
        <v>0</v>
      </c>
      <c r="AD32" s="146">
        <f>+IFERROR(INDEX(Assumptions!$E$18:$E$29, MATCH(AD29, Assumptions!$D$18:$D$29, 0))*$C$32, 0)</f>
        <v>0</v>
      </c>
      <c r="AE32" s="146">
        <f>+IFERROR(INDEX(Assumptions!$E$18:$E$29, MATCH(AE29, Assumptions!$D$18:$D$29, 0))*$C$32, 0)</f>
        <v>0</v>
      </c>
      <c r="AF32" s="245">
        <f>+IFERROR(INDEX(Assumptions!$E$18:$E$29, MATCH(AF29, Assumptions!$D$18:$D$29, 0))*$C$32, 0)</f>
        <v>0</v>
      </c>
      <c r="AG32" s="146">
        <f>+IFERROR(INDEX(Assumptions!$E$18:$E$29, MATCH(AG29, Assumptions!$D$18:$D$29, 0))*$C$32, 0)</f>
        <v>0</v>
      </c>
      <c r="AH32" s="245">
        <f>+IFERROR(INDEX(Assumptions!$E$18:$E$29, MATCH(AH29, Assumptions!$D$18:$D$29, 0))*$C$32, 0)</f>
        <v>0</v>
      </c>
      <c r="AI32" s="245">
        <f>+IFERROR(INDEX(Assumptions!$E$18:$E$29, MATCH(AI29, Assumptions!$D$18:$D$29, 0))*$C$32, 0)</f>
        <v>0</v>
      </c>
      <c r="AJ32" s="245">
        <f>+IFERROR(INDEX(Assumptions!$E$18:$E$29, MATCH(AJ29, Assumptions!$D$18:$D$29, 0))*$C$32, 0)</f>
        <v>0</v>
      </c>
      <c r="AK32" s="245">
        <f>+IFERROR(INDEX(Assumptions!$E$18:$E$29, MATCH(AK29, Assumptions!$D$18:$D$29, 0))*$C$32, 0)</f>
        <v>0</v>
      </c>
      <c r="AL32" s="245">
        <f>+IFERROR(INDEX(Assumptions!$E$18:$E$29, MATCH(AL29, Assumptions!$D$18:$D$29, 0))*$C$32, 0)</f>
        <v>0</v>
      </c>
      <c r="AM32" s="245">
        <f>+IFERROR(INDEX(Assumptions!$E$18:$E$29, MATCH(AM29, Assumptions!$D$18:$D$29, 0))*$C$32, 0)</f>
        <v>0</v>
      </c>
      <c r="AN32" s="245">
        <f>+IFERROR(INDEX(Assumptions!$E$18:$E$29, MATCH(AN29, Assumptions!$D$18:$D$29, 0))*$C$32, 0)</f>
        <v>0</v>
      </c>
      <c r="AO32" s="245">
        <f>+IFERROR(INDEX(Assumptions!$E$18:$E$29, MATCH(AO29, Assumptions!$D$18:$D$29, 0))*$C$32, 0)</f>
        <v>0</v>
      </c>
      <c r="AP32" s="245">
        <f>+IFERROR(INDEX(Assumptions!$E$18:$E$29, MATCH(AP29, Assumptions!$D$18:$D$29, 0))*$C$32, 0)</f>
        <v>0</v>
      </c>
      <c r="AQ32" s="245">
        <f>+IFERROR(INDEX(Assumptions!$E$18:$E$29, MATCH(AQ29, Assumptions!$D$18:$D$29, 0))*$C$32, 0)</f>
        <v>0</v>
      </c>
      <c r="AR32" s="245">
        <f>+IFERROR(INDEX(Assumptions!$E$18:$E$29, MATCH(AR29, Assumptions!$D$18:$D$29, 0))*$C$32, 0)</f>
        <v>0</v>
      </c>
      <c r="AS32" s="245">
        <f>+IFERROR(INDEX(Assumptions!$E$18:$E$29, MATCH(AS29, Assumptions!$D$18:$D$29, 0))*$C$32, 0)</f>
        <v>0</v>
      </c>
      <c r="AT32" s="245">
        <f>+IFERROR(INDEX(Assumptions!$E$18:$E$29, MATCH(AT29, Assumptions!$D$18:$D$29, 0))*$C$32, 0)</f>
        <v>0</v>
      </c>
      <c r="AU32" s="245">
        <f>+IFERROR(INDEX(Assumptions!$E$18:$E$29, MATCH(AU29, Assumptions!$D$18:$D$29, 0))*$C$32, 0)</f>
        <v>0</v>
      </c>
      <c r="AV32" s="245">
        <f>+IFERROR(INDEX(Assumptions!$E$18:$E$29, MATCH(AV29, Assumptions!$D$18:$D$29, 0))*$C$32, 0)</f>
        <v>0</v>
      </c>
      <c r="AW32" s="245">
        <f>+IFERROR(INDEX(Assumptions!$E$18:$E$29, MATCH(AW29, Assumptions!$D$18:$D$29, 0))*$C$32, 0)</f>
        <v>0</v>
      </c>
      <c r="AX32" s="245">
        <f>+IFERROR(INDEX(Assumptions!$E$18:$E$29, MATCH(AX29, Assumptions!$D$18:$D$29, 0))*$C$32, 0)</f>
        <v>0</v>
      </c>
      <c r="AY32" s="245">
        <f>+IFERROR(INDEX(Assumptions!$E$18:$E$29, MATCH(AY29, Assumptions!$D$18:$D$29, 0))*$C$32, 0)</f>
        <v>0</v>
      </c>
      <c r="AZ32" s="245">
        <f>+IFERROR(INDEX(Assumptions!$E$18:$E$29, MATCH(AZ29, Assumptions!$D$18:$D$29, 0))*$C$32, 0)</f>
        <v>5122.927194802628</v>
      </c>
      <c r="BA32" s="245">
        <f>+IFERROR(INDEX(Assumptions!$E$18:$E$29, MATCH(BA29, Assumptions!$D$18:$D$29, 0))*$C$32, 0)</f>
        <v>732.70824504828636</v>
      </c>
      <c r="BB32" s="245">
        <f>+IFERROR(INDEX(Assumptions!$E$18:$E$29, MATCH(BB29, Assumptions!$D$18:$D$29, 0))*$C$32, 0)</f>
        <v>30365.495128084352</v>
      </c>
      <c r="BC32" s="245">
        <f>+IFERROR(INDEX(Assumptions!$E$18:$E$29, MATCH(BC29, Assumptions!$D$18:$D$29, 0))*$C$32, 0)</f>
        <v>2741.0524989448359</v>
      </c>
      <c r="BD32" s="245">
        <f>+IFERROR(INDEX(Assumptions!$E$18:$E$29, MATCH(BD29, Assumptions!$D$18:$D$29, 0))*$C$32, 0)</f>
        <v>124002.15637224884</v>
      </c>
      <c r="BE32" s="245">
        <f>+IFERROR(INDEX(Assumptions!$E$18:$E$29, MATCH(BE29, Assumptions!$D$18:$D$29, 0))*$C$32, 0)</f>
        <v>222377.87202653658</v>
      </c>
      <c r="BF32" s="245">
        <f>+IFERROR(INDEX(Assumptions!$E$18:$E$29, MATCH(BF29, Assumptions!$D$18:$D$29, 0))*$C$32, 0)</f>
        <v>149842.06244086099</v>
      </c>
      <c r="BG32" s="245">
        <f>+IFERROR(INDEX(Assumptions!$E$18:$E$29, MATCH(BG29, Assumptions!$D$18:$D$29, 0))*$C$32, 0)</f>
        <v>98876.987597489569</v>
      </c>
      <c r="BH32" s="245">
        <f>+IFERROR(INDEX(Assumptions!$E$18:$E$29, MATCH(BH29, Assumptions!$D$18:$D$29, 0))*$C$32, 0)</f>
        <v>20700.87738398006</v>
      </c>
      <c r="BI32" s="245">
        <f>+IFERROR(INDEX(Assumptions!$E$18:$E$29, MATCH(BI29, Assumptions!$D$18:$D$29, 0))*$C$32, 0)</f>
        <v>158527.44426043081</v>
      </c>
      <c r="BJ32" s="245">
        <f>+IFERROR(INDEX(Assumptions!$E$18:$E$29, MATCH(BJ29, Assumptions!$D$18:$D$29, 0))*$C$32, 0)</f>
        <v>36710.416851573071</v>
      </c>
      <c r="BK32" s="245">
        <f>+IFERROR(INDEX(Assumptions!$E$18:$E$29, MATCH(BK29, Assumptions!$D$18:$D$29, 0))*$C$32, 0)</f>
        <v>0</v>
      </c>
      <c r="BL32" s="245">
        <f>+IFERROR(INDEX(Assumptions!$E$18:$E$29, MATCH(BL29, Assumptions!$D$18:$D$29, 0))*$C$32, 0)</f>
        <v>0</v>
      </c>
      <c r="BM32" s="245">
        <f>+IFERROR(INDEX(Assumptions!$E$18:$E$29, MATCH(BM29, Assumptions!$D$18:$D$29, 0))*$C$32, 0)</f>
        <v>0</v>
      </c>
      <c r="BN32" s="245">
        <f>+IFERROR(INDEX(Assumptions!$E$18:$E$29, MATCH(BN29, Assumptions!$D$18:$D$29, 0))*$C$32, 0)</f>
        <v>0</v>
      </c>
      <c r="BO32" s="245">
        <f>+IFERROR(INDEX(Assumptions!$E$18:$E$29, MATCH(BO29, Assumptions!$D$18:$D$29, 0))*$C$32, 0)</f>
        <v>0</v>
      </c>
      <c r="BP32" s="245">
        <f>+IFERROR(INDEX(Assumptions!$E$18:$E$29, MATCH(BP29, Assumptions!$D$18:$D$29, 0))*$C$32, 0)</f>
        <v>0</v>
      </c>
      <c r="BQ32" s="245">
        <f>+IFERROR(INDEX(Assumptions!$E$18:$E$29, MATCH(BQ29, Assumptions!$D$18:$D$29, 0))*$C$32, 0)</f>
        <v>0</v>
      </c>
      <c r="BR32" s="245">
        <f>+IFERROR(INDEX(Assumptions!$E$18:$E$29, MATCH(BR29, Assumptions!$D$18:$D$29, 0))*$C$32, 0)</f>
        <v>0</v>
      </c>
      <c r="BS32" s="245">
        <f>+IFERROR(INDEX(Assumptions!$E$18:$E$29, MATCH(BS29, Assumptions!$D$18:$D$29, 0))*$C$32, 0)</f>
        <v>0</v>
      </c>
      <c r="BT32" s="245">
        <f>+IFERROR(INDEX(Assumptions!$E$18:$E$29, MATCH(BT29, Assumptions!$D$18:$D$29, 0))*$C$32, 0)</f>
        <v>0</v>
      </c>
      <c r="BU32" s="245">
        <f>+IFERROR(INDEX(Assumptions!$E$18:$E$29, MATCH(BU29, Assumptions!$D$18:$D$29, 0))*$C$32, 0)</f>
        <v>0</v>
      </c>
      <c r="BV32" s="245">
        <f>+IFERROR(INDEX(Assumptions!$E$18:$E$29, MATCH(BV29, Assumptions!$D$18:$D$29, 0))*$C$32, 0)</f>
        <v>0</v>
      </c>
      <c r="BW32" s="245">
        <f>+IFERROR(INDEX(Assumptions!$E$18:$E$29, MATCH(BW29, Assumptions!$D$18:$D$29, 0))*$C$32, 0)</f>
        <v>0</v>
      </c>
      <c r="BX32" s="245">
        <f>+IFERROR(INDEX(Assumptions!$E$18:$E$29, MATCH(BX29, Assumptions!$D$18:$D$29, 0))*$C$32, 0)</f>
        <v>0</v>
      </c>
      <c r="BY32" s="245">
        <f>+IFERROR(INDEX(Assumptions!$E$18:$E$29, MATCH(BY29, Assumptions!$D$18:$D$29, 0))*$C$32, 0)</f>
        <v>0</v>
      </c>
      <c r="BZ32" s="245">
        <f>+IFERROR(INDEX(Assumptions!$E$18:$E$29, MATCH(BZ29, Assumptions!$D$18:$D$29, 0))*$C$32, 0)</f>
        <v>0</v>
      </c>
      <c r="CA32" s="245">
        <f>+IFERROR(INDEX(Assumptions!$E$18:$E$29, MATCH(CA29, Assumptions!$D$18:$D$29, 0))*$C$32, 0)</f>
        <v>0</v>
      </c>
      <c r="CB32" s="245">
        <f>+IFERROR(INDEX(Assumptions!$E$18:$E$29, MATCH(CB29, Assumptions!$D$18:$D$29, 0))*$C$32, 0)</f>
        <v>0</v>
      </c>
      <c r="CC32" s="245">
        <f>+IFERROR(INDEX(Assumptions!$E$18:$E$29, MATCH(CC29, Assumptions!$D$18:$D$29, 0))*$C$32, 0)</f>
        <v>0</v>
      </c>
      <c r="CD32" s="245">
        <f>+IFERROR(INDEX(Assumptions!$E$18:$E$29, MATCH(CD29, Assumptions!$D$18:$D$29, 0))*$C$32, 0)</f>
        <v>0</v>
      </c>
      <c r="CE32" s="245">
        <f>+IFERROR(INDEX(Assumptions!$E$18:$E$29, MATCH(CE29, Assumptions!$D$18:$D$29, 0))*$C$32, 0)</f>
        <v>0</v>
      </c>
      <c r="CF32" s="245">
        <f>+IFERROR(INDEX(Assumptions!$E$18:$E$29, MATCH(CF29, Assumptions!$D$18:$D$29, 0))*$C$32, 0)</f>
        <v>0</v>
      </c>
      <c r="CG32" s="245">
        <f>+IFERROR(INDEX(Assumptions!$E$18:$E$29, MATCH(CG29, Assumptions!$D$18:$D$29, 0))*$C$32, 0)</f>
        <v>0</v>
      </c>
      <c r="CH32" s="245">
        <f>+IFERROR(INDEX(Assumptions!$E$18:$E$29, MATCH(CH29, Assumptions!$D$18:$D$29, 0))*$C$32, 0)</f>
        <v>0</v>
      </c>
      <c r="CI32" s="245">
        <f>+IFERROR(INDEX(Assumptions!$E$18:$E$29, MATCH(CI29, Assumptions!$D$18:$D$29, 0))*$C$32, 0)</f>
        <v>0</v>
      </c>
      <c r="CJ32" s="245">
        <f>+IFERROR(INDEX(Assumptions!$E$18:$E$29, MATCH(CJ29, Assumptions!$D$18:$D$29, 0))*$C$32, 0)</f>
        <v>0</v>
      </c>
      <c r="CK32" s="245">
        <f>+IFERROR(INDEX(Assumptions!$E$18:$E$29, MATCH(CK29, Assumptions!$D$18:$D$29, 0))*$C$32, 0)</f>
        <v>0</v>
      </c>
      <c r="CL32" s="245">
        <f>+IFERROR(INDEX(Assumptions!$E$18:$E$29, MATCH(CL29, Assumptions!$D$18:$D$29, 0))*$C$32, 0)</f>
        <v>0</v>
      </c>
      <c r="CM32" s="245">
        <f>+IFERROR(INDEX(Assumptions!$E$18:$E$29, MATCH(CM29, Assumptions!$D$18:$D$29, 0))*$C$32, 0)</f>
        <v>0</v>
      </c>
      <c r="CN32" s="245">
        <f>+IFERROR(INDEX(Assumptions!$E$18:$E$29, MATCH(CN29, Assumptions!$D$18:$D$29, 0))*$C$32, 0)</f>
        <v>0</v>
      </c>
      <c r="CO32" s="245">
        <f>+IFERROR(INDEX(Assumptions!$E$18:$E$29, MATCH(CO29, Assumptions!$D$18:$D$29, 0))*$C$32, 0)</f>
        <v>0</v>
      </c>
      <c r="CP32" s="245">
        <f>+IFERROR(INDEX(Assumptions!$E$18:$E$29, MATCH(CP29, Assumptions!$D$18:$D$29, 0))*$C$32, 0)</f>
        <v>0</v>
      </c>
      <c r="CQ32" s="245">
        <f>+IFERROR(INDEX(Assumptions!$E$18:$E$29, MATCH(CQ29, Assumptions!$D$18:$D$29, 0))*$C$32, 0)</f>
        <v>0</v>
      </c>
      <c r="CR32" s="245">
        <f>+IFERROR(INDEX(Assumptions!$E$18:$E$29, MATCH(CR29, Assumptions!$D$18:$D$29, 0))*$C$32, 0)</f>
        <v>0</v>
      </c>
      <c r="CS32" s="245">
        <f>+IFERROR(INDEX(Assumptions!$E$18:$E$29, MATCH(CS29, Assumptions!$D$18:$D$29, 0))*$C$32, 0)</f>
        <v>0</v>
      </c>
      <c r="CT32" s="245">
        <f>+IFERROR(INDEX(Assumptions!$E$18:$E$29, MATCH(CT29, Assumptions!$D$18:$D$29, 0))*$C$32, 0)</f>
        <v>0</v>
      </c>
      <c r="CU32" s="245">
        <f>+IFERROR(INDEX(Assumptions!$E$18:$E$29, MATCH(CU29, Assumptions!$D$18:$D$29, 0))*$C$32, 0)</f>
        <v>0</v>
      </c>
      <c r="CV32" s="245">
        <f>+IFERROR(INDEX(Assumptions!$E$18:$E$29, MATCH(CV29, Assumptions!$D$18:$D$29, 0))*$C$32, 0)</f>
        <v>0</v>
      </c>
      <c r="CW32" s="245">
        <f>+IFERROR(INDEX(Assumptions!$E$18:$E$29, MATCH(CW29, Assumptions!$D$18:$D$29, 0))*$C$32, 0)</f>
        <v>0</v>
      </c>
      <c r="CX32" s="245">
        <f>+IFERROR(INDEX(Assumptions!$E$18:$E$29, MATCH(CX29, Assumptions!$D$18:$D$29, 0))*$C$32, 0)</f>
        <v>0</v>
      </c>
      <c r="CY32" s="245">
        <f>+IFERROR(INDEX(Assumptions!$E$18:$E$29, MATCH(CY29, Assumptions!$D$18:$D$29, 0))*$C$32, 0)</f>
        <v>0</v>
      </c>
      <c r="CZ32" s="245">
        <f>+IFERROR(INDEX(Assumptions!$E$18:$E$29, MATCH(CZ29, Assumptions!$D$18:$D$29, 0))*$C$32, 0)</f>
        <v>0</v>
      </c>
      <c r="DA32" s="245">
        <f>+IFERROR(INDEX(Assumptions!$E$18:$E$29, MATCH(DA29, Assumptions!$D$18:$D$29, 0))*$C$32, 0)</f>
        <v>0</v>
      </c>
      <c r="DB32" s="245">
        <f>+IFERROR(INDEX(Assumptions!$E$18:$E$29, MATCH(DB29, Assumptions!$D$18:$D$29, 0))*$C$32, 0)</f>
        <v>0</v>
      </c>
      <c r="DC32" s="245">
        <f>+IFERROR(INDEX(Assumptions!$E$18:$E$29, MATCH(DC29, Assumptions!$D$18:$D$29, 0))*$C$32, 0)</f>
        <v>0</v>
      </c>
      <c r="DD32" s="245">
        <f>+IFERROR(INDEX(Assumptions!$E$18:$E$29, MATCH(DD29, Assumptions!$D$18:$D$29, 0))*$C$32, 0)</f>
        <v>0</v>
      </c>
      <c r="DE32" s="245">
        <f>+IFERROR(INDEX(Assumptions!$E$18:$E$29, MATCH(DE29, Assumptions!$D$18:$D$29, 0))*$C$32, 0)</f>
        <v>0</v>
      </c>
      <c r="DF32" s="245">
        <f>+IFERROR(INDEX(Assumptions!$E$18:$E$29, MATCH(DF29, Assumptions!$D$18:$D$29, 0))*$C$32, 0)</f>
        <v>0</v>
      </c>
      <c r="DG32" s="245">
        <f>+IFERROR(INDEX(Assumptions!$E$18:$E$29, MATCH(DG29, Assumptions!$D$18:$D$29, 0))*$C$32, 0)</f>
        <v>0</v>
      </c>
      <c r="DH32" s="245">
        <f>+IFERROR(INDEX(Assumptions!$E$18:$E$29, MATCH(DH29, Assumptions!$D$18:$D$29, 0))*$C$32, 0)</f>
        <v>0</v>
      </c>
    </row>
    <row r="33" spans="2:112" x14ac:dyDescent="0.25">
      <c r="B33" t="s">
        <v>455</v>
      </c>
      <c r="C33" s="628">
        <f>+EOMONTH(C25, 12)</f>
        <v>46356</v>
      </c>
      <c r="D33" t="s">
        <v>243</v>
      </c>
      <c r="F33" s="9">
        <f t="shared" ref="F33" si="519">+F32+E33</f>
        <v>0</v>
      </c>
      <c r="G33" s="9">
        <f t="shared" ref="G33" si="520">+G32+F33</f>
        <v>0</v>
      </c>
      <c r="H33" s="9">
        <f t="shared" ref="H33" si="521">+H32+G33</f>
        <v>0</v>
      </c>
      <c r="I33" s="9">
        <f t="shared" ref="I33" si="522">+I32+H33</f>
        <v>0</v>
      </c>
      <c r="J33" s="9">
        <f t="shared" ref="J33" si="523">+J32+I33</f>
        <v>0</v>
      </c>
      <c r="K33" s="9">
        <f t="shared" ref="K33" si="524">+K32+J33</f>
        <v>0</v>
      </c>
      <c r="L33" s="9">
        <f t="shared" ref="L33" si="525">+L32+K33</f>
        <v>0</v>
      </c>
      <c r="M33" s="9">
        <f t="shared" ref="M33" si="526">+M32+L33</f>
        <v>0</v>
      </c>
      <c r="N33" s="9">
        <f t="shared" ref="N33" si="527">+N32+M33</f>
        <v>0</v>
      </c>
      <c r="O33" s="9">
        <f t="shared" ref="O33" si="528">+O32+N33</f>
        <v>0</v>
      </c>
      <c r="P33" s="9">
        <f t="shared" ref="P33" si="529">+P32+O33</f>
        <v>0</v>
      </c>
      <c r="Q33" s="9">
        <f t="shared" ref="Q33" si="530">+Q32+P33</f>
        <v>0</v>
      </c>
      <c r="R33" s="9">
        <f t="shared" ref="R33" si="531">+R32+Q33</f>
        <v>0</v>
      </c>
      <c r="S33" s="9">
        <f t="shared" ref="S33" si="532">+S32+R33</f>
        <v>0</v>
      </c>
      <c r="T33" s="9">
        <f t="shared" ref="T33" si="533">+T32+S33</f>
        <v>0</v>
      </c>
      <c r="U33" s="9">
        <f t="shared" ref="U33" si="534">+U32+T33</f>
        <v>0</v>
      </c>
      <c r="V33" s="9">
        <f t="shared" ref="V33" si="535">+V32+U33</f>
        <v>0</v>
      </c>
      <c r="W33" s="9">
        <f t="shared" ref="W33:AK33" si="536">+W32+V33</f>
        <v>0</v>
      </c>
      <c r="X33" s="9">
        <f t="shared" si="536"/>
        <v>0</v>
      </c>
      <c r="Y33" s="9">
        <f t="shared" si="536"/>
        <v>0</v>
      </c>
      <c r="Z33" s="9">
        <f t="shared" si="536"/>
        <v>0</v>
      </c>
      <c r="AA33" s="9">
        <f t="shared" si="536"/>
        <v>0</v>
      </c>
      <c r="AB33" s="9">
        <f t="shared" si="536"/>
        <v>0</v>
      </c>
      <c r="AC33" s="9">
        <f t="shared" si="536"/>
        <v>0</v>
      </c>
      <c r="AD33" s="9">
        <f t="shared" si="536"/>
        <v>0</v>
      </c>
      <c r="AE33" s="9">
        <f t="shared" si="536"/>
        <v>0</v>
      </c>
      <c r="AF33" s="9">
        <f t="shared" si="536"/>
        <v>0</v>
      </c>
      <c r="AG33" s="9">
        <f t="shared" si="536"/>
        <v>0</v>
      </c>
      <c r="AH33" s="9">
        <f t="shared" si="536"/>
        <v>0</v>
      </c>
      <c r="AI33" s="9">
        <f t="shared" si="536"/>
        <v>0</v>
      </c>
      <c r="AJ33" s="9">
        <f t="shared" si="536"/>
        <v>0</v>
      </c>
      <c r="AK33" s="9">
        <f t="shared" si="536"/>
        <v>0</v>
      </c>
      <c r="AL33" s="9">
        <f t="shared" ref="AL33" si="537">+AL32+AK33</f>
        <v>0</v>
      </c>
      <c r="AM33" s="9">
        <f t="shared" ref="AM33" si="538">+AM32+AL33</f>
        <v>0</v>
      </c>
      <c r="AN33" s="9">
        <f t="shared" ref="AN33" si="539">+AN32+AM33</f>
        <v>0</v>
      </c>
      <c r="AO33" s="9">
        <f t="shared" ref="AO33" si="540">+AO32+AN33</f>
        <v>0</v>
      </c>
      <c r="AP33" s="9">
        <f t="shared" ref="AP33" si="541">+AP32+AO33</f>
        <v>0</v>
      </c>
      <c r="AQ33" s="9">
        <f t="shared" ref="AQ33" si="542">+AQ32+AP33</f>
        <v>0</v>
      </c>
      <c r="AR33" s="9">
        <f t="shared" ref="AR33" si="543">+AR32+AQ33</f>
        <v>0</v>
      </c>
      <c r="AS33" s="9">
        <f t="shared" ref="AS33" si="544">+AS32+AR33</f>
        <v>0</v>
      </c>
      <c r="AT33" s="9">
        <f t="shared" ref="AT33" si="545">+AT32+AS33</f>
        <v>0</v>
      </c>
      <c r="AU33" s="9">
        <f t="shared" ref="AU33" si="546">+AU32+AT33</f>
        <v>0</v>
      </c>
      <c r="AV33" s="9">
        <f t="shared" ref="AV33" si="547">+AV32+AU33</f>
        <v>0</v>
      </c>
      <c r="AW33" s="9">
        <f t="shared" ref="AW33" si="548">+AW32+AV33</f>
        <v>0</v>
      </c>
      <c r="AX33" s="9">
        <f t="shared" ref="AX33" si="549">+AX32+AW33</f>
        <v>0</v>
      </c>
      <c r="AY33" s="9">
        <f t="shared" ref="AY33" si="550">+AY32+AX33</f>
        <v>0</v>
      </c>
      <c r="AZ33" s="9">
        <f t="shared" ref="AZ33" si="551">+AZ32+AY33</f>
        <v>5122.927194802628</v>
      </c>
      <c r="BA33" s="9">
        <f t="shared" ref="BA33" si="552">+BA32+AZ33</f>
        <v>5855.6354398509147</v>
      </c>
      <c r="BB33" s="9">
        <f t="shared" ref="BB33" si="553">+BB32+BA33</f>
        <v>36221.130567935266</v>
      </c>
      <c r="BC33" s="9">
        <f t="shared" ref="BC33" si="554">+BC32+BB33</f>
        <v>38962.183066880105</v>
      </c>
      <c r="BD33" s="9">
        <f t="shared" ref="BD33" si="555">+BD32+BC33</f>
        <v>162964.33943912893</v>
      </c>
      <c r="BE33" s="9">
        <f t="shared" ref="BE33" si="556">+BE32+BD33</f>
        <v>385342.21146566549</v>
      </c>
      <c r="BF33" s="9">
        <f t="shared" ref="BF33" si="557">+BF32+BE33</f>
        <v>535184.27390652651</v>
      </c>
      <c r="BG33" s="9">
        <f t="shared" ref="BG33" si="558">+BG32+BF33</f>
        <v>634061.26150401612</v>
      </c>
      <c r="BH33" s="9">
        <f t="shared" ref="BH33" si="559">+BH32+BG33</f>
        <v>654762.1388879962</v>
      </c>
      <c r="BI33" s="9">
        <f t="shared" ref="BI33" si="560">+BI32+BH33</f>
        <v>813289.58314842707</v>
      </c>
      <c r="BJ33" s="9">
        <f t="shared" ref="BJ33" si="561">+BJ32+BI33</f>
        <v>850000.00000000012</v>
      </c>
      <c r="BK33" s="9">
        <f t="shared" ref="BK33" si="562">+BK32+BJ33</f>
        <v>850000.00000000012</v>
      </c>
      <c r="BL33" s="9">
        <f t="shared" ref="BL33" si="563">+BL32+BK33</f>
        <v>850000.00000000012</v>
      </c>
      <c r="BM33" s="9">
        <f t="shared" ref="BM33" si="564">+BM32+BL33</f>
        <v>850000.00000000012</v>
      </c>
      <c r="BN33" s="9">
        <f t="shared" ref="BN33" si="565">+BN32+BM33</f>
        <v>850000.00000000012</v>
      </c>
      <c r="BO33" s="9">
        <f t="shared" ref="BO33" si="566">+BO32+BN33</f>
        <v>850000.00000000012</v>
      </c>
      <c r="BP33" s="9">
        <f t="shared" ref="BP33" si="567">+BP32+BO33</f>
        <v>850000.00000000012</v>
      </c>
      <c r="BQ33" s="9">
        <f t="shared" ref="BQ33" si="568">+BQ32+BP33</f>
        <v>850000.00000000012</v>
      </c>
      <c r="BR33" s="9">
        <f t="shared" ref="BR33" si="569">+BR32+BQ33</f>
        <v>850000.00000000012</v>
      </c>
      <c r="BS33" s="9">
        <f t="shared" ref="BS33" si="570">+BS32+BR33</f>
        <v>850000.00000000012</v>
      </c>
      <c r="BT33" s="9">
        <f t="shared" ref="BT33" si="571">+BT32+BS33</f>
        <v>850000.00000000012</v>
      </c>
      <c r="BU33" s="9">
        <f t="shared" ref="BU33" si="572">+BU32+BT33</f>
        <v>850000.00000000012</v>
      </c>
      <c r="BV33" s="9">
        <f t="shared" ref="BV33" si="573">+BV32+BU33</f>
        <v>850000.00000000012</v>
      </c>
      <c r="BW33" s="9">
        <f t="shared" ref="BW33" si="574">+BW32+BV33</f>
        <v>850000.00000000012</v>
      </c>
      <c r="BX33" s="9">
        <f t="shared" ref="BX33" si="575">+BX32+BW33</f>
        <v>850000.00000000012</v>
      </c>
      <c r="BY33" s="9">
        <f t="shared" ref="BY33" si="576">+BY32+BX33</f>
        <v>850000.00000000012</v>
      </c>
      <c r="BZ33" s="9">
        <f t="shared" ref="BZ33" si="577">+BZ32+BY33</f>
        <v>850000.00000000012</v>
      </c>
      <c r="CA33" s="9">
        <f t="shared" ref="CA33" si="578">+CA32+BZ33</f>
        <v>850000.00000000012</v>
      </c>
      <c r="CB33" s="9">
        <f t="shared" ref="CB33" si="579">+CB32+CA33</f>
        <v>850000.00000000012</v>
      </c>
      <c r="CC33" s="9">
        <f t="shared" ref="CC33" si="580">+CC32+CB33</f>
        <v>850000.00000000012</v>
      </c>
      <c r="CD33" s="9">
        <f t="shared" ref="CD33" si="581">+CD32+CC33</f>
        <v>850000.00000000012</v>
      </c>
      <c r="CE33" s="9">
        <f t="shared" ref="CE33" si="582">+CE32+CD33</f>
        <v>850000.00000000012</v>
      </c>
      <c r="CF33" s="9">
        <f t="shared" ref="CF33" si="583">+CF32+CE33</f>
        <v>850000.00000000012</v>
      </c>
      <c r="CG33" s="9">
        <f t="shared" ref="CG33" si="584">+CG32+CF33</f>
        <v>850000.00000000012</v>
      </c>
      <c r="CH33" s="9">
        <f t="shared" ref="CH33" si="585">+CH32+CG33</f>
        <v>850000.00000000012</v>
      </c>
      <c r="CI33" s="9">
        <f t="shared" ref="CI33" si="586">+CI32+CH33</f>
        <v>850000.00000000012</v>
      </c>
      <c r="CJ33" s="9">
        <f t="shared" ref="CJ33" si="587">+CJ32+CI33</f>
        <v>850000.00000000012</v>
      </c>
      <c r="CK33" s="9">
        <f t="shared" ref="CK33" si="588">+CK32+CJ33</f>
        <v>850000.00000000012</v>
      </c>
      <c r="CL33" s="9">
        <f t="shared" ref="CL33" si="589">+CL32+CK33</f>
        <v>850000.00000000012</v>
      </c>
      <c r="CM33" s="9">
        <f t="shared" ref="CM33" si="590">+CM32+CL33</f>
        <v>850000.00000000012</v>
      </c>
      <c r="CN33" s="9">
        <f t="shared" ref="CN33" si="591">+CN32+CM33</f>
        <v>850000.00000000012</v>
      </c>
      <c r="CO33" s="9">
        <f t="shared" ref="CO33" si="592">+CO32+CN33</f>
        <v>850000.00000000012</v>
      </c>
      <c r="CP33" s="9">
        <f t="shared" ref="CP33" si="593">+CP32+CO33</f>
        <v>850000.00000000012</v>
      </c>
      <c r="CQ33" s="9">
        <f t="shared" ref="CQ33" si="594">+CQ32+CP33</f>
        <v>850000.00000000012</v>
      </c>
      <c r="CR33" s="9">
        <f t="shared" ref="CR33" si="595">+CR32+CQ33</f>
        <v>850000.00000000012</v>
      </c>
      <c r="CS33" s="9">
        <f t="shared" ref="CS33" si="596">+CS32+CR33</f>
        <v>850000.00000000012</v>
      </c>
      <c r="CT33" s="9">
        <f t="shared" ref="CT33" si="597">+CT32+CS33</f>
        <v>850000.00000000012</v>
      </c>
      <c r="CU33" s="9">
        <f t="shared" ref="CU33" si="598">+CU32+CT33</f>
        <v>850000.00000000012</v>
      </c>
      <c r="CV33" s="9">
        <f t="shared" ref="CV33" si="599">+CV32+CU33</f>
        <v>850000.00000000012</v>
      </c>
      <c r="CW33" s="9">
        <f t="shared" ref="CW33" si="600">+CW32+CV33</f>
        <v>850000.00000000012</v>
      </c>
      <c r="CX33" s="9">
        <f t="shared" ref="CX33" si="601">+CX32+CW33</f>
        <v>850000.00000000012</v>
      </c>
      <c r="CY33" s="9">
        <f t="shared" ref="CY33" si="602">+CY32+CX33</f>
        <v>850000.00000000012</v>
      </c>
      <c r="CZ33" s="9">
        <f t="shared" ref="CZ33" si="603">+CZ32+CY33</f>
        <v>850000.00000000012</v>
      </c>
      <c r="DA33" s="9">
        <f t="shared" ref="DA33" si="604">+DA32+CZ33</f>
        <v>850000.00000000012</v>
      </c>
      <c r="DB33" s="9">
        <f t="shared" ref="DB33" si="605">+DB32+DA33</f>
        <v>850000.00000000012</v>
      </c>
      <c r="DC33" s="9">
        <f t="shared" ref="DC33" si="606">+DC32+DB33</f>
        <v>850000.00000000012</v>
      </c>
      <c r="DD33" s="9">
        <f t="shared" ref="DD33" si="607">+DD32+DC33</f>
        <v>850000.00000000012</v>
      </c>
      <c r="DE33" s="9">
        <f t="shared" ref="DE33" si="608">+DE32+DD33</f>
        <v>850000.00000000012</v>
      </c>
      <c r="DF33" s="9">
        <f t="shared" ref="DF33" si="609">+DF32+DE33</f>
        <v>850000.00000000012</v>
      </c>
      <c r="DG33" s="9">
        <f t="shared" ref="DG33:DH33" si="610">+DG32+DF33</f>
        <v>850000.00000000012</v>
      </c>
      <c r="DH33" s="9">
        <f t="shared" si="610"/>
        <v>850000.00000000012</v>
      </c>
    </row>
    <row r="34" spans="2:112" x14ac:dyDescent="0.25">
      <c r="B34" t="s">
        <v>473</v>
      </c>
      <c r="C34" s="473">
        <f>+EOMONTH(C33,12)</f>
        <v>46721</v>
      </c>
      <c r="D34" t="s">
        <v>278</v>
      </c>
      <c r="F34" s="422">
        <f>+IFERROR(INDEX(Assumptions!$F$31:$F$42, MATCH(F29, Assumptions!$D$31:$D$42, 0))*$C$31, 0)</f>
        <v>0</v>
      </c>
      <c r="G34" s="9">
        <f>+IFERROR(INDEX(Assumptions!$F$31:$F$42, MATCH(G29, Assumptions!$D$31:$D$42, 0))*$C$31, 0)</f>
        <v>0</v>
      </c>
      <c r="H34" s="9">
        <f>+IFERROR(INDEX(Assumptions!$F$31:$F$42, MATCH(H29, Assumptions!$D$31:$D$42, 0))*$C$31, 0)</f>
        <v>0</v>
      </c>
      <c r="I34" s="9">
        <f>+IFERROR(INDEX(Assumptions!$F$31:$F$42, MATCH(I29, Assumptions!$D$31:$D$42, 0))*$C$31, 0)</f>
        <v>0</v>
      </c>
      <c r="J34" s="9">
        <f>+IFERROR(INDEX(Assumptions!$F$31:$F$42, MATCH(J29, Assumptions!$D$31:$D$42, 0))*$C$31, 0)</f>
        <v>0</v>
      </c>
      <c r="K34" s="9">
        <f>+IFERROR(INDEX(Assumptions!$F$31:$F$42, MATCH(K29, Assumptions!$D$31:$D$42, 0))*$C$31, 0)</f>
        <v>0</v>
      </c>
      <c r="L34" s="9">
        <f>+IFERROR(INDEX(Assumptions!$F$31:$F$42, MATCH(L29, Assumptions!$D$31:$D$42, 0))*$C$31, 0)</f>
        <v>0</v>
      </c>
      <c r="M34" s="9">
        <f>+IFERROR(INDEX(Assumptions!$F$31:$F$42, MATCH(M29, Assumptions!$D$31:$D$42, 0))*$C$31, 0)</f>
        <v>0</v>
      </c>
      <c r="N34" s="9">
        <f>+IFERROR(INDEX(Assumptions!$F$31:$F$42, MATCH(N29, Assumptions!$D$31:$D$42, 0))*$C$31, 0)</f>
        <v>0</v>
      </c>
      <c r="O34" s="9">
        <f>+IFERROR(INDEX(Assumptions!$F$31:$F$42, MATCH(O29, Assumptions!$D$31:$D$42, 0))*$C$31, 0)</f>
        <v>0</v>
      </c>
      <c r="P34" s="9">
        <f>+IFERROR(INDEX(Assumptions!$F$31:$F$42, MATCH(P29, Assumptions!$D$31:$D$42, 0))*$C$31, 0)</f>
        <v>0</v>
      </c>
      <c r="Q34" s="9">
        <f>+IFERROR(INDEX(Assumptions!$F$31:$F$42, MATCH(Q29, Assumptions!$D$31:$D$42, 0))*$C$31, 0)</f>
        <v>0</v>
      </c>
      <c r="R34" s="9">
        <f>+IFERROR(INDEX(Assumptions!$F$31:$F$42, MATCH(R29, Assumptions!$D$31:$D$42, 0))*$C$31, 0)</f>
        <v>0</v>
      </c>
      <c r="S34" s="9">
        <f>+IFERROR(INDEX(Assumptions!$F$31:$F$42, MATCH(S29, Assumptions!$D$31:$D$42, 0))*$C$31, 0)</f>
        <v>0</v>
      </c>
      <c r="T34" s="9">
        <f>+IFERROR(INDEX(Assumptions!$F$31:$F$42, MATCH(T29, Assumptions!$D$31:$D$42, 0))*$C$31, 0)</f>
        <v>0</v>
      </c>
      <c r="U34" s="9">
        <f>+IFERROR(INDEX(Assumptions!$F$31:$F$42, MATCH(U29, Assumptions!$D$31:$D$42, 0))*$C$31, 0)</f>
        <v>0</v>
      </c>
      <c r="V34" s="9">
        <f>+IFERROR(INDEX(Assumptions!$F$31:$F$42, MATCH(V29, Assumptions!$D$31:$D$42, 0))*$C$31, 0)</f>
        <v>0</v>
      </c>
      <c r="W34" s="9">
        <f>+IFERROR(INDEX(Assumptions!$F$31:$F$42, MATCH(W29, Assumptions!$D$31:$D$42, 0))*$C$31, 0)</f>
        <v>0</v>
      </c>
      <c r="X34" s="9">
        <f>+IFERROR(INDEX(Assumptions!$F$31:$F$42, MATCH(X29, Assumptions!$D$31:$D$42, 0))*$C$31, 0)</f>
        <v>0</v>
      </c>
      <c r="Y34" s="9">
        <f>+IFERROR(INDEX(Assumptions!$F$31:$F$42, MATCH(Y29, Assumptions!$D$31:$D$42, 0))*$C$31, 0)</f>
        <v>0</v>
      </c>
      <c r="Z34" s="9">
        <f>+IFERROR(INDEX(Assumptions!$F$31:$F$42, MATCH(Z29, Assumptions!$D$31:$D$42, 0))*$C$31, 0)</f>
        <v>0</v>
      </c>
      <c r="AA34" s="9">
        <f>+IFERROR(INDEX(Assumptions!$F$31:$F$42, MATCH(AA29, Assumptions!$D$31:$D$42, 0))*$C$31, 0)</f>
        <v>0</v>
      </c>
      <c r="AB34" s="9">
        <f>+IFERROR(INDEX(Assumptions!$F$31:$F$42, MATCH(AB29, Assumptions!$D$31:$D$42, 0))*$C$31, 0)</f>
        <v>0</v>
      </c>
      <c r="AC34" s="9">
        <f>+IFERROR(INDEX(Assumptions!$F$31:$F$42, MATCH(AC29, Assumptions!$D$31:$D$42, 0))*$C$31, 0)</f>
        <v>0</v>
      </c>
      <c r="AD34" s="9">
        <f>+IFERROR(INDEX(Assumptions!$F$31:$F$42, MATCH(AD29, Assumptions!$D$31:$D$42, 0))*$C$31, 0)</f>
        <v>0</v>
      </c>
      <c r="AE34" s="9">
        <f>+IFERROR(INDEX(Assumptions!$F$31:$F$42, MATCH(AE29, Assumptions!$D$31:$D$42, 0))*$C$31, 0)</f>
        <v>0</v>
      </c>
      <c r="AF34" s="9">
        <f>+IFERROR(INDEX(Assumptions!$F$31:$F$42, MATCH(AF29, Assumptions!$D$31:$D$42, 0))*$C$31, 0)</f>
        <v>0</v>
      </c>
      <c r="AG34" s="9">
        <f>+IFERROR(INDEX(Assumptions!$F$31:$F$42, MATCH(AG29, Assumptions!$D$31:$D$42, 0))*$C$31, 0)</f>
        <v>0</v>
      </c>
      <c r="AH34" s="9">
        <f>+IFERROR(INDEX(Assumptions!$F$31:$F$42, MATCH(AH29, Assumptions!$D$31:$D$42, 0))*$C$31, 0)</f>
        <v>0</v>
      </c>
      <c r="AI34" s="9">
        <f>+IFERROR(INDEX(Assumptions!$F$31:$F$42, MATCH(AI29, Assumptions!$D$31:$D$42, 0))*$C$31, 0)</f>
        <v>0</v>
      </c>
      <c r="AJ34" s="9">
        <f>+IFERROR(INDEX(Assumptions!$F$31:$F$42, MATCH(AJ29, Assumptions!$D$31:$D$42, 0))*$C$31, 0)</f>
        <v>0</v>
      </c>
      <c r="AK34" s="9">
        <f>+IFERROR(INDEX(Assumptions!$F$31:$F$42, MATCH(AK29, Assumptions!$D$31:$D$42, 0))*$C$31, 0)</f>
        <v>0</v>
      </c>
      <c r="AL34" s="9">
        <f>+IFERROR(INDEX(Assumptions!$F$31:$F$42, MATCH(AL29, Assumptions!$D$31:$D$42, 0))*$C$31, 0)</f>
        <v>0</v>
      </c>
      <c r="AM34" s="9">
        <f>+IFERROR(INDEX(Assumptions!$F$31:$F$42, MATCH(AM29, Assumptions!$D$31:$D$42, 0))*$C$31, 0)</f>
        <v>0</v>
      </c>
      <c r="AN34" s="9">
        <f>+IFERROR(INDEX(Assumptions!$F$31:$F$42, MATCH(AN29, Assumptions!$D$31:$D$42, 0))*$C$31, 0)</f>
        <v>0</v>
      </c>
      <c r="AO34" s="9">
        <f>+IFERROR(INDEX(Assumptions!$F$31:$F$42, MATCH(AO29, Assumptions!$D$31:$D$42, 0))*$C$31, 0)</f>
        <v>0</v>
      </c>
      <c r="AP34" s="9">
        <f>+IFERROR(INDEX(Assumptions!$F$31:$F$42, MATCH(AP29, Assumptions!$D$31:$D$42, 0))*$C$31, 0)</f>
        <v>0</v>
      </c>
      <c r="AQ34" s="9">
        <f>+IFERROR(INDEX(Assumptions!$F$31:$F$42, MATCH(AQ29, Assumptions!$D$31:$D$42, 0))*$C$31, 0)</f>
        <v>0</v>
      </c>
      <c r="AR34" s="9">
        <f>+IFERROR(INDEX(Assumptions!$F$31:$F$42, MATCH(AR29, Assumptions!$D$31:$D$42, 0))*$C$31, 0)</f>
        <v>0</v>
      </c>
      <c r="AS34" s="9">
        <f>+IFERROR(INDEX(Assumptions!$F$31:$F$42, MATCH(AS29, Assumptions!$D$31:$D$42, 0))*$C$31, 0)</f>
        <v>0</v>
      </c>
      <c r="AT34" s="9">
        <f>+IFERROR(INDEX(Assumptions!$F$31:$F$42, MATCH(AT29, Assumptions!$D$31:$D$42, 0))*$C$31, 0)</f>
        <v>0</v>
      </c>
      <c r="AU34" s="9">
        <f>+IFERROR(INDEX(Assumptions!$F$31:$F$42, MATCH(AU29, Assumptions!$D$31:$D$42, 0))*$C$31, 0)</f>
        <v>0</v>
      </c>
      <c r="AV34" s="9">
        <f>+IFERROR(INDEX(Assumptions!$F$31:$F$42, MATCH(AV29, Assumptions!$D$31:$D$42, 0))*$C$31, 0)</f>
        <v>0</v>
      </c>
      <c r="AW34" s="9">
        <f>+IFERROR(INDEX(Assumptions!$F$31:$F$42, MATCH(AW29, Assumptions!$D$31:$D$42, 0))*$C$31, 0)</f>
        <v>0</v>
      </c>
      <c r="AX34" s="9">
        <f>+IFERROR(INDEX(Assumptions!$F$31:$F$42, MATCH(AX29, Assumptions!$D$31:$D$42, 0))*$C$31, 0)</f>
        <v>0</v>
      </c>
      <c r="AY34" s="9">
        <f>+IFERROR(INDEX(Assumptions!$F$31:$F$42, MATCH(AY29, Assumptions!$D$31:$D$42, 0))*$C$31, 0)</f>
        <v>215000</v>
      </c>
      <c r="AZ34" s="9">
        <f>+IFERROR(INDEX(Assumptions!$F$31:$F$42, MATCH(AZ29, Assumptions!$D$31:$D$42, 0))*$C$31, 0)</f>
        <v>0</v>
      </c>
      <c r="BA34" s="9">
        <f>+IFERROR(INDEX(Assumptions!$F$31:$F$42, MATCH(BA29, Assumptions!$D$31:$D$42, 0))*$C$31, 0)</f>
        <v>0</v>
      </c>
      <c r="BB34" s="9">
        <f>+IFERROR(INDEX(Assumptions!$F$31:$F$42, MATCH(BB29, Assumptions!$D$31:$D$42, 0))*$C$31, 0)</f>
        <v>0</v>
      </c>
      <c r="BC34" s="9">
        <f>+IFERROR(INDEX(Assumptions!$F$31:$F$42, MATCH(BC29, Assumptions!$D$31:$D$42, 0))*$C$31, 0)</f>
        <v>430000</v>
      </c>
      <c r="BD34" s="9">
        <f>+IFERROR(INDEX(Assumptions!$F$31:$F$42, MATCH(BD29, Assumptions!$D$31:$D$42, 0))*$C$31, 0)</f>
        <v>537500</v>
      </c>
      <c r="BE34" s="9">
        <f>+IFERROR(INDEX(Assumptions!$F$31:$F$42, MATCH(BE29, Assumptions!$D$31:$D$42, 0))*$C$31, 0)</f>
        <v>322500</v>
      </c>
      <c r="BF34" s="9">
        <f>+IFERROR(INDEX(Assumptions!$F$31:$F$42, MATCH(BF29, Assumptions!$D$31:$D$42, 0))*$C$31, 0)</f>
        <v>0</v>
      </c>
      <c r="BG34" s="9">
        <f>+IFERROR(INDEX(Assumptions!$F$31:$F$42, MATCH(BG29, Assumptions!$D$31:$D$42, 0))*$C$31, 0)</f>
        <v>322500</v>
      </c>
      <c r="BH34" s="9">
        <f>+IFERROR(INDEX(Assumptions!$F$31:$F$42, MATCH(BH29, Assumptions!$D$31:$D$42, 0))*$C$31, 0)</f>
        <v>0</v>
      </c>
      <c r="BI34" s="9">
        <f>+IFERROR(INDEX(Assumptions!$F$31:$F$42, MATCH(BI29, Assumptions!$D$31:$D$42, 0))*$C$31, 0)</f>
        <v>322500</v>
      </c>
      <c r="BJ34" s="9">
        <f>+IFERROR(INDEX(Assumptions!$F$31:$F$42, MATCH(BJ29, Assumptions!$D$31:$D$42, 0))*$C$31, 0)</f>
        <v>0</v>
      </c>
      <c r="BK34" s="9">
        <f>+IFERROR(INDEX(Assumptions!$F$31:$F$42, MATCH(BK29, Assumptions!$D$31:$D$42, 0))*$C$31, 0)</f>
        <v>0</v>
      </c>
      <c r="BL34" s="9">
        <f>+IFERROR(INDEX(Assumptions!$F$31:$F$42, MATCH(BL29, Assumptions!$D$31:$D$42, 0))*$C$31, 0)</f>
        <v>0</v>
      </c>
      <c r="BM34" s="9">
        <f>+IFERROR(INDEX(Assumptions!$F$31:$F$42, MATCH(BM29, Assumptions!$D$31:$D$42, 0))*$C$31, 0)</f>
        <v>0</v>
      </c>
      <c r="BN34" s="9">
        <f>+IFERROR(INDEX(Assumptions!$F$31:$F$42, MATCH(BN29, Assumptions!$D$31:$D$42, 0))*$C$31, 0)</f>
        <v>0</v>
      </c>
      <c r="BO34" s="9">
        <f>+IFERROR(INDEX(Assumptions!$F$31:$F$42, MATCH(BO29, Assumptions!$D$31:$D$42, 0))*$C$31, 0)</f>
        <v>0</v>
      </c>
      <c r="BP34" s="9">
        <f>+IFERROR(INDEX(Assumptions!$F$31:$F$42, MATCH(BP29, Assumptions!$D$31:$D$42, 0))*$C$31, 0)</f>
        <v>0</v>
      </c>
      <c r="BQ34" s="9">
        <f>+IFERROR(INDEX(Assumptions!$F$31:$F$42, MATCH(BQ29, Assumptions!$D$31:$D$42, 0))*$C$31, 0)</f>
        <v>0</v>
      </c>
      <c r="BR34" s="9">
        <f>+IFERROR(INDEX(Assumptions!$F$31:$F$42, MATCH(BR29, Assumptions!$D$31:$D$42, 0))*$C$31, 0)</f>
        <v>0</v>
      </c>
      <c r="BS34" s="9">
        <f>+IFERROR(INDEX(Assumptions!$F$31:$F$42, MATCH(BS29, Assumptions!$D$31:$D$42, 0))*$C$31, 0)</f>
        <v>0</v>
      </c>
      <c r="BT34" s="9">
        <f>+IFERROR(INDEX(Assumptions!$F$31:$F$42, MATCH(BT29, Assumptions!$D$31:$D$42, 0))*$C$31, 0)</f>
        <v>0</v>
      </c>
      <c r="BU34" s="9">
        <f>+IFERROR(INDEX(Assumptions!$F$31:$F$42, MATCH(BU29, Assumptions!$D$31:$D$42, 0))*$C$31, 0)</f>
        <v>0</v>
      </c>
      <c r="BV34" s="9">
        <f>+IFERROR(INDEX(Assumptions!$F$31:$F$42, MATCH(BV29, Assumptions!$D$31:$D$42, 0))*$C$31, 0)</f>
        <v>0</v>
      </c>
      <c r="BW34" s="9">
        <f>+IFERROR(INDEX(Assumptions!$F$31:$F$42, MATCH(BW29, Assumptions!$D$31:$D$42, 0))*$C$31, 0)</f>
        <v>0</v>
      </c>
      <c r="BX34" s="9">
        <f>+IFERROR(INDEX(Assumptions!$F$31:$F$42, MATCH(BX29, Assumptions!$D$31:$D$42, 0))*$C$31, 0)</f>
        <v>0</v>
      </c>
      <c r="BY34" s="9">
        <f>+IFERROR(INDEX(Assumptions!$F$31:$F$42, MATCH(BY29, Assumptions!$D$31:$D$42, 0))*$C$31, 0)</f>
        <v>0</v>
      </c>
      <c r="BZ34" s="9">
        <f>+IFERROR(INDEX(Assumptions!$F$31:$F$42, MATCH(BZ29, Assumptions!$D$31:$D$42, 0))*$C$31, 0)</f>
        <v>0</v>
      </c>
      <c r="CA34" s="9">
        <f>+IFERROR(INDEX(Assumptions!$F$31:$F$42, MATCH(CA29, Assumptions!$D$31:$D$42, 0))*$C$31, 0)</f>
        <v>0</v>
      </c>
      <c r="CB34" s="9">
        <f>+IFERROR(INDEX(Assumptions!$F$31:$F$42, MATCH(CB29, Assumptions!$D$31:$D$42, 0))*$C$31, 0)</f>
        <v>0</v>
      </c>
      <c r="CC34" s="9">
        <f>+IFERROR(INDEX(Assumptions!$F$31:$F$42, MATCH(CC29, Assumptions!$D$31:$D$42, 0))*$C$31, 0)</f>
        <v>0</v>
      </c>
      <c r="CD34" s="9">
        <f>+IFERROR(INDEX(Assumptions!$F$31:$F$42, MATCH(CD29, Assumptions!$D$31:$D$42, 0))*$C$31, 0)</f>
        <v>0</v>
      </c>
      <c r="CE34" s="9">
        <f>+IFERROR(INDEX(Assumptions!$F$31:$F$42, MATCH(CE29, Assumptions!$D$31:$D$42, 0))*$C$31, 0)</f>
        <v>0</v>
      </c>
      <c r="CF34" s="9">
        <f>+IFERROR(INDEX(Assumptions!$F$31:$F$42, MATCH(CF29, Assumptions!$D$31:$D$42, 0))*$C$31, 0)</f>
        <v>0</v>
      </c>
      <c r="CG34" s="9">
        <f>+IFERROR(INDEX(Assumptions!$F$31:$F$42, MATCH(CG29, Assumptions!$D$31:$D$42, 0))*$C$31, 0)</f>
        <v>0</v>
      </c>
      <c r="CH34" s="9">
        <f>+IFERROR(INDEX(Assumptions!$F$31:$F$42, MATCH(CH29, Assumptions!$D$31:$D$42, 0))*$C$31, 0)</f>
        <v>0</v>
      </c>
      <c r="CI34" s="9">
        <f>+IFERROR(INDEX(Assumptions!$F$31:$F$42, MATCH(CI29, Assumptions!$D$31:$D$42, 0))*$C$31, 0)</f>
        <v>0</v>
      </c>
      <c r="CJ34" s="9">
        <f>+IFERROR(INDEX(Assumptions!$F$31:$F$42, MATCH(CJ29, Assumptions!$D$31:$D$42, 0))*$C$31, 0)</f>
        <v>0</v>
      </c>
      <c r="CK34" s="9">
        <f>+IFERROR(INDEX(Assumptions!$F$31:$F$42, MATCH(CK29, Assumptions!$D$31:$D$42, 0))*$C$31, 0)</f>
        <v>0</v>
      </c>
      <c r="CL34" s="9">
        <f>+IFERROR(INDEX(Assumptions!$F$31:$F$42, MATCH(CL29, Assumptions!$D$31:$D$42, 0))*$C$31, 0)</f>
        <v>0</v>
      </c>
      <c r="CM34" s="9">
        <f>+IFERROR(INDEX(Assumptions!$F$31:$F$42, MATCH(CM29, Assumptions!$D$31:$D$42, 0))*$C$31, 0)</f>
        <v>0</v>
      </c>
      <c r="CN34" s="9">
        <f>+IFERROR(INDEX(Assumptions!$F$31:$F$42, MATCH(CN29, Assumptions!$D$31:$D$42, 0))*$C$31, 0)</f>
        <v>0</v>
      </c>
      <c r="CO34" s="9">
        <f>+IFERROR(INDEX(Assumptions!$F$31:$F$42, MATCH(CO29, Assumptions!$D$31:$D$42, 0))*$C$31, 0)</f>
        <v>0</v>
      </c>
      <c r="CP34" s="9">
        <f>+IFERROR(INDEX(Assumptions!$F$31:$F$42, MATCH(CP29, Assumptions!$D$31:$D$42, 0))*$C$31, 0)</f>
        <v>0</v>
      </c>
      <c r="CQ34" s="9">
        <f>+IFERROR(INDEX(Assumptions!$F$31:$F$42, MATCH(CQ29, Assumptions!$D$31:$D$42, 0))*$C$31, 0)</f>
        <v>0</v>
      </c>
      <c r="CR34" s="9">
        <f>+IFERROR(INDEX(Assumptions!$F$31:$F$42, MATCH(CR29, Assumptions!$D$31:$D$42, 0))*$C$31, 0)</f>
        <v>0</v>
      </c>
      <c r="CS34" s="9">
        <f>+IFERROR(INDEX(Assumptions!$F$31:$F$42, MATCH(CS29, Assumptions!$D$31:$D$42, 0))*$C$31, 0)</f>
        <v>0</v>
      </c>
      <c r="CT34" s="9">
        <f>+IFERROR(INDEX(Assumptions!$F$31:$F$42, MATCH(CT29, Assumptions!$D$31:$D$42, 0))*$C$31, 0)</f>
        <v>0</v>
      </c>
      <c r="CU34" s="9">
        <f>+IFERROR(INDEX(Assumptions!$F$31:$F$42, MATCH(CU29, Assumptions!$D$31:$D$42, 0))*$C$31, 0)</f>
        <v>0</v>
      </c>
      <c r="CV34" s="9">
        <f>+IFERROR(INDEX(Assumptions!$F$31:$F$42, MATCH(CV29, Assumptions!$D$31:$D$42, 0))*$C$31, 0)</f>
        <v>0</v>
      </c>
      <c r="CW34" s="9">
        <f>+IFERROR(INDEX(Assumptions!$F$31:$F$42, MATCH(CW29, Assumptions!$D$31:$D$42, 0))*$C$31, 0)</f>
        <v>0</v>
      </c>
      <c r="CX34" s="9">
        <f>+IFERROR(INDEX(Assumptions!$F$31:$F$42, MATCH(CX29, Assumptions!$D$31:$D$42, 0))*$C$31, 0)</f>
        <v>0</v>
      </c>
      <c r="CY34" s="9">
        <f>+IFERROR(INDEX(Assumptions!$F$31:$F$42, MATCH(CY29, Assumptions!$D$31:$D$42, 0))*$C$31, 0)</f>
        <v>0</v>
      </c>
      <c r="CZ34" s="9">
        <f>+IFERROR(INDEX(Assumptions!$F$31:$F$42, MATCH(CZ29, Assumptions!$D$31:$D$42, 0))*$C$31, 0)</f>
        <v>0</v>
      </c>
      <c r="DA34" s="9">
        <f>+IFERROR(INDEX(Assumptions!$F$31:$F$42, MATCH(DA29, Assumptions!$D$31:$D$42, 0))*$C$31, 0)</f>
        <v>0</v>
      </c>
      <c r="DB34" s="9">
        <f>+IFERROR(INDEX(Assumptions!$F$31:$F$42, MATCH(DB29, Assumptions!$D$31:$D$42, 0))*$C$31, 0)</f>
        <v>0</v>
      </c>
      <c r="DC34" s="9">
        <f>+IFERROR(INDEX(Assumptions!$F$31:$F$42, MATCH(DC29, Assumptions!$D$31:$D$42, 0))*$C$31, 0)</f>
        <v>0</v>
      </c>
      <c r="DD34" s="9">
        <f>+IFERROR(INDEX(Assumptions!$F$31:$F$42, MATCH(DD29, Assumptions!$D$31:$D$42, 0))*$C$31, 0)</f>
        <v>0</v>
      </c>
      <c r="DE34" s="9">
        <f>+IFERROR(INDEX(Assumptions!$F$31:$F$42, MATCH(DE29, Assumptions!$D$31:$D$42, 0))*$C$31, 0)</f>
        <v>0</v>
      </c>
      <c r="DF34" s="9">
        <f>+IFERROR(INDEX(Assumptions!$F$31:$F$42, MATCH(DF29, Assumptions!$D$31:$D$42, 0))*$C$31, 0)</f>
        <v>0</v>
      </c>
      <c r="DG34" s="9">
        <f>+IFERROR(INDEX(Assumptions!$F$31:$F$42, MATCH(DG29, Assumptions!$D$31:$D$42, 0))*$C$31, 0)</f>
        <v>0</v>
      </c>
      <c r="DH34" s="9">
        <f>+IFERROR(INDEX(Assumptions!$F$31:$F$42, MATCH(DH29, Assumptions!$D$31:$D$42, 0))*$C$31, 0)</f>
        <v>0</v>
      </c>
    </row>
    <row r="35" spans="2:112" x14ac:dyDescent="0.25">
      <c r="D35" t="s">
        <v>277</v>
      </c>
      <c r="F35" s="9">
        <f t="shared" ref="F35" si="611">+F34+E35</f>
        <v>0</v>
      </c>
      <c r="G35" s="9">
        <f t="shared" ref="G35" si="612">+G34+F35</f>
        <v>0</v>
      </c>
      <c r="H35" s="9">
        <f t="shared" ref="H35" si="613">+H34+G35</f>
        <v>0</v>
      </c>
      <c r="I35" s="9">
        <f t="shared" ref="I35" si="614">+I34+H35</f>
        <v>0</v>
      </c>
      <c r="J35" s="9">
        <f t="shared" ref="J35" si="615">+J34+I35</f>
        <v>0</v>
      </c>
      <c r="K35" s="9">
        <f t="shared" ref="K35" si="616">+K34+J35</f>
        <v>0</v>
      </c>
      <c r="L35" s="9">
        <f t="shared" ref="L35" si="617">+L34+K35</f>
        <v>0</v>
      </c>
      <c r="M35" s="9">
        <f t="shared" ref="M35" si="618">+M34+L35</f>
        <v>0</v>
      </c>
      <c r="N35" s="9">
        <f t="shared" ref="N35" si="619">+N34+M35</f>
        <v>0</v>
      </c>
      <c r="O35" s="9">
        <f t="shared" ref="O35" si="620">+O34+N35</f>
        <v>0</v>
      </c>
      <c r="P35" s="9">
        <f t="shared" ref="P35" si="621">+P34+O35</f>
        <v>0</v>
      </c>
      <c r="Q35" s="9">
        <f t="shared" ref="Q35" si="622">+Q34+P35</f>
        <v>0</v>
      </c>
      <c r="R35" s="9">
        <f t="shared" ref="R35" si="623">+R34+Q35</f>
        <v>0</v>
      </c>
      <c r="S35" s="9">
        <f t="shared" ref="S35" si="624">+S34+R35</f>
        <v>0</v>
      </c>
      <c r="T35" s="9">
        <f t="shared" ref="T35" si="625">+T34+S35</f>
        <v>0</v>
      </c>
      <c r="U35" s="9">
        <f t="shared" ref="U35" si="626">+U34+T35</f>
        <v>0</v>
      </c>
      <c r="V35" s="9">
        <f t="shared" ref="V35" si="627">+V34+U35</f>
        <v>0</v>
      </c>
      <c r="W35" s="9">
        <f>+W34+V35</f>
        <v>0</v>
      </c>
      <c r="X35" s="9">
        <f t="shared" ref="X35" si="628">+X34+W35</f>
        <v>0</v>
      </c>
      <c r="Y35" s="9">
        <f t="shared" ref="Y35" si="629">+Y34+X35</f>
        <v>0</v>
      </c>
      <c r="Z35" s="9">
        <f t="shared" ref="Z35" si="630">+Z34+Y35</f>
        <v>0</v>
      </c>
      <c r="AA35" s="9">
        <f t="shared" ref="AA35" si="631">+AA34+Z35</f>
        <v>0</v>
      </c>
      <c r="AB35" s="9">
        <f t="shared" ref="AB35" si="632">+AB34+AA35</f>
        <v>0</v>
      </c>
      <c r="AC35" s="9">
        <f t="shared" ref="AC35" si="633">+AC34+AB35</f>
        <v>0</v>
      </c>
      <c r="AD35" s="9">
        <f t="shared" ref="AD35" si="634">+AD34+AC35</f>
        <v>0</v>
      </c>
      <c r="AE35" s="9">
        <f t="shared" ref="AE35" si="635">+AE34+AD35</f>
        <v>0</v>
      </c>
      <c r="AF35" s="9">
        <f t="shared" ref="AF35" si="636">+AF34+AE35</f>
        <v>0</v>
      </c>
      <c r="AG35" s="9">
        <f t="shared" ref="AG35" si="637">+AG34+AF35</f>
        <v>0</v>
      </c>
      <c r="AH35" s="9">
        <f t="shared" ref="AH35" si="638">+AH34+AG35</f>
        <v>0</v>
      </c>
      <c r="AI35" s="9">
        <f t="shared" ref="AI35" si="639">+AI34+AH35</f>
        <v>0</v>
      </c>
      <c r="AJ35" s="9">
        <f t="shared" ref="AJ35" si="640">+AJ34+AI35</f>
        <v>0</v>
      </c>
      <c r="AK35" s="9">
        <f t="shared" ref="AK35" si="641">+AK34+AJ35</f>
        <v>0</v>
      </c>
      <c r="AL35" s="9">
        <f t="shared" ref="AL35" si="642">+AL34+AK35</f>
        <v>0</v>
      </c>
      <c r="AM35" s="9">
        <f t="shared" ref="AM35" si="643">+AM34+AL35</f>
        <v>0</v>
      </c>
      <c r="AN35" s="9">
        <f t="shared" ref="AN35" si="644">+AN34+AM35</f>
        <v>0</v>
      </c>
      <c r="AO35" s="9">
        <f t="shared" ref="AO35" si="645">+AO34+AN35</f>
        <v>0</v>
      </c>
      <c r="AP35" s="9">
        <f t="shared" ref="AP35" si="646">+AP34+AO35</f>
        <v>0</v>
      </c>
      <c r="AQ35" s="9">
        <f t="shared" ref="AQ35" si="647">+AQ34+AP35</f>
        <v>0</v>
      </c>
      <c r="AR35" s="9">
        <f t="shared" ref="AR35" si="648">+AR34+AQ35</f>
        <v>0</v>
      </c>
      <c r="AS35" s="9">
        <f t="shared" ref="AS35" si="649">+AS34+AR35</f>
        <v>0</v>
      </c>
      <c r="AT35" s="9">
        <f t="shared" ref="AT35" si="650">+AT34+AS35</f>
        <v>0</v>
      </c>
      <c r="AU35" s="9">
        <f t="shared" ref="AU35" si="651">+AU34+AT35</f>
        <v>0</v>
      </c>
      <c r="AV35" s="9">
        <f t="shared" ref="AV35" si="652">+AV34+AU35</f>
        <v>0</v>
      </c>
      <c r="AW35" s="9">
        <f t="shared" ref="AW35" si="653">+AW34+AV35</f>
        <v>0</v>
      </c>
      <c r="AX35" s="9">
        <f t="shared" ref="AX35" si="654">+AX34+AW35</f>
        <v>0</v>
      </c>
      <c r="AY35" s="9">
        <f t="shared" ref="AY35" si="655">+AY34+AX35</f>
        <v>215000</v>
      </c>
      <c r="AZ35" s="9">
        <f t="shared" ref="AZ35" si="656">+AZ34+AY35</f>
        <v>215000</v>
      </c>
      <c r="BA35" s="9">
        <f t="shared" ref="BA35" si="657">+BA34+AZ35</f>
        <v>215000</v>
      </c>
      <c r="BB35" s="9">
        <f t="shared" ref="BB35" si="658">+BB34+BA35</f>
        <v>215000</v>
      </c>
      <c r="BC35" s="9">
        <f t="shared" ref="BC35" si="659">+BC34+BB35</f>
        <v>645000</v>
      </c>
      <c r="BD35" s="9">
        <f t="shared" ref="BD35" si="660">+BD34+BC35</f>
        <v>1182500</v>
      </c>
      <c r="BE35" s="9">
        <f t="shared" ref="BE35" si="661">+BE34+BD35</f>
        <v>1505000</v>
      </c>
      <c r="BF35" s="9">
        <f t="shared" ref="BF35" si="662">+BF34+BE35</f>
        <v>1505000</v>
      </c>
      <c r="BG35" s="9">
        <f t="shared" ref="BG35" si="663">+BG34+BF35</f>
        <v>1827500</v>
      </c>
      <c r="BH35" s="9">
        <f t="shared" ref="BH35" si="664">+BH34+BG35</f>
        <v>1827500</v>
      </c>
      <c r="BI35" s="9">
        <f t="shared" ref="BI35" si="665">+BI34+BH35</f>
        <v>2150000</v>
      </c>
      <c r="BJ35" s="9">
        <f t="shared" ref="BJ35" si="666">+BJ34+BI35</f>
        <v>2150000</v>
      </c>
      <c r="BK35" s="9">
        <f t="shared" ref="BK35" si="667">+BK34+BJ35</f>
        <v>2150000</v>
      </c>
      <c r="BL35" s="9">
        <f t="shared" ref="BL35" si="668">+BL34+BK35</f>
        <v>2150000</v>
      </c>
      <c r="BM35" s="9">
        <f t="shared" ref="BM35" si="669">+BM34+BL35</f>
        <v>2150000</v>
      </c>
      <c r="BN35" s="9">
        <f t="shared" ref="BN35" si="670">+BN34+BM35</f>
        <v>2150000</v>
      </c>
      <c r="BO35" s="9">
        <f t="shared" ref="BO35" si="671">+BO34+BN35</f>
        <v>2150000</v>
      </c>
      <c r="BP35" s="9">
        <f t="shared" ref="BP35" si="672">+BP34+BO35</f>
        <v>2150000</v>
      </c>
      <c r="BQ35" s="9">
        <f t="shared" ref="BQ35" si="673">+BQ34+BP35</f>
        <v>2150000</v>
      </c>
      <c r="BR35" s="9">
        <f t="shared" ref="BR35" si="674">+BR34+BQ35</f>
        <v>2150000</v>
      </c>
      <c r="BS35" s="9">
        <f t="shared" ref="BS35" si="675">+BS34+BR35</f>
        <v>2150000</v>
      </c>
      <c r="BT35" s="9">
        <f t="shared" ref="BT35" si="676">+BT34+BS35</f>
        <v>2150000</v>
      </c>
      <c r="BU35" s="9">
        <f t="shared" ref="BU35" si="677">+BU34+BT35</f>
        <v>2150000</v>
      </c>
      <c r="BV35" s="9">
        <f t="shared" ref="BV35" si="678">+BV34+BU35</f>
        <v>2150000</v>
      </c>
      <c r="BW35" s="9">
        <f t="shared" ref="BW35" si="679">+BW34+BV35</f>
        <v>2150000</v>
      </c>
      <c r="BX35" s="9">
        <f t="shared" ref="BX35" si="680">+BX34+BW35</f>
        <v>2150000</v>
      </c>
      <c r="BY35" s="9">
        <f t="shared" ref="BY35" si="681">+BY34+BX35</f>
        <v>2150000</v>
      </c>
      <c r="BZ35" s="9">
        <f t="shared" ref="BZ35" si="682">+BZ34+BY35</f>
        <v>2150000</v>
      </c>
      <c r="CA35" s="9">
        <f t="shared" ref="CA35" si="683">+CA34+BZ35</f>
        <v>2150000</v>
      </c>
      <c r="CB35" s="9">
        <f t="shared" ref="CB35" si="684">+CB34+CA35</f>
        <v>2150000</v>
      </c>
      <c r="CC35" s="9">
        <f t="shared" ref="CC35" si="685">+CC34+CB35</f>
        <v>2150000</v>
      </c>
      <c r="CD35" s="9">
        <f t="shared" ref="CD35" si="686">+CD34+CC35</f>
        <v>2150000</v>
      </c>
      <c r="CE35" s="9">
        <f t="shared" ref="CE35" si="687">+CE34+CD35</f>
        <v>2150000</v>
      </c>
      <c r="CF35" s="9">
        <f t="shared" ref="CF35" si="688">+CF34+CE35</f>
        <v>2150000</v>
      </c>
      <c r="CG35" s="9">
        <f t="shared" ref="CG35" si="689">+CG34+CF35</f>
        <v>2150000</v>
      </c>
      <c r="CH35" s="9">
        <f t="shared" ref="CH35" si="690">+CH34+CG35</f>
        <v>2150000</v>
      </c>
      <c r="CI35" s="9">
        <f t="shared" ref="CI35" si="691">+CI34+CH35</f>
        <v>2150000</v>
      </c>
      <c r="CJ35" s="9">
        <f t="shared" ref="CJ35" si="692">+CJ34+CI35</f>
        <v>2150000</v>
      </c>
      <c r="CK35" s="9">
        <f t="shared" ref="CK35" si="693">+CK34+CJ35</f>
        <v>2150000</v>
      </c>
      <c r="CL35" s="9">
        <f t="shared" ref="CL35" si="694">+CL34+CK35</f>
        <v>2150000</v>
      </c>
      <c r="CM35" s="9">
        <f t="shared" ref="CM35" si="695">+CM34+CL35</f>
        <v>2150000</v>
      </c>
      <c r="CN35" s="9">
        <f t="shared" ref="CN35" si="696">+CN34+CM35</f>
        <v>2150000</v>
      </c>
      <c r="CO35" s="9">
        <f t="shared" ref="CO35" si="697">+CO34+CN35</f>
        <v>2150000</v>
      </c>
      <c r="CP35" s="9">
        <f t="shared" ref="CP35" si="698">+CP34+CO35</f>
        <v>2150000</v>
      </c>
      <c r="CQ35" s="9">
        <f t="shared" ref="CQ35" si="699">+CQ34+CP35</f>
        <v>2150000</v>
      </c>
      <c r="CR35" s="9">
        <f t="shared" ref="CR35" si="700">+CR34+CQ35</f>
        <v>2150000</v>
      </c>
      <c r="CS35" s="9">
        <f t="shared" ref="CS35" si="701">+CS34+CR35</f>
        <v>2150000</v>
      </c>
      <c r="CT35" s="9">
        <f t="shared" ref="CT35" si="702">+CT34+CS35</f>
        <v>2150000</v>
      </c>
      <c r="CU35" s="9">
        <f t="shared" ref="CU35" si="703">+CU34+CT35</f>
        <v>2150000</v>
      </c>
      <c r="CV35" s="9">
        <f t="shared" ref="CV35" si="704">+CV34+CU35</f>
        <v>2150000</v>
      </c>
      <c r="CW35" s="9">
        <f t="shared" ref="CW35" si="705">+CW34+CV35</f>
        <v>2150000</v>
      </c>
      <c r="CX35" s="9">
        <f t="shared" ref="CX35" si="706">+CX34+CW35</f>
        <v>2150000</v>
      </c>
      <c r="CY35" s="9">
        <f t="shared" ref="CY35" si="707">+CY34+CX35</f>
        <v>2150000</v>
      </c>
      <c r="CZ35" s="9">
        <f t="shared" ref="CZ35" si="708">+CZ34+CY35</f>
        <v>2150000</v>
      </c>
      <c r="DA35" s="9">
        <f t="shared" ref="DA35" si="709">+DA34+CZ35</f>
        <v>2150000</v>
      </c>
      <c r="DB35" s="9">
        <f t="shared" ref="DB35" si="710">+DB34+DA35</f>
        <v>2150000</v>
      </c>
      <c r="DC35" s="9">
        <f t="shared" ref="DC35" si="711">+DC34+DB35</f>
        <v>2150000</v>
      </c>
      <c r="DD35" s="9">
        <f t="shared" ref="DD35" si="712">+DD34+DC35</f>
        <v>2150000</v>
      </c>
      <c r="DE35" s="9">
        <f t="shared" ref="DE35" si="713">+DE34+DD35</f>
        <v>2150000</v>
      </c>
      <c r="DF35" s="9">
        <f t="shared" ref="DF35" si="714">+DF34+DE35</f>
        <v>2150000</v>
      </c>
      <c r="DG35" s="9">
        <f t="shared" ref="DG35:DH35" si="715">+DG34+DF35</f>
        <v>2150000</v>
      </c>
      <c r="DH35" s="9">
        <f t="shared" si="715"/>
        <v>2150000</v>
      </c>
    </row>
    <row r="36" spans="2:112" x14ac:dyDescent="0.25"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</row>
    <row r="37" spans="2:112" x14ac:dyDescent="0.25">
      <c r="F37" s="472">
        <f t="shared" ref="F37:AK37" si="716">+IF(F$3&lt;$C$41,0,IF(AND(F$3&gt;=$C$41,E37&lt;12, $C$42&gt;=F$3),E37+1,0))</f>
        <v>0</v>
      </c>
      <c r="G37" s="472">
        <f t="shared" si="716"/>
        <v>0</v>
      </c>
      <c r="H37" s="472">
        <f t="shared" si="716"/>
        <v>0</v>
      </c>
      <c r="I37" s="472">
        <f t="shared" si="716"/>
        <v>0</v>
      </c>
      <c r="J37" s="472">
        <f t="shared" si="716"/>
        <v>0</v>
      </c>
      <c r="K37" s="472">
        <f t="shared" si="716"/>
        <v>0</v>
      </c>
      <c r="L37" s="472">
        <f t="shared" si="716"/>
        <v>0</v>
      </c>
      <c r="M37" s="472">
        <f t="shared" si="716"/>
        <v>0</v>
      </c>
      <c r="N37" s="472">
        <f t="shared" si="716"/>
        <v>0</v>
      </c>
      <c r="O37" s="472">
        <f t="shared" si="716"/>
        <v>0</v>
      </c>
      <c r="P37" s="472">
        <f t="shared" si="716"/>
        <v>0</v>
      </c>
      <c r="Q37" s="472">
        <f t="shared" si="716"/>
        <v>0</v>
      </c>
      <c r="R37" s="82">
        <f t="shared" si="716"/>
        <v>0</v>
      </c>
      <c r="S37" s="472">
        <f t="shared" si="716"/>
        <v>0</v>
      </c>
      <c r="T37" s="472">
        <f t="shared" si="716"/>
        <v>0</v>
      </c>
      <c r="U37" s="472">
        <f t="shared" si="716"/>
        <v>0</v>
      </c>
      <c r="V37" s="82">
        <f t="shared" si="716"/>
        <v>0</v>
      </c>
      <c r="W37" s="82">
        <f t="shared" si="716"/>
        <v>0</v>
      </c>
      <c r="X37" s="82">
        <f t="shared" si="716"/>
        <v>0</v>
      </c>
      <c r="Y37" s="82">
        <f t="shared" si="716"/>
        <v>0</v>
      </c>
      <c r="Z37" s="82">
        <f t="shared" si="716"/>
        <v>0</v>
      </c>
      <c r="AA37" s="82">
        <f t="shared" si="716"/>
        <v>0</v>
      </c>
      <c r="AB37" s="82">
        <f t="shared" si="716"/>
        <v>0</v>
      </c>
      <c r="AC37" s="82">
        <f t="shared" si="716"/>
        <v>0</v>
      </c>
      <c r="AD37" s="82">
        <f t="shared" si="716"/>
        <v>0</v>
      </c>
      <c r="AE37" s="82">
        <f t="shared" si="716"/>
        <v>0</v>
      </c>
      <c r="AF37" s="472">
        <f t="shared" si="716"/>
        <v>0</v>
      </c>
      <c r="AG37" s="82">
        <f t="shared" si="716"/>
        <v>0</v>
      </c>
      <c r="AH37" s="472">
        <f t="shared" si="716"/>
        <v>0</v>
      </c>
      <c r="AI37" s="472">
        <f t="shared" si="716"/>
        <v>0</v>
      </c>
      <c r="AJ37" s="472">
        <f t="shared" si="716"/>
        <v>0</v>
      </c>
      <c r="AK37" s="472">
        <f t="shared" si="716"/>
        <v>0</v>
      </c>
      <c r="AL37" s="472">
        <f t="shared" ref="AL37:BQ37" si="717">+IF(AL$3&lt;$C$41,0,IF(AND(AL$3&gt;=$C$41,AK37&lt;12, $C$42&gt;=AL$3),AK37+1,0))</f>
        <v>0</v>
      </c>
      <c r="AM37" s="472">
        <f t="shared" si="717"/>
        <v>0</v>
      </c>
      <c r="AN37" s="472">
        <f t="shared" si="717"/>
        <v>0</v>
      </c>
      <c r="AO37" s="472">
        <f t="shared" si="717"/>
        <v>0</v>
      </c>
      <c r="AP37" s="472">
        <f t="shared" si="717"/>
        <v>0</v>
      </c>
      <c r="AQ37" s="472">
        <f t="shared" si="717"/>
        <v>0</v>
      </c>
      <c r="AR37" s="472">
        <f t="shared" si="717"/>
        <v>0</v>
      </c>
      <c r="AS37" s="472">
        <f t="shared" si="717"/>
        <v>0</v>
      </c>
      <c r="AT37" s="472">
        <f t="shared" si="717"/>
        <v>0</v>
      </c>
      <c r="AU37" s="472">
        <f t="shared" si="717"/>
        <v>0</v>
      </c>
      <c r="AV37" s="472">
        <f t="shared" si="717"/>
        <v>0</v>
      </c>
      <c r="AW37" s="472">
        <f t="shared" si="717"/>
        <v>0</v>
      </c>
      <c r="AX37" s="472">
        <f t="shared" si="717"/>
        <v>0</v>
      </c>
      <c r="AY37" s="472">
        <f t="shared" si="717"/>
        <v>0</v>
      </c>
      <c r="AZ37" s="472">
        <f t="shared" si="717"/>
        <v>0</v>
      </c>
      <c r="BA37" s="472">
        <f t="shared" si="717"/>
        <v>0</v>
      </c>
      <c r="BB37" s="472">
        <f t="shared" si="717"/>
        <v>0</v>
      </c>
      <c r="BC37" s="472">
        <f t="shared" si="717"/>
        <v>0</v>
      </c>
      <c r="BD37" s="472">
        <f t="shared" si="717"/>
        <v>0</v>
      </c>
      <c r="BE37" s="472">
        <f t="shared" si="717"/>
        <v>0</v>
      </c>
      <c r="BF37" s="472">
        <f t="shared" si="717"/>
        <v>0</v>
      </c>
      <c r="BG37" s="472">
        <f t="shared" si="717"/>
        <v>0</v>
      </c>
      <c r="BH37" s="472">
        <f t="shared" si="717"/>
        <v>0</v>
      </c>
      <c r="BI37" s="472">
        <f t="shared" si="717"/>
        <v>0</v>
      </c>
      <c r="BJ37" s="472">
        <f t="shared" si="717"/>
        <v>0</v>
      </c>
      <c r="BK37" s="472">
        <f t="shared" si="717"/>
        <v>1</v>
      </c>
      <c r="BL37" s="472">
        <f t="shared" si="717"/>
        <v>2</v>
      </c>
      <c r="BM37" s="472">
        <f t="shared" si="717"/>
        <v>3</v>
      </c>
      <c r="BN37" s="472">
        <f t="shared" si="717"/>
        <v>4</v>
      </c>
      <c r="BO37" s="472">
        <f t="shared" si="717"/>
        <v>5</v>
      </c>
      <c r="BP37" s="472">
        <f t="shared" si="717"/>
        <v>6</v>
      </c>
      <c r="BQ37" s="472">
        <f t="shared" si="717"/>
        <v>7</v>
      </c>
      <c r="BR37" s="472">
        <f t="shared" ref="BR37:CV37" si="718">+IF(BR$3&lt;$C$41,0,IF(AND(BR$3&gt;=$C$41,BQ37&lt;12, $C$42&gt;=BR$3),BQ37+1,0))</f>
        <v>8</v>
      </c>
      <c r="BS37" s="472">
        <f t="shared" si="718"/>
        <v>9</v>
      </c>
      <c r="BT37" s="472">
        <f t="shared" si="718"/>
        <v>10</v>
      </c>
      <c r="BU37" s="472">
        <f t="shared" si="718"/>
        <v>11</v>
      </c>
      <c r="BV37" s="472">
        <f t="shared" si="718"/>
        <v>12</v>
      </c>
      <c r="BW37" s="472">
        <f t="shared" si="718"/>
        <v>0</v>
      </c>
      <c r="BX37" s="472">
        <f t="shared" si="718"/>
        <v>0</v>
      </c>
      <c r="BY37" s="472">
        <f t="shared" si="718"/>
        <v>0</v>
      </c>
      <c r="BZ37" s="472">
        <f t="shared" si="718"/>
        <v>0</v>
      </c>
      <c r="CA37" s="472">
        <f t="shared" si="718"/>
        <v>0</v>
      </c>
      <c r="CB37" s="472">
        <f t="shared" si="718"/>
        <v>0</v>
      </c>
      <c r="CC37" s="472">
        <f t="shared" si="718"/>
        <v>0</v>
      </c>
      <c r="CD37" s="472">
        <f t="shared" si="718"/>
        <v>0</v>
      </c>
      <c r="CE37" s="472">
        <f t="shared" si="718"/>
        <v>0</v>
      </c>
      <c r="CF37" s="472">
        <f t="shared" si="718"/>
        <v>0</v>
      </c>
      <c r="CG37" s="472">
        <f t="shared" si="718"/>
        <v>0</v>
      </c>
      <c r="CH37" s="472">
        <f t="shared" si="718"/>
        <v>0</v>
      </c>
      <c r="CI37" s="472">
        <f t="shared" si="718"/>
        <v>0</v>
      </c>
      <c r="CJ37" s="472">
        <f t="shared" si="718"/>
        <v>0</v>
      </c>
      <c r="CK37" s="472">
        <f t="shared" si="718"/>
        <v>0</v>
      </c>
      <c r="CL37" s="472">
        <f t="shared" si="718"/>
        <v>0</v>
      </c>
      <c r="CM37" s="472">
        <f t="shared" si="718"/>
        <v>0</v>
      </c>
      <c r="CN37" s="472">
        <f t="shared" si="718"/>
        <v>0</v>
      </c>
      <c r="CO37" s="472">
        <f t="shared" si="718"/>
        <v>0</v>
      </c>
      <c r="CP37" s="472">
        <f t="shared" si="718"/>
        <v>0</v>
      </c>
      <c r="CQ37" s="472">
        <f t="shared" si="718"/>
        <v>0</v>
      </c>
      <c r="CR37" s="472">
        <f t="shared" si="718"/>
        <v>0</v>
      </c>
      <c r="CS37" s="472">
        <f t="shared" si="718"/>
        <v>0</v>
      </c>
      <c r="CT37" s="472">
        <f t="shared" si="718"/>
        <v>0</v>
      </c>
      <c r="CU37" s="472">
        <f t="shared" si="718"/>
        <v>0</v>
      </c>
      <c r="CV37" s="472">
        <f t="shared" si="718"/>
        <v>0</v>
      </c>
      <c r="CW37" s="472">
        <f t="shared" ref="CW37:DG37" si="719">+IF(CW$3&lt;$C$41,0,IF(AND(CW$3&gt;=$C$41,CV37&lt;12, $C$42&gt;=CW$3),CV37+1,0))</f>
        <v>0</v>
      </c>
      <c r="CX37" s="472">
        <f t="shared" si="719"/>
        <v>0</v>
      </c>
      <c r="CY37" s="472">
        <f t="shared" si="719"/>
        <v>0</v>
      </c>
      <c r="CZ37" s="472">
        <f t="shared" si="719"/>
        <v>0</v>
      </c>
      <c r="DA37" s="472">
        <f t="shared" si="719"/>
        <v>0</v>
      </c>
      <c r="DB37" s="472">
        <f t="shared" si="719"/>
        <v>0</v>
      </c>
      <c r="DC37" s="472">
        <f t="shared" si="719"/>
        <v>0</v>
      </c>
      <c r="DD37" s="472">
        <f t="shared" si="719"/>
        <v>0</v>
      </c>
      <c r="DE37" s="472">
        <f t="shared" si="719"/>
        <v>0</v>
      </c>
      <c r="DF37" s="472">
        <f t="shared" si="719"/>
        <v>0</v>
      </c>
      <c r="DG37" s="472">
        <f t="shared" si="719"/>
        <v>0</v>
      </c>
      <c r="DH37" s="472">
        <f t="shared" ref="DH37" si="720">+IF(DH$3&lt;$C$41,0,IF(AND(DH$3&gt;=$C$41,DG37&lt;12, $C$42&gt;=DH$3),DG37+1,0))</f>
        <v>0</v>
      </c>
    </row>
    <row r="38" spans="2:112" x14ac:dyDescent="0.25">
      <c r="B38" t="s">
        <v>368</v>
      </c>
      <c r="D38" t="s">
        <v>232</v>
      </c>
      <c r="E38" s="422"/>
      <c r="F38" s="422">
        <f>+IFERROR(INDEX(Assumptions!$F$5:$F$16, MATCH(F37, Assumptions!$D$5:$D$16, 0))*$C$39, 0)</f>
        <v>0</v>
      </c>
      <c r="G38" s="422">
        <f>+IFERROR(INDEX(Assumptions!$F$5:$F$16, MATCH(G37, Assumptions!$D$5:$D$16, 0))*$C$39, 0)</f>
        <v>0</v>
      </c>
      <c r="H38" s="422">
        <f>+IFERROR(INDEX(Assumptions!$F$5:$F$16, MATCH(H37, Assumptions!$D$5:$D$16, 0))*$C$39, 0)</f>
        <v>0</v>
      </c>
      <c r="I38" s="422">
        <f>+IFERROR(INDEX(Assumptions!$F$5:$F$16, MATCH(I37, Assumptions!$D$5:$D$16, 0))*$C$39, 0)</f>
        <v>0</v>
      </c>
      <c r="J38" s="422">
        <f>+IFERROR(INDEX(Assumptions!$F$5:$F$16, MATCH(J37, Assumptions!$D$5:$D$16, 0))*$C$39, 0)</f>
        <v>0</v>
      </c>
      <c r="K38" s="422">
        <f>+IFERROR(INDEX(Assumptions!$F$5:$F$16, MATCH(K37, Assumptions!$D$5:$D$16, 0))*$C$39, 0)</f>
        <v>0</v>
      </c>
      <c r="L38" s="422">
        <f>+IFERROR(INDEX(Assumptions!$F$5:$F$16, MATCH(L37, Assumptions!$D$5:$D$16, 0))*$C$39, 0)</f>
        <v>0</v>
      </c>
      <c r="M38" s="422">
        <f>+IFERROR(INDEX(Assumptions!$F$5:$F$16, MATCH(M37, Assumptions!$D$5:$D$16, 0))*$C$39, 0)</f>
        <v>0</v>
      </c>
      <c r="N38" s="422">
        <f>+IFERROR(INDEX(Assumptions!$F$5:$F$16, MATCH(N37, Assumptions!$D$5:$D$16, 0))*$C$39, 0)</f>
        <v>0</v>
      </c>
      <c r="O38" s="422">
        <f>+IFERROR(INDEX(Assumptions!$F$5:$F$16, MATCH(O37, Assumptions!$D$5:$D$16, 0))*$C$39, 0)</f>
        <v>0</v>
      </c>
      <c r="P38" s="422">
        <f>+IFERROR(INDEX(Assumptions!$F$5:$F$16, MATCH(P37, Assumptions!$D$5:$D$16, 0))*$C$39, 0)</f>
        <v>0</v>
      </c>
      <c r="Q38" s="422">
        <f>+IFERROR(INDEX(Assumptions!$F$5:$F$16, MATCH(Q37, Assumptions!$D$5:$D$16, 0))*$C$39, 0)</f>
        <v>0</v>
      </c>
      <c r="R38" s="494">
        <f>+IFERROR(INDEX(Assumptions!$F$5:$F$16, MATCH(R37, Assumptions!$D$5:$D$16, 0))*$C$39, 0)</f>
        <v>0</v>
      </c>
      <c r="S38" s="422">
        <f>+IFERROR(INDEX(Assumptions!$F$5:$F$16, MATCH(S37, Assumptions!$D$5:$D$16, 0))*$C$39, 0)</f>
        <v>0</v>
      </c>
      <c r="T38" s="422">
        <f>+IFERROR(INDEX(Assumptions!$F$5:$F$16, MATCH(T37, Assumptions!$D$5:$D$16, 0))*$C$39, 0)</f>
        <v>0</v>
      </c>
      <c r="U38" s="422">
        <f>+IFERROR(INDEX(Assumptions!$F$5:$F$16, MATCH(U37, Assumptions!$D$5:$D$16, 0))*$C$39, 0)</f>
        <v>0</v>
      </c>
      <c r="V38" s="494">
        <f>+IFERROR(INDEX(Assumptions!$F$5:$F$16, MATCH(V37, Assumptions!$D$5:$D$16, 0))*$C$39, 0)</f>
        <v>0</v>
      </c>
      <c r="W38" s="146">
        <f>+IFERROR(INDEX(Assumptions!$F$5:$F$16, MATCH(W37, Assumptions!$D$5:$D$16, 0))*$C$39, 0)</f>
        <v>0</v>
      </c>
      <c r="X38" s="146">
        <f>+IFERROR(INDEX(Assumptions!$F$5:$F$16, MATCH(X37, Assumptions!$D$5:$D$16, 0))*$C$39, 0)</f>
        <v>0</v>
      </c>
      <c r="Y38" s="146">
        <f>+IFERROR(INDEX(Assumptions!$F$5:$F$16, MATCH(Y37, Assumptions!$D$5:$D$16, 0))*$C$39, 0)</f>
        <v>0</v>
      </c>
      <c r="Z38" s="146">
        <f>+IFERROR(INDEX(Assumptions!$F$5:$F$16, MATCH(Z37, Assumptions!$D$5:$D$16, 0))*$C$39, 0)</f>
        <v>0</v>
      </c>
      <c r="AA38" s="146">
        <f>+IFERROR(INDEX(Assumptions!$F$5:$F$16, MATCH(AA37, Assumptions!$D$5:$D$16, 0))*$C$39, 0)</f>
        <v>0</v>
      </c>
      <c r="AB38" s="146">
        <f>+IFERROR(INDEX(Assumptions!$F$5:$F$16, MATCH(AB37, Assumptions!$D$5:$D$16, 0))*$C$39, 0)</f>
        <v>0</v>
      </c>
      <c r="AC38" s="146">
        <f>+IFERROR(INDEX(Assumptions!$F$5:$F$16, MATCH(AC37, Assumptions!$D$5:$D$16, 0))*$C$39, 0)</f>
        <v>0</v>
      </c>
      <c r="AD38" s="146">
        <f>+IFERROR(INDEX(Assumptions!$F$5:$F$16, MATCH(AD37, Assumptions!$D$5:$D$16, 0))*$C$39, 0)</f>
        <v>0</v>
      </c>
      <c r="AE38" s="146">
        <f>+IFERROR(INDEX(Assumptions!$F$5:$F$16, MATCH(AE37, Assumptions!$D$5:$D$16, 0))*$C$39, 0)</f>
        <v>0</v>
      </c>
      <c r="AF38" s="245">
        <f>+IFERROR(INDEX(Assumptions!$F$5:$F$16, MATCH(AF37, Assumptions!$D$5:$D$16, 0))*$C$39, 0)</f>
        <v>0</v>
      </c>
      <c r="AG38" s="146">
        <f>+IFERROR(INDEX(Assumptions!$F$5:$F$16, MATCH(AG37, Assumptions!$D$5:$D$16, 0))*$C$39, 0)</f>
        <v>0</v>
      </c>
      <c r="AH38" s="245">
        <f>+IFERROR(INDEX(Assumptions!$F$5:$F$16, MATCH(AH37, Assumptions!$D$5:$D$16, 0))*$C$39, 0)</f>
        <v>0</v>
      </c>
      <c r="AI38" s="245">
        <f>+IFERROR(INDEX(Assumptions!$F$5:$F$16, MATCH(AI37, Assumptions!$D$5:$D$16, 0))*$C$39, 0)</f>
        <v>0</v>
      </c>
      <c r="AJ38" s="245">
        <f>+IFERROR(INDEX(Assumptions!$F$5:$F$16, MATCH(AJ37, Assumptions!$D$5:$D$16, 0))*$C$39, 0)</f>
        <v>0</v>
      </c>
      <c r="AK38" s="245">
        <f>+IFERROR(INDEX(Assumptions!$F$5:$F$16, MATCH(AK37, Assumptions!$D$5:$D$16, 0))*$C$39, 0)</f>
        <v>0</v>
      </c>
      <c r="AL38" s="245">
        <f>+IFERROR(INDEX(Assumptions!$F$5:$F$16, MATCH(AL37, Assumptions!$D$5:$D$16, 0))*$C$39, 0)</f>
        <v>0</v>
      </c>
      <c r="AM38" s="245">
        <f>+IFERROR(INDEX(Assumptions!$F$5:$F$16, MATCH(AM37, Assumptions!$D$5:$D$16, 0))*$C$39, 0)</f>
        <v>0</v>
      </c>
      <c r="AN38" s="245">
        <f>+IFERROR(INDEX(Assumptions!$F$5:$F$16, MATCH(AN37, Assumptions!$D$5:$D$16, 0))*$C$39, 0)</f>
        <v>0</v>
      </c>
      <c r="AO38" s="245">
        <f>+IFERROR(INDEX(Assumptions!$F$5:$F$16, MATCH(AO37, Assumptions!$D$5:$D$16, 0))*$C$39, 0)</f>
        <v>0</v>
      </c>
      <c r="AP38" s="245">
        <f>+IFERROR(INDEX(Assumptions!$F$5:$F$16, MATCH(AP37, Assumptions!$D$5:$D$16, 0))*$C$39, 0)</f>
        <v>0</v>
      </c>
      <c r="AQ38" s="245">
        <f>+IFERROR(INDEX(Assumptions!$F$5:$F$16, MATCH(AQ37, Assumptions!$D$5:$D$16, 0))*$C$39, 0)</f>
        <v>0</v>
      </c>
      <c r="AR38" s="245">
        <f>+IFERROR(INDEX(Assumptions!$F$5:$F$16, MATCH(AR37, Assumptions!$D$5:$D$16, 0))*$C$39, 0)</f>
        <v>0</v>
      </c>
      <c r="AS38" s="245">
        <f>+IFERROR(INDEX(Assumptions!$F$5:$F$16, MATCH(AS37, Assumptions!$D$5:$D$16, 0))*$C$39, 0)</f>
        <v>0</v>
      </c>
      <c r="AT38" s="245">
        <f>+IFERROR(INDEX(Assumptions!$F$5:$F$16, MATCH(AT37, Assumptions!$D$5:$D$16, 0))*$C$39, 0)</f>
        <v>0</v>
      </c>
      <c r="AU38" s="245">
        <f>+IFERROR(INDEX(Assumptions!$F$5:$F$16, MATCH(AU37, Assumptions!$D$5:$D$16, 0))*$C$39, 0)</f>
        <v>0</v>
      </c>
      <c r="AV38" s="245">
        <f>+IFERROR(INDEX(Assumptions!$F$5:$F$16, MATCH(AV37, Assumptions!$D$5:$D$16, 0))*$C$39, 0)</f>
        <v>0</v>
      </c>
      <c r="AW38" s="245">
        <f>+IFERROR(INDEX(Assumptions!$F$5:$F$16, MATCH(AW37, Assumptions!$D$5:$D$16, 0))*$C$39, 0)</f>
        <v>0</v>
      </c>
      <c r="AX38" s="245">
        <f>+IFERROR(INDEX(Assumptions!$F$5:$F$16, MATCH(AX37, Assumptions!$D$5:$D$16, 0))*$C$39, 0)</f>
        <v>0</v>
      </c>
      <c r="AY38" s="245">
        <f>+IFERROR(INDEX(Assumptions!$F$5:$F$16, MATCH(AY37, Assumptions!$D$5:$D$16, 0))*$C$39, 0)</f>
        <v>0</v>
      </c>
      <c r="AZ38" s="245">
        <f>+IFERROR(INDEX(Assumptions!$F$5:$F$16, MATCH(AZ37, Assumptions!$D$5:$D$16, 0))*$C$39, 0)</f>
        <v>0</v>
      </c>
      <c r="BA38" s="245">
        <f>+IFERROR(INDEX(Assumptions!$F$5:$F$16, MATCH(BA37, Assumptions!$D$5:$D$16, 0))*$C$39, 0)</f>
        <v>0</v>
      </c>
      <c r="BB38" s="245">
        <f>+IFERROR(INDEX(Assumptions!$F$5:$F$16, MATCH(BB37, Assumptions!$D$5:$D$16, 0))*$C$39, 0)</f>
        <v>0</v>
      </c>
      <c r="BC38" s="245">
        <f>+IFERROR(INDEX(Assumptions!$F$5:$F$16, MATCH(BC37, Assumptions!$D$5:$D$16, 0))*$C$39, 0)</f>
        <v>0</v>
      </c>
      <c r="BD38" s="245">
        <f>+IFERROR(INDEX(Assumptions!$F$5:$F$16, MATCH(BD37, Assumptions!$D$5:$D$16, 0))*$C$39, 0)</f>
        <v>0</v>
      </c>
      <c r="BE38" s="245">
        <f>+IFERROR(INDEX(Assumptions!$F$5:$F$16, MATCH(BE37, Assumptions!$D$5:$D$16, 0))*$C$39, 0)</f>
        <v>0</v>
      </c>
      <c r="BF38" s="245">
        <f>+IFERROR(INDEX(Assumptions!$F$5:$F$16, MATCH(BF37, Assumptions!$D$5:$D$16, 0))*$C$39, 0)</f>
        <v>0</v>
      </c>
      <c r="BG38" s="245">
        <f>+IFERROR(INDEX(Assumptions!$F$5:$F$16, MATCH(BG37, Assumptions!$D$5:$D$16, 0))*$C$39, 0)</f>
        <v>0</v>
      </c>
      <c r="BH38" s="245">
        <f>+IFERROR(INDEX(Assumptions!$F$5:$F$16, MATCH(BH37, Assumptions!$D$5:$D$16, 0))*$C$39, 0)</f>
        <v>0</v>
      </c>
      <c r="BI38" s="245">
        <f>+IFERROR(INDEX(Assumptions!$F$5:$F$16, MATCH(BI37, Assumptions!$D$5:$D$16, 0))*$C$39, 0)</f>
        <v>0</v>
      </c>
      <c r="BJ38" s="245">
        <f>+IFERROR(INDEX(Assumptions!$F$5:$F$16, MATCH(BJ37, Assumptions!$D$5:$D$16, 0))*$C$39, 0)</f>
        <v>0</v>
      </c>
      <c r="BK38" s="245">
        <f>+IFERROR(INDEX(Assumptions!$F$5:$F$16, MATCH(BK37, Assumptions!$D$5:$D$16, 0))*$C$39, 0)</f>
        <v>0</v>
      </c>
      <c r="BL38" s="245">
        <f>+IFERROR(INDEX(Assumptions!$F$5:$F$16, MATCH(BL37, Assumptions!$D$5:$D$16, 0))*$C$39, 0)</f>
        <v>17779.570852550296</v>
      </c>
      <c r="BM38" s="245">
        <f>+IFERROR(INDEX(Assumptions!$F$5:$F$16, MATCH(BM37, Assumptions!$D$5:$D$16, 0))*$C$39, 0)</f>
        <v>2542.9286151675819</v>
      </c>
      <c r="BN38" s="245">
        <f>+IFERROR(INDEX(Assumptions!$F$5:$F$16, MATCH(BN37, Assumptions!$D$5:$D$16, 0))*$C$39, 0)</f>
        <v>105386.13015041039</v>
      </c>
      <c r="BO38" s="245">
        <f>+IFERROR(INDEX(Assumptions!$F$5:$F$16, MATCH(BO37, Assumptions!$D$5:$D$16, 0))*$C$39, 0)</f>
        <v>9513.0645551614889</v>
      </c>
      <c r="BP38" s="245">
        <f>+IFERROR(INDEX(Assumptions!$F$5:$F$16, MATCH(BP37, Assumptions!$D$5:$D$16, 0))*$C$39, 0)</f>
        <v>430360.42505662836</v>
      </c>
      <c r="BQ38" s="245">
        <f>+IFERROR(INDEX(Assumptions!$F$5:$F$16, MATCH(BQ37, Assumptions!$D$5:$D$16, 0))*$C$39, 0)</f>
        <v>771782.02644503873</v>
      </c>
      <c r="BR38" s="245">
        <f>+IFERROR(INDEX(Assumptions!$F$5:$F$16, MATCH(BR37, Assumptions!$D$5:$D$16, 0))*$C$39, 0)</f>
        <v>520040.09905945871</v>
      </c>
      <c r="BS38" s="245">
        <f>+IFERROR(INDEX(Assumptions!$F$5:$F$16, MATCH(BS37, Assumptions!$D$5:$D$16, 0))*$C$39, 0)</f>
        <v>343161.3098971697</v>
      </c>
      <c r="BT38" s="245">
        <f>+IFERROR(INDEX(Assumptions!$F$5:$F$16, MATCH(BT37, Assumptions!$D$5:$D$16, 0))*$C$39, 0)</f>
        <v>71844.221509107258</v>
      </c>
      <c r="BU38" s="245">
        <f>+IFERROR(INDEX(Assumptions!$F$5:$F$16, MATCH(BU37, Assumptions!$D$5:$D$16, 0))*$C$39, 0)</f>
        <v>550183.48302149517</v>
      </c>
      <c r="BV38" s="245">
        <f>+IFERROR(INDEX(Assumptions!$F$5:$F$16, MATCH(BV37, Assumptions!$D$5:$D$16, 0))*$C$39, 0)</f>
        <v>127406.74083781241</v>
      </c>
      <c r="BW38" s="245">
        <f>+IFERROR(INDEX(Assumptions!$F$5:$F$16, MATCH(BW37, Assumptions!$D$5:$D$16, 0))*$C$39, 0)</f>
        <v>0</v>
      </c>
      <c r="BX38" s="245">
        <f>+IFERROR(INDEX(Assumptions!$F$5:$F$16, MATCH(BX37, Assumptions!$D$5:$D$16, 0))*$C$39, 0)</f>
        <v>0</v>
      </c>
      <c r="BY38" s="245">
        <f>+IFERROR(INDEX(Assumptions!$F$5:$F$16, MATCH(BY37, Assumptions!$D$5:$D$16, 0))*$C$39, 0)</f>
        <v>0</v>
      </c>
      <c r="BZ38" s="245">
        <f>+IFERROR(INDEX(Assumptions!$F$5:$F$16, MATCH(BZ37, Assumptions!$D$5:$D$16, 0))*$C$39, 0)</f>
        <v>0</v>
      </c>
      <c r="CA38" s="245">
        <f>+IFERROR(INDEX(Assumptions!$F$5:$F$16, MATCH(CA37, Assumptions!$D$5:$D$16, 0))*$C$39, 0)</f>
        <v>0</v>
      </c>
      <c r="CB38" s="245">
        <f>+IFERROR(INDEX(Assumptions!$F$5:$F$16, MATCH(CB37, Assumptions!$D$5:$D$16, 0))*$C$39, 0)</f>
        <v>0</v>
      </c>
      <c r="CC38" s="245">
        <f>+IFERROR(INDEX(Assumptions!$F$5:$F$16, MATCH(CC37, Assumptions!$D$5:$D$16, 0))*$C$39, 0)</f>
        <v>0</v>
      </c>
      <c r="CD38" s="245">
        <f>+IFERROR(INDEX(Assumptions!$F$5:$F$16, MATCH(CD37, Assumptions!$D$5:$D$16, 0))*$C$39, 0)</f>
        <v>0</v>
      </c>
      <c r="CE38" s="245">
        <f>+IFERROR(INDEX(Assumptions!$F$5:$F$16, MATCH(CE37, Assumptions!$D$5:$D$16, 0))*$C$39, 0)</f>
        <v>0</v>
      </c>
      <c r="CF38" s="245">
        <f>+IFERROR(INDEX(Assumptions!$F$5:$F$16, MATCH(CF37, Assumptions!$D$5:$D$16, 0))*$C$39, 0)</f>
        <v>0</v>
      </c>
      <c r="CG38" s="245">
        <f>+IFERROR(INDEX(Assumptions!$F$5:$F$16, MATCH(CG37, Assumptions!$D$5:$D$16, 0))*$C$39, 0)</f>
        <v>0</v>
      </c>
      <c r="CH38" s="245">
        <f>+IFERROR(INDEX(Assumptions!$F$5:$F$16, MATCH(CH37, Assumptions!$D$5:$D$16, 0))*$C$39, 0)</f>
        <v>0</v>
      </c>
      <c r="CI38" s="245">
        <f>+IFERROR(INDEX(Assumptions!$F$5:$F$16, MATCH(CI37, Assumptions!$D$5:$D$16, 0))*$C$39, 0)</f>
        <v>0</v>
      </c>
      <c r="CJ38" s="245">
        <f>+IFERROR(INDEX(Assumptions!$F$5:$F$16, MATCH(CJ37, Assumptions!$D$5:$D$16, 0))*$C$39, 0)</f>
        <v>0</v>
      </c>
      <c r="CK38" s="245">
        <f>+IFERROR(INDEX(Assumptions!$F$5:$F$16, MATCH(CK37, Assumptions!$D$5:$D$16, 0))*$C$39, 0)</f>
        <v>0</v>
      </c>
      <c r="CL38" s="245">
        <f>+IFERROR(INDEX(Assumptions!$F$5:$F$16, MATCH(CL37, Assumptions!$D$5:$D$16, 0))*$C$39, 0)</f>
        <v>0</v>
      </c>
      <c r="CM38" s="245">
        <f>+IFERROR(INDEX(Assumptions!$F$5:$F$16, MATCH(CM37, Assumptions!$D$5:$D$16, 0))*$C$39, 0)</f>
        <v>0</v>
      </c>
      <c r="CN38" s="245">
        <f>+IFERROR(INDEX(Assumptions!$F$5:$F$16, MATCH(CN37, Assumptions!$D$5:$D$16, 0))*$C$39, 0)</f>
        <v>0</v>
      </c>
      <c r="CO38" s="245">
        <f>+IFERROR(INDEX(Assumptions!$F$5:$F$16, MATCH(CO37, Assumptions!$D$5:$D$16, 0))*$C$39, 0)</f>
        <v>0</v>
      </c>
      <c r="CP38" s="245">
        <f>+IFERROR(INDEX(Assumptions!$F$5:$F$16, MATCH(CP37, Assumptions!$D$5:$D$16, 0))*$C$39, 0)</f>
        <v>0</v>
      </c>
      <c r="CQ38" s="245">
        <f>+IFERROR(INDEX(Assumptions!$F$5:$F$16, MATCH(CQ37, Assumptions!$D$5:$D$16, 0))*$C$39, 0)</f>
        <v>0</v>
      </c>
      <c r="CR38" s="245">
        <f>+IFERROR(INDEX(Assumptions!$F$5:$F$16, MATCH(CR37, Assumptions!$D$5:$D$16, 0))*$C$39, 0)</f>
        <v>0</v>
      </c>
      <c r="CS38" s="245">
        <f>+IFERROR(INDEX(Assumptions!$F$5:$F$16, MATCH(CS37, Assumptions!$D$5:$D$16, 0))*$C$39, 0)</f>
        <v>0</v>
      </c>
      <c r="CT38" s="245">
        <f>+IFERROR(INDEX(Assumptions!$F$5:$F$16, MATCH(CT37, Assumptions!$D$5:$D$16, 0))*$C$39, 0)</f>
        <v>0</v>
      </c>
      <c r="CU38" s="245">
        <f>+IFERROR(INDEX(Assumptions!$F$5:$F$16, MATCH(CU37, Assumptions!$D$5:$D$16, 0))*$C$39, 0)</f>
        <v>0</v>
      </c>
      <c r="CV38" s="245">
        <f>+IFERROR(INDEX(Assumptions!$F$5:$F$16, MATCH(CV37, Assumptions!$D$5:$D$16, 0))*$C$39, 0)</f>
        <v>0</v>
      </c>
      <c r="CW38" s="245">
        <f>+IFERROR(INDEX(Assumptions!$F$5:$F$16, MATCH(CW37, Assumptions!$D$5:$D$16, 0))*$C$39, 0)</f>
        <v>0</v>
      </c>
      <c r="CX38" s="245">
        <f>+IFERROR(INDEX(Assumptions!$F$5:$F$16, MATCH(CX37, Assumptions!$D$5:$D$16, 0))*$C$39, 0)</f>
        <v>0</v>
      </c>
      <c r="CY38" s="245">
        <f>+IFERROR(INDEX(Assumptions!$F$5:$F$16, MATCH(CY37, Assumptions!$D$5:$D$16, 0))*$C$39, 0)</f>
        <v>0</v>
      </c>
      <c r="CZ38" s="245">
        <f>+IFERROR(INDEX(Assumptions!$F$5:$F$16, MATCH(CZ37, Assumptions!$D$5:$D$16, 0))*$C$39, 0)</f>
        <v>0</v>
      </c>
      <c r="DA38" s="245">
        <f>+IFERROR(INDEX(Assumptions!$F$5:$F$16, MATCH(DA37, Assumptions!$D$5:$D$16, 0))*$C$39, 0)</f>
        <v>0</v>
      </c>
      <c r="DB38" s="245">
        <f>+IFERROR(INDEX(Assumptions!$F$5:$F$16, MATCH(DB37, Assumptions!$D$5:$D$16, 0))*$C$39, 0)</f>
        <v>0</v>
      </c>
      <c r="DC38" s="245">
        <f>+IFERROR(INDEX(Assumptions!$F$5:$F$16, MATCH(DC37, Assumptions!$D$5:$D$16, 0))*$C$39, 0)</f>
        <v>0</v>
      </c>
      <c r="DD38" s="245">
        <f>+IFERROR(INDEX(Assumptions!$F$5:$F$16, MATCH(DD37, Assumptions!$D$5:$D$16, 0))*$C$39, 0)</f>
        <v>0</v>
      </c>
      <c r="DE38" s="245">
        <f>+IFERROR(INDEX(Assumptions!$F$5:$F$16, MATCH(DE37, Assumptions!$D$5:$D$16, 0))*$C$39, 0)</f>
        <v>0</v>
      </c>
      <c r="DF38" s="245">
        <f>+IFERROR(INDEX(Assumptions!$F$5:$F$16, MATCH(DF37, Assumptions!$D$5:$D$16, 0))*$C$39, 0)</f>
        <v>0</v>
      </c>
      <c r="DG38" s="245">
        <f>+IFERROR(INDEX(Assumptions!$F$5:$F$16, MATCH(DG37, Assumptions!$D$5:$D$16, 0))*$C$39, 0)</f>
        <v>0</v>
      </c>
      <c r="DH38" s="245">
        <f>+IFERROR(INDEX(Assumptions!$F$5:$F$16, MATCH(DH37, Assumptions!$D$5:$D$16, 0))*$C$39, 0)</f>
        <v>0</v>
      </c>
    </row>
    <row r="39" spans="2:112" x14ac:dyDescent="0.25">
      <c r="B39" t="s">
        <v>230</v>
      </c>
      <c r="C39" s="196">
        <v>2950000</v>
      </c>
      <c r="D39" t="s">
        <v>282</v>
      </c>
      <c r="E39" s="422"/>
      <c r="F39" s="422">
        <f t="shared" ref="F39" si="721">+F38+E39</f>
        <v>0</v>
      </c>
      <c r="G39" s="422">
        <f t="shared" ref="G39" si="722">+G38+F39</f>
        <v>0</v>
      </c>
      <c r="H39" s="422">
        <f t="shared" ref="H39" si="723">+H38+G39</f>
        <v>0</v>
      </c>
      <c r="I39" s="422">
        <f t="shared" ref="I39" si="724">+I38+H39</f>
        <v>0</v>
      </c>
      <c r="J39" s="422">
        <f t="shared" ref="J39" si="725">+J38+I39</f>
        <v>0</v>
      </c>
      <c r="K39" s="422">
        <f t="shared" ref="K39" si="726">+K38+J39</f>
        <v>0</v>
      </c>
      <c r="L39" s="422">
        <f t="shared" ref="L39" si="727">+L38+K39</f>
        <v>0</v>
      </c>
      <c r="M39" s="422">
        <f t="shared" ref="M39" si="728">+M38+L39</f>
        <v>0</v>
      </c>
      <c r="N39" s="422">
        <f t="shared" ref="N39" si="729">+N38+M39</f>
        <v>0</v>
      </c>
      <c r="O39" s="422">
        <f t="shared" ref="O39" si="730">+O38+N39</f>
        <v>0</v>
      </c>
      <c r="P39" s="422">
        <f t="shared" ref="P39" si="731">+P38+O39</f>
        <v>0</v>
      </c>
      <c r="Q39" s="422">
        <f t="shared" ref="Q39" si="732">+Q38+P39</f>
        <v>0</v>
      </c>
      <c r="R39" s="494">
        <f t="shared" ref="R39" si="733">+R38+Q39</f>
        <v>0</v>
      </c>
      <c r="S39" s="422">
        <f t="shared" ref="S39" si="734">+S38+R39</f>
        <v>0</v>
      </c>
      <c r="T39" s="422">
        <f t="shared" ref="T39" si="735">+T38+S39</f>
        <v>0</v>
      </c>
      <c r="U39" s="422">
        <f t="shared" ref="U39" si="736">+U38+T39</f>
        <v>0</v>
      </c>
      <c r="V39" s="494">
        <f t="shared" ref="V39" si="737">+V38+U39</f>
        <v>0</v>
      </c>
      <c r="W39" s="146">
        <f t="shared" ref="W39" si="738">+W38+V39</f>
        <v>0</v>
      </c>
      <c r="X39" s="146">
        <f t="shared" ref="X39" si="739">+X38+W39</f>
        <v>0</v>
      </c>
      <c r="Y39" s="146">
        <f t="shared" ref="Y39" si="740">+Y38+X39</f>
        <v>0</v>
      </c>
      <c r="Z39" s="146">
        <f t="shared" ref="Z39" si="741">+Z38+Y39</f>
        <v>0</v>
      </c>
      <c r="AA39" s="146">
        <f t="shared" ref="AA39" si="742">+AA38+Z39</f>
        <v>0</v>
      </c>
      <c r="AB39" s="146">
        <f t="shared" ref="AB39" si="743">+AB38+AA39</f>
        <v>0</v>
      </c>
      <c r="AC39" s="146">
        <f t="shared" ref="AC39" si="744">+AC38+AB39</f>
        <v>0</v>
      </c>
      <c r="AD39" s="146">
        <f t="shared" ref="AD39" si="745">+AD38+AC39</f>
        <v>0</v>
      </c>
      <c r="AE39" s="146">
        <f t="shared" ref="AE39" si="746">+AE38+AD39</f>
        <v>0</v>
      </c>
      <c r="AF39" s="245">
        <f t="shared" ref="AF39" si="747">+AF38+AE39</f>
        <v>0</v>
      </c>
      <c r="AG39" s="146">
        <f t="shared" ref="AG39" si="748">+AG38+AF39</f>
        <v>0</v>
      </c>
      <c r="AH39" s="245">
        <f t="shared" ref="AH39" si="749">+AH38+AG39</f>
        <v>0</v>
      </c>
      <c r="AI39" s="245">
        <f t="shared" ref="AI39" si="750">+AI38+AH39</f>
        <v>0</v>
      </c>
      <c r="AJ39" s="245">
        <f t="shared" ref="AJ39" si="751">+AJ38+AI39</f>
        <v>0</v>
      </c>
      <c r="AK39" s="245">
        <f t="shared" ref="AK39" si="752">+AK38+AJ39</f>
        <v>0</v>
      </c>
      <c r="AL39" s="245">
        <f t="shared" ref="AL39" si="753">+AL38+AK39</f>
        <v>0</v>
      </c>
      <c r="AM39" s="245">
        <f t="shared" ref="AM39" si="754">+AM38+AL39</f>
        <v>0</v>
      </c>
      <c r="AN39" s="245">
        <f t="shared" ref="AN39" si="755">+AN38+AM39</f>
        <v>0</v>
      </c>
      <c r="AO39" s="245">
        <f t="shared" ref="AO39" si="756">+AO38+AN39</f>
        <v>0</v>
      </c>
      <c r="AP39" s="245">
        <f t="shared" ref="AP39" si="757">+AP38+AO39</f>
        <v>0</v>
      </c>
      <c r="AQ39" s="245">
        <f t="shared" ref="AQ39" si="758">+AQ38+AP39</f>
        <v>0</v>
      </c>
      <c r="AR39" s="245">
        <f t="shared" ref="AR39" si="759">+AR38+AQ39</f>
        <v>0</v>
      </c>
      <c r="AS39" s="245">
        <f t="shared" ref="AS39" si="760">+AS38+AR39</f>
        <v>0</v>
      </c>
      <c r="AT39" s="245">
        <f t="shared" ref="AT39" si="761">+AT38+AS39</f>
        <v>0</v>
      </c>
      <c r="AU39" s="245">
        <f t="shared" ref="AU39" si="762">+AU38+AT39</f>
        <v>0</v>
      </c>
      <c r="AV39" s="245">
        <f t="shared" ref="AV39" si="763">+AV38+AU39</f>
        <v>0</v>
      </c>
      <c r="AW39" s="245">
        <f t="shared" ref="AW39" si="764">+AW38+AV39</f>
        <v>0</v>
      </c>
      <c r="AX39" s="245">
        <f t="shared" ref="AX39" si="765">+AX38+AW39</f>
        <v>0</v>
      </c>
      <c r="AY39" s="245">
        <f t="shared" ref="AY39" si="766">+AY38+AX39</f>
        <v>0</v>
      </c>
      <c r="AZ39" s="245">
        <f t="shared" ref="AZ39" si="767">+AZ38+AY39</f>
        <v>0</v>
      </c>
      <c r="BA39" s="245">
        <f t="shared" ref="BA39" si="768">+BA38+AZ39</f>
        <v>0</v>
      </c>
      <c r="BB39" s="245">
        <f t="shared" ref="BB39" si="769">+BB38+BA39</f>
        <v>0</v>
      </c>
      <c r="BC39" s="245">
        <f t="shared" ref="BC39" si="770">+BC38+BB39</f>
        <v>0</v>
      </c>
      <c r="BD39" s="245">
        <f t="shared" ref="BD39" si="771">+BD38+BC39</f>
        <v>0</v>
      </c>
      <c r="BE39" s="245">
        <f t="shared" ref="BE39" si="772">+BE38+BD39</f>
        <v>0</v>
      </c>
      <c r="BF39" s="245">
        <f t="shared" ref="BF39" si="773">+BF38+BE39</f>
        <v>0</v>
      </c>
      <c r="BG39" s="245">
        <f t="shared" ref="BG39" si="774">+BG38+BF39</f>
        <v>0</v>
      </c>
      <c r="BH39" s="245">
        <f t="shared" ref="BH39" si="775">+BH38+BG39</f>
        <v>0</v>
      </c>
      <c r="BI39" s="245">
        <f t="shared" ref="BI39" si="776">+BI38+BH39</f>
        <v>0</v>
      </c>
      <c r="BJ39" s="245">
        <f t="shared" ref="BJ39" si="777">+BJ38+BI39</f>
        <v>0</v>
      </c>
      <c r="BK39" s="245">
        <f t="shared" ref="BK39" si="778">+BK38+BJ39</f>
        <v>0</v>
      </c>
      <c r="BL39" s="245">
        <f t="shared" ref="BL39" si="779">+BL38+BK39</f>
        <v>17779.570852550296</v>
      </c>
      <c r="BM39" s="245">
        <f t="shared" ref="BM39" si="780">+BM38+BL39</f>
        <v>20322.499467717877</v>
      </c>
      <c r="BN39" s="245">
        <f t="shared" ref="BN39" si="781">+BN38+BM39</f>
        <v>125708.62961812827</v>
      </c>
      <c r="BO39" s="245">
        <f t="shared" ref="BO39" si="782">+BO38+BN39</f>
        <v>135221.69417328975</v>
      </c>
      <c r="BP39" s="245">
        <f t="shared" ref="BP39" si="783">+BP38+BO39</f>
        <v>565582.11922991811</v>
      </c>
      <c r="BQ39" s="245">
        <f t="shared" ref="BQ39" si="784">+BQ38+BP39</f>
        <v>1337364.145674957</v>
      </c>
      <c r="BR39" s="245">
        <f t="shared" ref="BR39" si="785">+BR38+BQ39</f>
        <v>1857404.2447344158</v>
      </c>
      <c r="BS39" s="245">
        <f t="shared" ref="BS39" si="786">+BS38+BR39</f>
        <v>2200565.5546315853</v>
      </c>
      <c r="BT39" s="245">
        <f t="shared" ref="BT39" si="787">+BT38+BS39</f>
        <v>2272409.7761406926</v>
      </c>
      <c r="BU39" s="245">
        <f t="shared" ref="BU39" si="788">+BU38+BT39</f>
        <v>2822593.2591621876</v>
      </c>
      <c r="BV39" s="245">
        <f t="shared" ref="BV39" si="789">+BV38+BU39</f>
        <v>2950000</v>
      </c>
      <c r="BW39" s="245">
        <f t="shared" ref="BW39" si="790">+BW38+BV39</f>
        <v>2950000</v>
      </c>
      <c r="BX39" s="245">
        <f t="shared" ref="BX39" si="791">+BX38+BW39</f>
        <v>2950000</v>
      </c>
      <c r="BY39" s="245">
        <f t="shared" ref="BY39" si="792">+BY38+BX39</f>
        <v>2950000</v>
      </c>
      <c r="BZ39" s="245">
        <f t="shared" ref="BZ39" si="793">+BZ38+BY39</f>
        <v>2950000</v>
      </c>
      <c r="CA39" s="245">
        <f t="shared" ref="CA39" si="794">+CA38+BZ39</f>
        <v>2950000</v>
      </c>
      <c r="CB39" s="245">
        <f t="shared" ref="CB39" si="795">+CB38+CA39</f>
        <v>2950000</v>
      </c>
      <c r="CC39" s="245">
        <f t="shared" ref="CC39" si="796">+CC38+CB39</f>
        <v>2950000</v>
      </c>
      <c r="CD39" s="245">
        <f t="shared" ref="CD39" si="797">+CD38+CC39</f>
        <v>2950000</v>
      </c>
      <c r="CE39" s="245">
        <f t="shared" ref="CE39" si="798">+CE38+CD39</f>
        <v>2950000</v>
      </c>
      <c r="CF39" s="245">
        <f t="shared" ref="CF39" si="799">+CF38+CE39</f>
        <v>2950000</v>
      </c>
      <c r="CG39" s="245">
        <f t="shared" ref="CG39" si="800">+CG38+CF39</f>
        <v>2950000</v>
      </c>
      <c r="CH39" s="245">
        <f t="shared" ref="CH39" si="801">+CH38+CG39</f>
        <v>2950000</v>
      </c>
      <c r="CI39" s="245">
        <f t="shared" ref="CI39" si="802">+CI38+CH39</f>
        <v>2950000</v>
      </c>
      <c r="CJ39" s="245">
        <f t="shared" ref="CJ39" si="803">+CJ38+CI39</f>
        <v>2950000</v>
      </c>
      <c r="CK39" s="245">
        <f t="shared" ref="CK39" si="804">+CK38+CJ39</f>
        <v>2950000</v>
      </c>
      <c r="CL39" s="245">
        <f t="shared" ref="CL39" si="805">+CL38+CK39</f>
        <v>2950000</v>
      </c>
      <c r="CM39" s="245">
        <f t="shared" ref="CM39" si="806">+CM38+CL39</f>
        <v>2950000</v>
      </c>
      <c r="CN39" s="245">
        <f t="shared" ref="CN39" si="807">+CN38+CM39</f>
        <v>2950000</v>
      </c>
      <c r="CO39" s="245">
        <f t="shared" ref="CO39" si="808">+CO38+CN39</f>
        <v>2950000</v>
      </c>
      <c r="CP39" s="245">
        <f t="shared" ref="CP39" si="809">+CP38+CO39</f>
        <v>2950000</v>
      </c>
      <c r="CQ39" s="245">
        <f t="shared" ref="CQ39" si="810">+CQ38+CP39</f>
        <v>2950000</v>
      </c>
      <c r="CR39" s="245">
        <f t="shared" ref="CR39" si="811">+CR38+CQ39</f>
        <v>2950000</v>
      </c>
      <c r="CS39" s="245">
        <f t="shared" ref="CS39" si="812">+CS38+CR39</f>
        <v>2950000</v>
      </c>
      <c r="CT39" s="245">
        <f t="shared" ref="CT39" si="813">+CT38+CS39</f>
        <v>2950000</v>
      </c>
      <c r="CU39" s="245">
        <f t="shared" ref="CU39" si="814">+CU38+CT39</f>
        <v>2950000</v>
      </c>
      <c r="CV39" s="245">
        <f t="shared" ref="CV39" si="815">+CV38+CU39</f>
        <v>2950000</v>
      </c>
      <c r="CW39" s="245">
        <f t="shared" ref="CW39" si="816">+CW38+CV39</f>
        <v>2950000</v>
      </c>
      <c r="CX39" s="245">
        <f t="shared" ref="CX39" si="817">+CX38+CW39</f>
        <v>2950000</v>
      </c>
      <c r="CY39" s="245">
        <f t="shared" ref="CY39" si="818">+CY38+CX39</f>
        <v>2950000</v>
      </c>
      <c r="CZ39" s="245">
        <f t="shared" ref="CZ39" si="819">+CZ38+CY39</f>
        <v>2950000</v>
      </c>
      <c r="DA39" s="245">
        <f t="shared" ref="DA39" si="820">+DA38+CZ39</f>
        <v>2950000</v>
      </c>
      <c r="DB39" s="245">
        <f t="shared" ref="DB39" si="821">+DB38+DA39</f>
        <v>2950000</v>
      </c>
      <c r="DC39" s="245">
        <f t="shared" ref="DC39" si="822">+DC38+DB39</f>
        <v>2950000</v>
      </c>
      <c r="DD39" s="245">
        <f t="shared" ref="DD39" si="823">+DD38+DC39</f>
        <v>2950000</v>
      </c>
      <c r="DE39" s="245">
        <f t="shared" ref="DE39" si="824">+DE38+DD39</f>
        <v>2950000</v>
      </c>
      <c r="DF39" s="245">
        <f t="shared" ref="DF39" si="825">+DF38+DE39</f>
        <v>2950000</v>
      </c>
      <c r="DG39" s="245">
        <f t="shared" ref="DG39:DH39" si="826">+DG38+DF39</f>
        <v>2950000</v>
      </c>
      <c r="DH39" s="245">
        <f t="shared" si="826"/>
        <v>2950000</v>
      </c>
    </row>
    <row r="40" spans="2:112" x14ac:dyDescent="0.25">
      <c r="B40" t="s">
        <v>233</v>
      </c>
      <c r="C40" s="196">
        <v>975000</v>
      </c>
      <c r="D40" t="s">
        <v>231</v>
      </c>
      <c r="E40" s="423"/>
      <c r="F40" s="422">
        <f>+IFERROR(INDEX(Assumptions!$E$18:$E$29, MATCH(F37, Assumptions!$D$18:$D$29, 0))*$C$40, 0)</f>
        <v>0</v>
      </c>
      <c r="G40" s="423">
        <f>+IFERROR(INDEX(Assumptions!$E$18:$E$29, MATCH(G37, Assumptions!$D$18:$D$29, 0))*$C$40, 0)</f>
        <v>0</v>
      </c>
      <c r="H40" s="423">
        <f>+IFERROR(INDEX(Assumptions!$E$18:$E$29, MATCH(H37, Assumptions!$D$18:$D$29, 0))*$C$40, 0)</f>
        <v>0</v>
      </c>
      <c r="I40" s="423">
        <f>+IFERROR(INDEX(Assumptions!$E$18:$E$29, MATCH(I37, Assumptions!$D$18:$D$29, 0))*$C$40, 0)</f>
        <v>0</v>
      </c>
      <c r="J40" s="423">
        <f>+IFERROR(INDEX(Assumptions!$E$18:$E$29, MATCH(J37, Assumptions!$D$18:$D$29, 0))*$C$40, 0)</f>
        <v>0</v>
      </c>
      <c r="K40" s="423">
        <f>+IFERROR(INDEX(Assumptions!$E$18:$E$29, MATCH(K37, Assumptions!$D$18:$D$29, 0))*$C$40, 0)</f>
        <v>0</v>
      </c>
      <c r="L40" s="423">
        <f>+IFERROR(INDEX(Assumptions!$E$18:$E$29, MATCH(L37, Assumptions!$D$18:$D$29, 0))*$C$40, 0)</f>
        <v>0</v>
      </c>
      <c r="M40" s="423">
        <f>+IFERROR(INDEX(Assumptions!$E$18:$E$29, MATCH(M37, Assumptions!$D$18:$D$29, 0))*$C$40, 0)</f>
        <v>0</v>
      </c>
      <c r="N40" s="423">
        <f>+IFERROR(INDEX(Assumptions!$E$18:$E$29, MATCH(N37, Assumptions!$D$18:$D$29, 0))*$C$40, 0)</f>
        <v>0</v>
      </c>
      <c r="O40" s="423">
        <f>+IFERROR(INDEX(Assumptions!$E$18:$E$29, MATCH(O37, Assumptions!$D$18:$D$29, 0))*$C$40, 0)</f>
        <v>0</v>
      </c>
      <c r="P40" s="423">
        <f>+IFERROR(INDEX(Assumptions!$E$18:$E$29, MATCH(P37, Assumptions!$D$18:$D$29, 0))*$C$40, 0)</f>
        <v>0</v>
      </c>
      <c r="Q40" s="423">
        <f>+IFERROR(INDEX(Assumptions!$E$18:$E$29, MATCH(Q37, Assumptions!$D$18:$D$29, 0))*$C$40, 0)</f>
        <v>0</v>
      </c>
      <c r="R40" s="734">
        <f>+IFERROR(INDEX(Assumptions!$E$18:$E$29, MATCH(R37, Assumptions!$D$18:$D$29, 0))*$C$40, 0)</f>
        <v>0</v>
      </c>
      <c r="S40" s="423">
        <f>+IFERROR(INDEX(Assumptions!$E$18:$E$29, MATCH(S37, Assumptions!$D$18:$D$29, 0))*$C$40, 0)</f>
        <v>0</v>
      </c>
      <c r="T40" s="423">
        <f>+IFERROR(INDEX(Assumptions!$E$18:$E$29, MATCH(T37, Assumptions!$D$18:$D$29, 0))*$C$40, 0)</f>
        <v>0</v>
      </c>
      <c r="U40" s="422">
        <f>+IFERROR(INDEX(Assumptions!$E$18:$E$29, MATCH(U37, Assumptions!$D$18:$D$29, 0))*$C$40, 0)</f>
        <v>0</v>
      </c>
      <c r="V40" s="494">
        <f>+IFERROR(INDEX(Assumptions!$E$18:$E$29, MATCH(V37, Assumptions!$D$18:$D$29, 0))*$C$40, 0)</f>
        <v>0</v>
      </c>
      <c r="W40" s="146">
        <f>+IFERROR(INDEX(Assumptions!$E$18:$E$29, MATCH(W37, Assumptions!$D$18:$D$29, 0))*$C$40, 0)</f>
        <v>0</v>
      </c>
      <c r="X40" s="146">
        <f>+IFERROR(INDEX(Assumptions!$E$18:$E$29, MATCH(X37, Assumptions!$D$18:$D$29, 0))*$C$40, 0)</f>
        <v>0</v>
      </c>
      <c r="Y40" s="146">
        <f>+IFERROR(INDEX(Assumptions!$E$18:$E$29, MATCH(Y37, Assumptions!$D$18:$D$29, 0))*$C$40, 0)</f>
        <v>0</v>
      </c>
      <c r="Z40" s="146">
        <f>+IFERROR(INDEX(Assumptions!$E$18:$E$29, MATCH(Z37, Assumptions!$D$18:$D$29, 0))*$C$40, 0)</f>
        <v>0</v>
      </c>
      <c r="AA40" s="146">
        <f>+IFERROR(INDEX(Assumptions!$E$18:$E$29, MATCH(AA37, Assumptions!$D$18:$D$29, 0))*$C$40, 0)</f>
        <v>0</v>
      </c>
      <c r="AB40" s="146">
        <f>+IFERROR(INDEX(Assumptions!$E$18:$E$29, MATCH(AB37, Assumptions!$D$18:$D$29, 0))*$C$40, 0)</f>
        <v>0</v>
      </c>
      <c r="AC40" s="146">
        <f>+IFERROR(INDEX(Assumptions!$E$18:$E$29, MATCH(AC37, Assumptions!$D$18:$D$29, 0))*$C$40, 0)</f>
        <v>0</v>
      </c>
      <c r="AD40" s="146">
        <f>+IFERROR(INDEX(Assumptions!$E$18:$E$29, MATCH(AD37, Assumptions!$D$18:$D$29, 0))*$C$40, 0)</f>
        <v>0</v>
      </c>
      <c r="AE40" s="146">
        <f>+IFERROR(INDEX(Assumptions!$E$18:$E$29, MATCH(AE37, Assumptions!$D$18:$D$29, 0))*$C$40, 0)</f>
        <v>0</v>
      </c>
      <c r="AF40" s="245">
        <f>+IFERROR(INDEX(Assumptions!$E$18:$E$29, MATCH(AF37, Assumptions!$D$18:$D$29, 0))*$C$40, 0)</f>
        <v>0</v>
      </c>
      <c r="AG40" s="146">
        <f>+IFERROR(INDEX(Assumptions!$E$18:$E$29, MATCH(AG37, Assumptions!$D$18:$D$29, 0))*$C$40, 0)</f>
        <v>0</v>
      </c>
      <c r="AH40" s="245">
        <f>+IFERROR(INDEX(Assumptions!$E$18:$E$29, MATCH(AH37, Assumptions!$D$18:$D$29, 0))*$C$40, 0)</f>
        <v>0</v>
      </c>
      <c r="AI40" s="245">
        <f>+IFERROR(INDEX(Assumptions!$E$18:$E$29, MATCH(AI37, Assumptions!$D$18:$D$29, 0))*$C$40, 0)</f>
        <v>0</v>
      </c>
      <c r="AJ40" s="245">
        <f>+IFERROR(INDEX(Assumptions!$E$18:$E$29, MATCH(AJ37, Assumptions!$D$18:$D$29, 0))*$C$40, 0)</f>
        <v>0</v>
      </c>
      <c r="AK40" s="245">
        <f>+IFERROR(INDEX(Assumptions!$E$18:$E$29, MATCH(AK37, Assumptions!$D$18:$D$29, 0))*$C$40, 0)</f>
        <v>0</v>
      </c>
      <c r="AL40" s="245">
        <f>+IFERROR(INDEX(Assumptions!$E$18:$E$29, MATCH(AL37, Assumptions!$D$18:$D$29, 0))*$C$40, 0)</f>
        <v>0</v>
      </c>
      <c r="AM40" s="245">
        <f>+IFERROR(INDEX(Assumptions!$E$18:$E$29, MATCH(AM37, Assumptions!$D$18:$D$29, 0))*$C$40, 0)</f>
        <v>0</v>
      </c>
      <c r="AN40" s="245">
        <f>+IFERROR(INDEX(Assumptions!$E$18:$E$29, MATCH(AN37, Assumptions!$D$18:$D$29, 0))*$C$40, 0)</f>
        <v>0</v>
      </c>
      <c r="AO40" s="245">
        <f>+IFERROR(INDEX(Assumptions!$E$18:$E$29, MATCH(AO37, Assumptions!$D$18:$D$29, 0))*$C$40, 0)</f>
        <v>0</v>
      </c>
      <c r="AP40" s="245">
        <f>+IFERROR(INDEX(Assumptions!$E$18:$E$29, MATCH(AP37, Assumptions!$D$18:$D$29, 0))*$C$40, 0)</f>
        <v>0</v>
      </c>
      <c r="AQ40" s="245">
        <f>+IFERROR(INDEX(Assumptions!$E$18:$E$29, MATCH(AQ37, Assumptions!$D$18:$D$29, 0))*$C$40, 0)</f>
        <v>0</v>
      </c>
      <c r="AR40" s="245">
        <f>+IFERROR(INDEX(Assumptions!$E$18:$E$29, MATCH(AR37, Assumptions!$D$18:$D$29, 0))*$C$40, 0)</f>
        <v>0</v>
      </c>
      <c r="AS40" s="245">
        <f>+IFERROR(INDEX(Assumptions!$E$18:$E$29, MATCH(AS37, Assumptions!$D$18:$D$29, 0))*$C$40, 0)</f>
        <v>0</v>
      </c>
      <c r="AT40" s="245">
        <f>+IFERROR(INDEX(Assumptions!$E$18:$E$29, MATCH(AT37, Assumptions!$D$18:$D$29, 0))*$C$40, 0)</f>
        <v>0</v>
      </c>
      <c r="AU40" s="245">
        <f>+IFERROR(INDEX(Assumptions!$E$18:$E$29, MATCH(AU37, Assumptions!$D$18:$D$29, 0))*$C$40, 0)</f>
        <v>0</v>
      </c>
      <c r="AV40" s="245">
        <f>+IFERROR(INDEX(Assumptions!$E$18:$E$29, MATCH(AV37, Assumptions!$D$18:$D$29, 0))*$C$40, 0)</f>
        <v>0</v>
      </c>
      <c r="AW40" s="245">
        <f>+IFERROR(INDEX(Assumptions!$E$18:$E$29, MATCH(AW37, Assumptions!$D$18:$D$29, 0))*$C$40, 0)</f>
        <v>0</v>
      </c>
      <c r="AX40" s="245">
        <f>+IFERROR(INDEX(Assumptions!$E$18:$E$29, MATCH(AX37, Assumptions!$D$18:$D$29, 0))*$C$40, 0)</f>
        <v>0</v>
      </c>
      <c r="AY40" s="245">
        <f>+IFERROR(INDEX(Assumptions!$E$18:$E$29, MATCH(AY37, Assumptions!$D$18:$D$29, 0))*$C$40, 0)</f>
        <v>0</v>
      </c>
      <c r="AZ40" s="245">
        <f>+IFERROR(INDEX(Assumptions!$E$18:$E$29, MATCH(AZ37, Assumptions!$D$18:$D$29, 0))*$C$40, 0)</f>
        <v>0</v>
      </c>
      <c r="BA40" s="245">
        <f>+IFERROR(INDEX(Assumptions!$E$18:$E$29, MATCH(BA37, Assumptions!$D$18:$D$29, 0))*$C$40, 0)</f>
        <v>0</v>
      </c>
      <c r="BB40" s="245">
        <f>+IFERROR(INDEX(Assumptions!$E$18:$E$29, MATCH(BB37, Assumptions!$D$18:$D$29, 0))*$C$40, 0)</f>
        <v>0</v>
      </c>
      <c r="BC40" s="245">
        <f>+IFERROR(INDEX(Assumptions!$E$18:$E$29, MATCH(BC37, Assumptions!$D$18:$D$29, 0))*$C$40, 0)</f>
        <v>0</v>
      </c>
      <c r="BD40" s="245">
        <f>+IFERROR(INDEX(Assumptions!$E$18:$E$29, MATCH(BD37, Assumptions!$D$18:$D$29, 0))*$C$40, 0)</f>
        <v>0</v>
      </c>
      <c r="BE40" s="245">
        <f>+IFERROR(INDEX(Assumptions!$E$18:$E$29, MATCH(BE37, Assumptions!$D$18:$D$29, 0))*$C$40, 0)</f>
        <v>0</v>
      </c>
      <c r="BF40" s="245">
        <f>+IFERROR(INDEX(Assumptions!$E$18:$E$29, MATCH(BF37, Assumptions!$D$18:$D$29, 0))*$C$40, 0)</f>
        <v>0</v>
      </c>
      <c r="BG40" s="245">
        <f>+IFERROR(INDEX(Assumptions!$E$18:$E$29, MATCH(BG37, Assumptions!$D$18:$D$29, 0))*$C$40, 0)</f>
        <v>0</v>
      </c>
      <c r="BH40" s="245">
        <f>+IFERROR(INDEX(Assumptions!$E$18:$E$29, MATCH(BH37, Assumptions!$D$18:$D$29, 0))*$C$40, 0)</f>
        <v>0</v>
      </c>
      <c r="BI40" s="245">
        <f>+IFERROR(INDEX(Assumptions!$E$18:$E$29, MATCH(BI37, Assumptions!$D$18:$D$29, 0))*$C$40, 0)</f>
        <v>0</v>
      </c>
      <c r="BJ40" s="245">
        <f>+IFERROR(INDEX(Assumptions!$E$18:$E$29, MATCH(BJ37, Assumptions!$D$18:$D$29, 0))*$C$40, 0)</f>
        <v>0</v>
      </c>
      <c r="BK40" s="245">
        <f>+IFERROR(INDEX(Assumptions!$E$18:$E$29, MATCH(BK37, Assumptions!$D$18:$D$29, 0))*$C$40, 0)</f>
        <v>0</v>
      </c>
      <c r="BL40" s="245">
        <f>+IFERROR(INDEX(Assumptions!$E$18:$E$29, MATCH(BL37, Assumptions!$D$18:$D$29, 0))*$C$40, 0)</f>
        <v>5876.298841097132</v>
      </c>
      <c r="BM40" s="245">
        <f>+IFERROR(INDEX(Assumptions!$E$18:$E$29, MATCH(BM37, Assumptions!$D$18:$D$29, 0))*$C$40, 0)</f>
        <v>840.4594575553873</v>
      </c>
      <c r="BN40" s="245">
        <f>+IFERROR(INDEX(Assumptions!$E$18:$E$29, MATCH(BN37, Assumptions!$D$18:$D$29, 0))*$C$40, 0)</f>
        <v>34831.009117508518</v>
      </c>
      <c r="BO40" s="245">
        <f>+IFERROR(INDEX(Assumptions!$E$18:$E$29, MATCH(BO37, Assumptions!$D$18:$D$29, 0))*$C$40, 0)</f>
        <v>3144.1484546720176</v>
      </c>
      <c r="BP40" s="245">
        <f>+IFERROR(INDEX(Assumptions!$E$18:$E$29, MATCH(BP37, Assumptions!$D$18:$D$29, 0))*$C$40, 0)</f>
        <v>142237.76760346189</v>
      </c>
      <c r="BQ40" s="245">
        <f>+IFERROR(INDEX(Assumptions!$E$18:$E$29, MATCH(BQ37, Assumptions!$D$18:$D$29, 0))*$C$40, 0)</f>
        <v>255080.50026573314</v>
      </c>
      <c r="BR40" s="245">
        <f>+IFERROR(INDEX(Assumptions!$E$18:$E$29, MATCH(BR37, Assumptions!$D$18:$D$29, 0))*$C$40, 0)</f>
        <v>171877.65985863467</v>
      </c>
      <c r="BS40" s="245">
        <f>+IFERROR(INDEX(Assumptions!$E$18:$E$29, MATCH(BS37, Assumptions!$D$18:$D$29, 0))*$C$40, 0)</f>
        <v>113417.72106770863</v>
      </c>
      <c r="BT40" s="245">
        <f>+IFERROR(INDEX(Assumptions!$E$18:$E$29, MATCH(BT37, Assumptions!$D$18:$D$29, 0))*$C$40, 0)</f>
        <v>23745.124058094774</v>
      </c>
      <c r="BU40" s="245">
        <f>+IFERROR(INDEX(Assumptions!$E$18:$E$29, MATCH(BU37, Assumptions!$D$18:$D$29, 0))*$C$40, 0)</f>
        <v>181840.30371049416</v>
      </c>
      <c r="BV40" s="245">
        <f>+IFERROR(INDEX(Assumptions!$E$18:$E$29, MATCH(BV37, Assumptions!$D$18:$D$29, 0))*$C$40, 0)</f>
        <v>42109.007565039698</v>
      </c>
      <c r="BW40" s="245">
        <f>+IFERROR(INDEX(Assumptions!$E$18:$E$29, MATCH(BW37, Assumptions!$D$18:$D$29, 0))*$C$40, 0)</f>
        <v>0</v>
      </c>
      <c r="BX40" s="245">
        <f>+IFERROR(INDEX(Assumptions!$E$18:$E$29, MATCH(BX37, Assumptions!$D$18:$D$29, 0))*$C$40, 0)</f>
        <v>0</v>
      </c>
      <c r="BY40" s="245">
        <f>+IFERROR(INDEX(Assumptions!$E$18:$E$29, MATCH(BY37, Assumptions!$D$18:$D$29, 0))*$C$40, 0)</f>
        <v>0</v>
      </c>
      <c r="BZ40" s="245">
        <f>+IFERROR(INDEX(Assumptions!$E$18:$E$29, MATCH(BZ37, Assumptions!$D$18:$D$29, 0))*$C$40, 0)</f>
        <v>0</v>
      </c>
      <c r="CA40" s="245">
        <f>+IFERROR(INDEX(Assumptions!$E$18:$E$29, MATCH(CA37, Assumptions!$D$18:$D$29, 0))*$C$40, 0)</f>
        <v>0</v>
      </c>
      <c r="CB40" s="245">
        <f>+IFERROR(INDEX(Assumptions!$E$18:$E$29, MATCH(CB37, Assumptions!$D$18:$D$29, 0))*$C$40, 0)</f>
        <v>0</v>
      </c>
      <c r="CC40" s="245">
        <f>+IFERROR(INDEX(Assumptions!$E$18:$E$29, MATCH(CC37, Assumptions!$D$18:$D$29, 0))*$C$40, 0)</f>
        <v>0</v>
      </c>
      <c r="CD40" s="245">
        <f>+IFERROR(INDEX(Assumptions!$E$18:$E$29, MATCH(CD37, Assumptions!$D$18:$D$29, 0))*$C$40, 0)</f>
        <v>0</v>
      </c>
      <c r="CE40" s="245">
        <f>+IFERROR(INDEX(Assumptions!$E$18:$E$29, MATCH(CE37, Assumptions!$D$18:$D$29, 0))*$C$40, 0)</f>
        <v>0</v>
      </c>
      <c r="CF40" s="245">
        <f>+IFERROR(INDEX(Assumptions!$E$18:$E$29, MATCH(CF37, Assumptions!$D$18:$D$29, 0))*$C$40, 0)</f>
        <v>0</v>
      </c>
      <c r="CG40" s="245">
        <f>+IFERROR(INDEX(Assumptions!$E$18:$E$29, MATCH(CG37, Assumptions!$D$18:$D$29, 0))*$C$40, 0)</f>
        <v>0</v>
      </c>
      <c r="CH40" s="245">
        <f>+IFERROR(INDEX(Assumptions!$E$18:$E$29, MATCH(CH37, Assumptions!$D$18:$D$29, 0))*$C$40, 0)</f>
        <v>0</v>
      </c>
      <c r="CI40" s="245">
        <f>+IFERROR(INDEX(Assumptions!$E$18:$E$29, MATCH(CI37, Assumptions!$D$18:$D$29, 0))*$C$40, 0)</f>
        <v>0</v>
      </c>
      <c r="CJ40" s="245">
        <f>+IFERROR(INDEX(Assumptions!$E$18:$E$29, MATCH(CJ37, Assumptions!$D$18:$D$29, 0))*$C$40, 0)</f>
        <v>0</v>
      </c>
      <c r="CK40" s="245">
        <f>+IFERROR(INDEX(Assumptions!$E$18:$E$29, MATCH(CK37, Assumptions!$D$18:$D$29, 0))*$C$40, 0)</f>
        <v>0</v>
      </c>
      <c r="CL40" s="245">
        <f>+IFERROR(INDEX(Assumptions!$E$18:$E$29, MATCH(CL37, Assumptions!$D$18:$D$29, 0))*$C$40, 0)</f>
        <v>0</v>
      </c>
      <c r="CM40" s="245">
        <f>+IFERROR(INDEX(Assumptions!$E$18:$E$29, MATCH(CM37, Assumptions!$D$18:$D$29, 0))*$C$40, 0)</f>
        <v>0</v>
      </c>
      <c r="CN40" s="245">
        <f>+IFERROR(INDEX(Assumptions!$E$18:$E$29, MATCH(CN37, Assumptions!$D$18:$D$29, 0))*$C$40, 0)</f>
        <v>0</v>
      </c>
      <c r="CO40" s="245">
        <f>+IFERROR(INDEX(Assumptions!$E$18:$E$29, MATCH(CO37, Assumptions!$D$18:$D$29, 0))*$C$40, 0)</f>
        <v>0</v>
      </c>
      <c r="CP40" s="245">
        <f>+IFERROR(INDEX(Assumptions!$E$18:$E$29, MATCH(CP37, Assumptions!$D$18:$D$29, 0))*$C$40, 0)</f>
        <v>0</v>
      </c>
      <c r="CQ40" s="245">
        <f>+IFERROR(INDEX(Assumptions!$E$18:$E$29, MATCH(CQ37, Assumptions!$D$18:$D$29, 0))*$C$40, 0)</f>
        <v>0</v>
      </c>
      <c r="CR40" s="245">
        <f>+IFERROR(INDEX(Assumptions!$E$18:$E$29, MATCH(CR37, Assumptions!$D$18:$D$29, 0))*$C$40, 0)</f>
        <v>0</v>
      </c>
      <c r="CS40" s="245">
        <f>+IFERROR(INDEX(Assumptions!$E$18:$E$29, MATCH(CS37, Assumptions!$D$18:$D$29, 0))*$C$40, 0)</f>
        <v>0</v>
      </c>
      <c r="CT40" s="245">
        <f>+IFERROR(INDEX(Assumptions!$E$18:$E$29, MATCH(CT37, Assumptions!$D$18:$D$29, 0))*$C$40, 0)</f>
        <v>0</v>
      </c>
      <c r="CU40" s="245">
        <f>+IFERROR(INDEX(Assumptions!$E$18:$E$29, MATCH(CU37, Assumptions!$D$18:$D$29, 0))*$C$40, 0)</f>
        <v>0</v>
      </c>
      <c r="CV40" s="245">
        <f>+IFERROR(INDEX(Assumptions!$E$18:$E$29, MATCH(CV37, Assumptions!$D$18:$D$29, 0))*$C$40, 0)</f>
        <v>0</v>
      </c>
      <c r="CW40" s="245">
        <f>+IFERROR(INDEX(Assumptions!$E$18:$E$29, MATCH(CW37, Assumptions!$D$18:$D$29, 0))*$C$40, 0)</f>
        <v>0</v>
      </c>
      <c r="CX40" s="245">
        <f>+IFERROR(INDEX(Assumptions!$E$18:$E$29, MATCH(CX37, Assumptions!$D$18:$D$29, 0))*$C$40, 0)</f>
        <v>0</v>
      </c>
      <c r="CY40" s="245">
        <f>+IFERROR(INDEX(Assumptions!$E$18:$E$29, MATCH(CY37, Assumptions!$D$18:$D$29, 0))*$C$40, 0)</f>
        <v>0</v>
      </c>
      <c r="CZ40" s="245">
        <f>+IFERROR(INDEX(Assumptions!$E$18:$E$29, MATCH(CZ37, Assumptions!$D$18:$D$29, 0))*$C$40, 0)</f>
        <v>0</v>
      </c>
      <c r="DA40" s="245">
        <f>+IFERROR(INDEX(Assumptions!$E$18:$E$29, MATCH(DA37, Assumptions!$D$18:$D$29, 0))*$C$40, 0)</f>
        <v>0</v>
      </c>
      <c r="DB40" s="245">
        <f>+IFERROR(INDEX(Assumptions!$E$18:$E$29, MATCH(DB37, Assumptions!$D$18:$D$29, 0))*$C$40, 0)</f>
        <v>0</v>
      </c>
      <c r="DC40" s="245">
        <f>+IFERROR(INDEX(Assumptions!$E$18:$E$29, MATCH(DC37, Assumptions!$D$18:$D$29, 0))*$C$40, 0)</f>
        <v>0</v>
      </c>
      <c r="DD40" s="245">
        <f>+IFERROR(INDEX(Assumptions!$E$18:$E$29, MATCH(DD37, Assumptions!$D$18:$D$29, 0))*$C$40, 0)</f>
        <v>0</v>
      </c>
      <c r="DE40" s="245">
        <f>+IFERROR(INDEX(Assumptions!$E$18:$E$29, MATCH(DE37, Assumptions!$D$18:$D$29, 0))*$C$40, 0)</f>
        <v>0</v>
      </c>
      <c r="DF40" s="245">
        <f>+IFERROR(INDEX(Assumptions!$E$18:$E$29, MATCH(DF37, Assumptions!$D$18:$D$29, 0))*$C$40, 0)</f>
        <v>0</v>
      </c>
      <c r="DG40" s="245">
        <f>+IFERROR(INDEX(Assumptions!$E$18:$E$29, MATCH(DG37, Assumptions!$D$18:$D$29, 0))*$C$40, 0)</f>
        <v>0</v>
      </c>
      <c r="DH40" s="245">
        <f>+IFERROR(INDEX(Assumptions!$E$18:$E$29, MATCH(DH37, Assumptions!$D$18:$D$29, 0))*$C$40, 0)</f>
        <v>0</v>
      </c>
    </row>
    <row r="41" spans="2:112" x14ac:dyDescent="0.25">
      <c r="B41" t="s">
        <v>455</v>
      </c>
      <c r="C41" s="628">
        <f>+EOMONTH(C33, 12)</f>
        <v>46721</v>
      </c>
      <c r="D41" t="s">
        <v>243</v>
      </c>
      <c r="F41" s="9">
        <f t="shared" ref="F41" si="827">+F40+E41</f>
        <v>0</v>
      </c>
      <c r="G41" s="9">
        <f t="shared" ref="G41" si="828">+G40+F41</f>
        <v>0</v>
      </c>
      <c r="H41" s="9">
        <f t="shared" ref="H41" si="829">+H40+G41</f>
        <v>0</v>
      </c>
      <c r="I41" s="9">
        <f t="shared" ref="I41" si="830">+I40+H41</f>
        <v>0</v>
      </c>
      <c r="J41" s="9">
        <f t="shared" ref="J41" si="831">+J40+I41</f>
        <v>0</v>
      </c>
      <c r="K41" s="9">
        <f t="shared" ref="K41" si="832">+K40+J41</f>
        <v>0</v>
      </c>
      <c r="L41" s="9">
        <f t="shared" ref="L41" si="833">+L40+K41</f>
        <v>0</v>
      </c>
      <c r="M41" s="9">
        <f t="shared" ref="M41" si="834">+M40+L41</f>
        <v>0</v>
      </c>
      <c r="N41" s="9">
        <f t="shared" ref="N41" si="835">+N40+M41</f>
        <v>0</v>
      </c>
      <c r="O41" s="9">
        <f t="shared" ref="O41" si="836">+O40+N41</f>
        <v>0</v>
      </c>
      <c r="P41" s="9">
        <f t="shared" ref="P41" si="837">+P40+O41</f>
        <v>0</v>
      </c>
      <c r="Q41" s="9">
        <f t="shared" ref="Q41" si="838">+Q40+P41</f>
        <v>0</v>
      </c>
      <c r="R41" s="9">
        <f t="shared" ref="R41" si="839">+R40+Q41</f>
        <v>0</v>
      </c>
      <c r="S41" s="9">
        <f t="shared" ref="S41" si="840">+S40+R41</f>
        <v>0</v>
      </c>
      <c r="T41" s="9">
        <f t="shared" ref="T41" si="841">+T40+S41</f>
        <v>0</v>
      </c>
      <c r="U41" s="9">
        <f t="shared" ref="U41" si="842">+U40+T41</f>
        <v>0</v>
      </c>
      <c r="V41" s="9">
        <f t="shared" ref="V41" si="843">+V40+U41</f>
        <v>0</v>
      </c>
      <c r="W41" s="9">
        <f t="shared" ref="W41" si="844">+W40+V41</f>
        <v>0</v>
      </c>
      <c r="X41" s="9">
        <f t="shared" ref="X41" si="845">+X40+W41</f>
        <v>0</v>
      </c>
      <c r="Y41" s="9">
        <f t="shared" ref="Y41" si="846">+Y40+X41</f>
        <v>0</v>
      </c>
      <c r="Z41" s="9">
        <f t="shared" ref="Z41" si="847">+Z40+Y41</f>
        <v>0</v>
      </c>
      <c r="AA41" s="9">
        <f t="shared" ref="AA41" si="848">+AA40+Z41</f>
        <v>0</v>
      </c>
      <c r="AB41" s="9">
        <f t="shared" ref="AB41" si="849">+AB40+AA41</f>
        <v>0</v>
      </c>
      <c r="AC41" s="9">
        <f t="shared" ref="AC41" si="850">+AC40+AB41</f>
        <v>0</v>
      </c>
      <c r="AD41" s="9">
        <f t="shared" ref="AD41" si="851">+AD40+AC41</f>
        <v>0</v>
      </c>
      <c r="AE41" s="9">
        <f t="shared" ref="AE41" si="852">+AE40+AD41</f>
        <v>0</v>
      </c>
      <c r="AF41" s="9">
        <f t="shared" ref="AF41" si="853">+AF40+AE41</f>
        <v>0</v>
      </c>
      <c r="AG41" s="9">
        <f t="shared" ref="AG41" si="854">+AG40+AF41</f>
        <v>0</v>
      </c>
      <c r="AH41" s="9">
        <f t="shared" ref="AH41" si="855">+AH40+AG41</f>
        <v>0</v>
      </c>
      <c r="AI41" s="9">
        <f t="shared" ref="AI41" si="856">+AI40+AH41</f>
        <v>0</v>
      </c>
      <c r="AJ41" s="9">
        <f t="shared" ref="AJ41" si="857">+AJ40+AI41</f>
        <v>0</v>
      </c>
      <c r="AK41" s="9">
        <f t="shared" ref="AK41" si="858">+AK40+AJ41</f>
        <v>0</v>
      </c>
      <c r="AL41" s="9">
        <f t="shared" ref="AL41" si="859">+AL40+AK41</f>
        <v>0</v>
      </c>
      <c r="AM41" s="9">
        <f t="shared" ref="AM41" si="860">+AM40+AL41</f>
        <v>0</v>
      </c>
      <c r="AN41" s="9">
        <f t="shared" ref="AN41" si="861">+AN40+AM41</f>
        <v>0</v>
      </c>
      <c r="AO41" s="9">
        <f t="shared" ref="AO41" si="862">+AO40+AN41</f>
        <v>0</v>
      </c>
      <c r="AP41" s="9">
        <f t="shared" ref="AP41" si="863">+AP40+AO41</f>
        <v>0</v>
      </c>
      <c r="AQ41" s="9">
        <f t="shared" ref="AQ41" si="864">+AQ40+AP41</f>
        <v>0</v>
      </c>
      <c r="AR41" s="9">
        <f t="shared" ref="AR41" si="865">+AR40+AQ41</f>
        <v>0</v>
      </c>
      <c r="AS41" s="9">
        <f t="shared" ref="AS41" si="866">+AS40+AR41</f>
        <v>0</v>
      </c>
      <c r="AT41" s="9">
        <f t="shared" ref="AT41" si="867">+AT40+AS41</f>
        <v>0</v>
      </c>
      <c r="AU41" s="9">
        <f t="shared" ref="AU41" si="868">+AU40+AT41</f>
        <v>0</v>
      </c>
      <c r="AV41" s="9">
        <f t="shared" ref="AV41" si="869">+AV40+AU41</f>
        <v>0</v>
      </c>
      <c r="AW41" s="9">
        <f t="shared" ref="AW41" si="870">+AW40+AV41</f>
        <v>0</v>
      </c>
      <c r="AX41" s="9">
        <f t="shared" ref="AX41" si="871">+AX40+AW41</f>
        <v>0</v>
      </c>
      <c r="AY41" s="9">
        <f t="shared" ref="AY41" si="872">+AY40+AX41</f>
        <v>0</v>
      </c>
      <c r="AZ41" s="9">
        <f t="shared" ref="AZ41" si="873">+AZ40+AY41</f>
        <v>0</v>
      </c>
      <c r="BA41" s="9">
        <f t="shared" ref="BA41" si="874">+BA40+AZ41</f>
        <v>0</v>
      </c>
      <c r="BB41" s="9">
        <f t="shared" ref="BB41" si="875">+BB40+BA41</f>
        <v>0</v>
      </c>
      <c r="BC41" s="9">
        <f t="shared" ref="BC41" si="876">+BC40+BB41</f>
        <v>0</v>
      </c>
      <c r="BD41" s="9">
        <f t="shared" ref="BD41" si="877">+BD40+BC41</f>
        <v>0</v>
      </c>
      <c r="BE41" s="9">
        <f t="shared" ref="BE41" si="878">+BE40+BD41</f>
        <v>0</v>
      </c>
      <c r="BF41" s="9">
        <f t="shared" ref="BF41" si="879">+BF40+BE41</f>
        <v>0</v>
      </c>
      <c r="BG41" s="9">
        <f t="shared" ref="BG41" si="880">+BG40+BF41</f>
        <v>0</v>
      </c>
      <c r="BH41" s="9">
        <f t="shared" ref="BH41" si="881">+BH40+BG41</f>
        <v>0</v>
      </c>
      <c r="BI41" s="9">
        <f t="shared" ref="BI41" si="882">+BI40+BH41</f>
        <v>0</v>
      </c>
      <c r="BJ41" s="9">
        <f t="shared" ref="BJ41" si="883">+BJ40+BI41</f>
        <v>0</v>
      </c>
      <c r="BK41" s="9">
        <f t="shared" ref="BK41" si="884">+BK40+BJ41</f>
        <v>0</v>
      </c>
      <c r="BL41" s="9">
        <f t="shared" ref="BL41" si="885">+BL40+BK41</f>
        <v>5876.298841097132</v>
      </c>
      <c r="BM41" s="9">
        <f t="shared" ref="BM41" si="886">+BM40+BL41</f>
        <v>6716.7582986525194</v>
      </c>
      <c r="BN41" s="9">
        <f t="shared" ref="BN41" si="887">+BN40+BM41</f>
        <v>41547.767416161034</v>
      </c>
      <c r="BO41" s="9">
        <f t="shared" ref="BO41" si="888">+BO40+BN41</f>
        <v>44691.915870833051</v>
      </c>
      <c r="BP41" s="9">
        <f t="shared" ref="BP41" si="889">+BP40+BO41</f>
        <v>186929.68347429496</v>
      </c>
      <c r="BQ41" s="9">
        <f t="shared" ref="BQ41" si="890">+BQ40+BP41</f>
        <v>442010.18374002806</v>
      </c>
      <c r="BR41" s="9">
        <f t="shared" ref="BR41" si="891">+BR40+BQ41</f>
        <v>613887.84359866276</v>
      </c>
      <c r="BS41" s="9">
        <f t="shared" ref="BS41" si="892">+BS40+BR41</f>
        <v>727305.56466637133</v>
      </c>
      <c r="BT41" s="9">
        <f t="shared" ref="BT41" si="893">+BT40+BS41</f>
        <v>751050.68872446613</v>
      </c>
      <c r="BU41" s="9">
        <f t="shared" ref="BU41" si="894">+BU40+BT41</f>
        <v>932890.99243496032</v>
      </c>
      <c r="BV41" s="9">
        <f t="shared" ref="BV41" si="895">+BV40+BU41</f>
        <v>975000</v>
      </c>
      <c r="BW41" s="9">
        <f t="shared" ref="BW41" si="896">+BW40+BV41</f>
        <v>975000</v>
      </c>
      <c r="BX41" s="9">
        <f t="shared" ref="BX41" si="897">+BX40+BW41</f>
        <v>975000</v>
      </c>
      <c r="BY41" s="9">
        <f t="shared" ref="BY41" si="898">+BY40+BX41</f>
        <v>975000</v>
      </c>
      <c r="BZ41" s="9">
        <f t="shared" ref="BZ41" si="899">+BZ40+BY41</f>
        <v>975000</v>
      </c>
      <c r="CA41" s="9">
        <f t="shared" ref="CA41" si="900">+CA40+BZ41</f>
        <v>975000</v>
      </c>
      <c r="CB41" s="9">
        <f t="shared" ref="CB41" si="901">+CB40+CA41</f>
        <v>975000</v>
      </c>
      <c r="CC41" s="9">
        <f t="shared" ref="CC41" si="902">+CC40+CB41</f>
        <v>975000</v>
      </c>
      <c r="CD41" s="9">
        <f t="shared" ref="CD41" si="903">+CD40+CC41</f>
        <v>975000</v>
      </c>
      <c r="CE41" s="9">
        <f t="shared" ref="CE41" si="904">+CE40+CD41</f>
        <v>975000</v>
      </c>
      <c r="CF41" s="9">
        <f t="shared" ref="CF41" si="905">+CF40+CE41</f>
        <v>975000</v>
      </c>
      <c r="CG41" s="9">
        <f t="shared" ref="CG41" si="906">+CG40+CF41</f>
        <v>975000</v>
      </c>
      <c r="CH41" s="9">
        <f t="shared" ref="CH41" si="907">+CH40+CG41</f>
        <v>975000</v>
      </c>
      <c r="CI41" s="9">
        <f t="shared" ref="CI41" si="908">+CI40+CH41</f>
        <v>975000</v>
      </c>
      <c r="CJ41" s="9">
        <f t="shared" ref="CJ41" si="909">+CJ40+CI41</f>
        <v>975000</v>
      </c>
      <c r="CK41" s="9">
        <f t="shared" ref="CK41" si="910">+CK40+CJ41</f>
        <v>975000</v>
      </c>
      <c r="CL41" s="9">
        <f t="shared" ref="CL41" si="911">+CL40+CK41</f>
        <v>975000</v>
      </c>
      <c r="CM41" s="9">
        <f t="shared" ref="CM41" si="912">+CM40+CL41</f>
        <v>975000</v>
      </c>
      <c r="CN41" s="9">
        <f t="shared" ref="CN41" si="913">+CN40+CM41</f>
        <v>975000</v>
      </c>
      <c r="CO41" s="9">
        <f t="shared" ref="CO41" si="914">+CO40+CN41</f>
        <v>975000</v>
      </c>
      <c r="CP41" s="9">
        <f t="shared" ref="CP41" si="915">+CP40+CO41</f>
        <v>975000</v>
      </c>
      <c r="CQ41" s="9">
        <f t="shared" ref="CQ41" si="916">+CQ40+CP41</f>
        <v>975000</v>
      </c>
      <c r="CR41" s="9">
        <f t="shared" ref="CR41" si="917">+CR40+CQ41</f>
        <v>975000</v>
      </c>
      <c r="CS41" s="9">
        <f t="shared" ref="CS41" si="918">+CS40+CR41</f>
        <v>975000</v>
      </c>
      <c r="CT41" s="9">
        <f t="shared" ref="CT41" si="919">+CT40+CS41</f>
        <v>975000</v>
      </c>
      <c r="CU41" s="9">
        <f t="shared" ref="CU41" si="920">+CU40+CT41</f>
        <v>975000</v>
      </c>
      <c r="CV41" s="9">
        <f t="shared" ref="CV41" si="921">+CV40+CU41</f>
        <v>975000</v>
      </c>
      <c r="CW41" s="9">
        <f t="shared" ref="CW41" si="922">+CW40+CV41</f>
        <v>975000</v>
      </c>
      <c r="CX41" s="9">
        <f t="shared" ref="CX41" si="923">+CX40+CW41</f>
        <v>975000</v>
      </c>
      <c r="CY41" s="9">
        <f t="shared" ref="CY41" si="924">+CY40+CX41</f>
        <v>975000</v>
      </c>
      <c r="CZ41" s="9">
        <f t="shared" ref="CZ41" si="925">+CZ40+CY41</f>
        <v>975000</v>
      </c>
      <c r="DA41" s="9">
        <f t="shared" ref="DA41" si="926">+DA40+CZ41</f>
        <v>975000</v>
      </c>
      <c r="DB41" s="9">
        <f t="shared" ref="DB41" si="927">+DB40+DA41</f>
        <v>975000</v>
      </c>
      <c r="DC41" s="9">
        <f t="shared" ref="DC41" si="928">+DC40+DB41</f>
        <v>975000</v>
      </c>
      <c r="DD41" s="9">
        <f t="shared" ref="DD41" si="929">+DD40+DC41</f>
        <v>975000</v>
      </c>
      <c r="DE41" s="9">
        <f t="shared" ref="DE41" si="930">+DE40+DD41</f>
        <v>975000</v>
      </c>
      <c r="DF41" s="9">
        <f t="shared" ref="DF41" si="931">+DF40+DE41</f>
        <v>975000</v>
      </c>
      <c r="DG41" s="9">
        <f t="shared" ref="DG41:DH41" si="932">+DG40+DF41</f>
        <v>975000</v>
      </c>
      <c r="DH41" s="9">
        <f t="shared" si="932"/>
        <v>975000</v>
      </c>
    </row>
    <row r="42" spans="2:112" x14ac:dyDescent="0.25">
      <c r="B42" t="s">
        <v>473</v>
      </c>
      <c r="C42" s="473">
        <f>+EOMONTH(C41,12)</f>
        <v>47087</v>
      </c>
      <c r="D42" t="s">
        <v>278</v>
      </c>
      <c r="F42" s="422">
        <f>+IFERROR(INDEX(Assumptions!$F$31:$F$42, MATCH(F37, Assumptions!$D$31:$D$42, 0))*$C$39, 0)</f>
        <v>0</v>
      </c>
      <c r="G42" s="9">
        <f>+IFERROR(INDEX(Assumptions!$F$31:$F$42, MATCH(G37, Assumptions!$D$31:$D$42, 0))*$C$39, 0)</f>
        <v>0</v>
      </c>
      <c r="H42" s="9">
        <f>+IFERROR(INDEX(Assumptions!$F$31:$F$42, MATCH(H37, Assumptions!$D$31:$D$42, 0))*$C$39, 0)</f>
        <v>0</v>
      </c>
      <c r="I42" s="9">
        <f>+IFERROR(INDEX(Assumptions!$F$31:$F$42, MATCH(I37, Assumptions!$D$31:$D$42, 0))*$C$39, 0)</f>
        <v>0</v>
      </c>
      <c r="J42" s="9">
        <f>+IFERROR(INDEX(Assumptions!$F$31:$F$42, MATCH(J37, Assumptions!$D$31:$D$42, 0))*$C$39, 0)</f>
        <v>0</v>
      </c>
      <c r="K42" s="9">
        <f>+IFERROR(INDEX(Assumptions!$F$31:$F$42, MATCH(K37, Assumptions!$D$31:$D$42, 0))*$C$39, 0)</f>
        <v>0</v>
      </c>
      <c r="L42" s="9">
        <f>+IFERROR(INDEX(Assumptions!$F$31:$F$42, MATCH(L37, Assumptions!$D$31:$D$42, 0))*$C$39, 0)</f>
        <v>0</v>
      </c>
      <c r="M42" s="9">
        <f>+IFERROR(INDEX(Assumptions!$F$31:$F$42, MATCH(M37, Assumptions!$D$31:$D$42, 0))*$C$39, 0)</f>
        <v>0</v>
      </c>
      <c r="N42" s="9">
        <f>+IFERROR(INDEX(Assumptions!$F$31:$F$42, MATCH(N37, Assumptions!$D$31:$D$42, 0))*$C$39, 0)</f>
        <v>0</v>
      </c>
      <c r="O42" s="9">
        <f>+IFERROR(INDEX(Assumptions!$F$31:$F$42, MATCH(O37, Assumptions!$D$31:$D$42, 0))*$C$39, 0)</f>
        <v>0</v>
      </c>
      <c r="P42" s="9">
        <f>+IFERROR(INDEX(Assumptions!$F$31:$F$42, MATCH(P37, Assumptions!$D$31:$D$42, 0))*$C$39, 0)</f>
        <v>0</v>
      </c>
      <c r="Q42" s="9">
        <f>+IFERROR(INDEX(Assumptions!$F$31:$F$42, MATCH(Q37, Assumptions!$D$31:$D$42, 0))*$C$39, 0)</f>
        <v>0</v>
      </c>
      <c r="R42" s="9">
        <f>+IFERROR(INDEX(Assumptions!$F$31:$F$42, MATCH(R37, Assumptions!$D$31:$D$42, 0))*$C$39, 0)</f>
        <v>0</v>
      </c>
      <c r="S42" s="9">
        <f>+IFERROR(INDEX(Assumptions!$F$31:$F$42, MATCH(S37, Assumptions!$D$31:$D$42, 0))*$C$39, 0)</f>
        <v>0</v>
      </c>
      <c r="T42" s="9">
        <f>+IFERROR(INDEX(Assumptions!$F$31:$F$42, MATCH(T37, Assumptions!$D$31:$D$42, 0))*$C$39, 0)</f>
        <v>0</v>
      </c>
      <c r="U42" s="9">
        <f>+IFERROR(INDEX(Assumptions!$F$31:$F$42, MATCH(U37, Assumptions!$D$31:$D$42, 0))*$C$39, 0)</f>
        <v>0</v>
      </c>
      <c r="V42" s="9">
        <f>+IFERROR(INDEX(Assumptions!$F$31:$F$42, MATCH(V37, Assumptions!$D$31:$D$42, 0))*$C$39, 0)</f>
        <v>0</v>
      </c>
      <c r="W42" s="9">
        <f>+IFERROR(INDEX(Assumptions!$F$31:$F$42, MATCH(W37, Assumptions!$D$31:$D$42, 0))*$C$39, 0)</f>
        <v>0</v>
      </c>
      <c r="X42" s="9">
        <f>+IFERROR(INDEX(Assumptions!$F$31:$F$42, MATCH(X37, Assumptions!$D$31:$D$42, 0))*$C$39, 0)</f>
        <v>0</v>
      </c>
      <c r="Y42" s="9">
        <f>+IFERROR(INDEX(Assumptions!$F$31:$F$42, MATCH(Y37, Assumptions!$D$31:$D$42, 0))*$C$39, 0)</f>
        <v>0</v>
      </c>
      <c r="Z42" s="9">
        <f>+IFERROR(INDEX(Assumptions!$F$31:$F$42, MATCH(Z37, Assumptions!$D$31:$D$42, 0))*$C$39, 0)</f>
        <v>0</v>
      </c>
      <c r="AA42" s="9">
        <f>+IFERROR(INDEX(Assumptions!$F$31:$F$42, MATCH(AA37, Assumptions!$D$31:$D$42, 0))*$C$39, 0)</f>
        <v>0</v>
      </c>
      <c r="AB42" s="9">
        <f>+IFERROR(INDEX(Assumptions!$F$31:$F$42, MATCH(AB37, Assumptions!$D$31:$D$42, 0))*$C$39, 0)</f>
        <v>0</v>
      </c>
      <c r="AC42" s="9">
        <f>+IFERROR(INDEX(Assumptions!$F$31:$F$42, MATCH(AC37, Assumptions!$D$31:$D$42, 0))*$C$39, 0)</f>
        <v>0</v>
      </c>
      <c r="AD42" s="9">
        <f>+IFERROR(INDEX(Assumptions!$F$31:$F$42, MATCH(AD37, Assumptions!$D$31:$D$42, 0))*$C$39, 0)</f>
        <v>0</v>
      </c>
      <c r="AE42" s="9">
        <f>+IFERROR(INDEX(Assumptions!$F$31:$F$42, MATCH(AE37, Assumptions!$D$31:$D$42, 0))*$C$39, 0)</f>
        <v>0</v>
      </c>
      <c r="AF42" s="9">
        <f>+IFERROR(INDEX(Assumptions!$F$31:$F$42, MATCH(AF37, Assumptions!$D$31:$D$42, 0))*$C$39, 0)</f>
        <v>0</v>
      </c>
      <c r="AG42" s="9">
        <f>+IFERROR(INDEX(Assumptions!$F$31:$F$42, MATCH(AG37, Assumptions!$D$31:$D$42, 0))*$C$39, 0)</f>
        <v>0</v>
      </c>
      <c r="AH42" s="9">
        <f>+IFERROR(INDEX(Assumptions!$F$31:$F$42, MATCH(AH37, Assumptions!$D$31:$D$42, 0))*$C$39, 0)</f>
        <v>0</v>
      </c>
      <c r="AI42" s="9">
        <f>+IFERROR(INDEX(Assumptions!$F$31:$F$42, MATCH(AI37, Assumptions!$D$31:$D$42, 0))*$C$39, 0)</f>
        <v>0</v>
      </c>
      <c r="AJ42" s="9">
        <f>+IFERROR(INDEX(Assumptions!$F$31:$F$42, MATCH(AJ37, Assumptions!$D$31:$D$42, 0))*$C$39, 0)</f>
        <v>0</v>
      </c>
      <c r="AK42" s="9">
        <f>+IFERROR(INDEX(Assumptions!$F$31:$F$42, MATCH(AK37, Assumptions!$D$31:$D$42, 0))*$C$39, 0)</f>
        <v>0</v>
      </c>
      <c r="AL42" s="9">
        <f>+IFERROR(INDEX(Assumptions!$F$31:$F$42, MATCH(AL37, Assumptions!$D$31:$D$42, 0))*$C$39, 0)</f>
        <v>0</v>
      </c>
      <c r="AM42" s="9">
        <f>+IFERROR(INDEX(Assumptions!$F$31:$F$42, MATCH(AM37, Assumptions!$D$31:$D$42, 0))*$C$39, 0)</f>
        <v>0</v>
      </c>
      <c r="AN42" s="9">
        <f>+IFERROR(INDEX(Assumptions!$F$31:$F$42, MATCH(AN37, Assumptions!$D$31:$D$42, 0))*$C$39, 0)</f>
        <v>0</v>
      </c>
      <c r="AO42" s="9">
        <f>+IFERROR(INDEX(Assumptions!$F$31:$F$42, MATCH(AO37, Assumptions!$D$31:$D$42, 0))*$C$39, 0)</f>
        <v>0</v>
      </c>
      <c r="AP42" s="9">
        <f>+IFERROR(INDEX(Assumptions!$F$31:$F$42, MATCH(AP37, Assumptions!$D$31:$D$42, 0))*$C$39, 0)</f>
        <v>0</v>
      </c>
      <c r="AQ42" s="9">
        <f>+IFERROR(INDEX(Assumptions!$F$31:$F$42, MATCH(AQ37, Assumptions!$D$31:$D$42, 0))*$C$39, 0)</f>
        <v>0</v>
      </c>
      <c r="AR42" s="9">
        <f>+IFERROR(INDEX(Assumptions!$F$31:$F$42, MATCH(AR37, Assumptions!$D$31:$D$42, 0))*$C$39, 0)</f>
        <v>0</v>
      </c>
      <c r="AS42" s="9">
        <f>+IFERROR(INDEX(Assumptions!$F$31:$F$42, MATCH(AS37, Assumptions!$D$31:$D$42, 0))*$C$39, 0)</f>
        <v>0</v>
      </c>
      <c r="AT42" s="9">
        <f>+IFERROR(INDEX(Assumptions!$F$31:$F$42, MATCH(AT37, Assumptions!$D$31:$D$42, 0))*$C$39, 0)</f>
        <v>0</v>
      </c>
      <c r="AU42" s="9">
        <f>+IFERROR(INDEX(Assumptions!$F$31:$F$42, MATCH(AU37, Assumptions!$D$31:$D$42, 0))*$C$39, 0)</f>
        <v>0</v>
      </c>
      <c r="AV42" s="9">
        <f>+IFERROR(INDEX(Assumptions!$F$31:$F$42, MATCH(AV37, Assumptions!$D$31:$D$42, 0))*$C$39, 0)</f>
        <v>0</v>
      </c>
      <c r="AW42" s="9">
        <f>+IFERROR(INDEX(Assumptions!$F$31:$F$42, MATCH(AW37, Assumptions!$D$31:$D$42, 0))*$C$39, 0)</f>
        <v>0</v>
      </c>
      <c r="AX42" s="9">
        <f>+IFERROR(INDEX(Assumptions!$F$31:$F$42, MATCH(AX37, Assumptions!$D$31:$D$42, 0))*$C$39, 0)</f>
        <v>0</v>
      </c>
      <c r="AY42" s="9">
        <f>+IFERROR(INDEX(Assumptions!$F$31:$F$42, MATCH(AY37, Assumptions!$D$31:$D$42, 0))*$C$39, 0)</f>
        <v>0</v>
      </c>
      <c r="AZ42" s="9">
        <f>+IFERROR(INDEX(Assumptions!$F$31:$F$42, MATCH(AZ37, Assumptions!$D$31:$D$42, 0))*$C$39, 0)</f>
        <v>0</v>
      </c>
      <c r="BA42" s="9">
        <f>+IFERROR(INDEX(Assumptions!$F$31:$F$42, MATCH(BA37, Assumptions!$D$31:$D$42, 0))*$C$39, 0)</f>
        <v>0</v>
      </c>
      <c r="BB42" s="9">
        <f>+IFERROR(INDEX(Assumptions!$F$31:$F$42, MATCH(BB37, Assumptions!$D$31:$D$42, 0))*$C$39, 0)</f>
        <v>0</v>
      </c>
      <c r="BC42" s="9">
        <f>+IFERROR(INDEX(Assumptions!$F$31:$F$42, MATCH(BC37, Assumptions!$D$31:$D$42, 0))*$C$39, 0)</f>
        <v>0</v>
      </c>
      <c r="BD42" s="9">
        <f>+IFERROR(INDEX(Assumptions!$F$31:$F$42, MATCH(BD37, Assumptions!$D$31:$D$42, 0))*$C$39, 0)</f>
        <v>0</v>
      </c>
      <c r="BE42" s="9">
        <f>+IFERROR(INDEX(Assumptions!$F$31:$F$42, MATCH(BE37, Assumptions!$D$31:$D$42, 0))*$C$39, 0)</f>
        <v>0</v>
      </c>
      <c r="BF42" s="9">
        <f>+IFERROR(INDEX(Assumptions!$F$31:$F$42, MATCH(BF37, Assumptions!$D$31:$D$42, 0))*$C$39, 0)</f>
        <v>0</v>
      </c>
      <c r="BG42" s="9">
        <f>+IFERROR(INDEX(Assumptions!$F$31:$F$42, MATCH(BG37, Assumptions!$D$31:$D$42, 0))*$C$39, 0)</f>
        <v>0</v>
      </c>
      <c r="BH42" s="9">
        <f>+IFERROR(INDEX(Assumptions!$F$31:$F$42, MATCH(BH37, Assumptions!$D$31:$D$42, 0))*$C$39, 0)</f>
        <v>0</v>
      </c>
      <c r="BI42" s="9">
        <f>+IFERROR(INDEX(Assumptions!$F$31:$F$42, MATCH(BI37, Assumptions!$D$31:$D$42, 0))*$C$39, 0)</f>
        <v>0</v>
      </c>
      <c r="BJ42" s="9">
        <f>+IFERROR(INDEX(Assumptions!$F$31:$F$42, MATCH(BJ37, Assumptions!$D$31:$D$42, 0))*$C$39, 0)</f>
        <v>0</v>
      </c>
      <c r="BK42" s="9">
        <f>+IFERROR(INDEX(Assumptions!$F$31:$F$42, MATCH(BK37, Assumptions!$D$31:$D$42, 0))*$C$39, 0)</f>
        <v>295000</v>
      </c>
      <c r="BL42" s="9">
        <f>+IFERROR(INDEX(Assumptions!$F$31:$F$42, MATCH(BL37, Assumptions!$D$31:$D$42, 0))*$C$39, 0)</f>
        <v>0</v>
      </c>
      <c r="BM42" s="9">
        <f>+IFERROR(INDEX(Assumptions!$F$31:$F$42, MATCH(BM37, Assumptions!$D$31:$D$42, 0))*$C$39, 0)</f>
        <v>0</v>
      </c>
      <c r="BN42" s="9">
        <f>+IFERROR(INDEX(Assumptions!$F$31:$F$42, MATCH(BN37, Assumptions!$D$31:$D$42, 0))*$C$39, 0)</f>
        <v>0</v>
      </c>
      <c r="BO42" s="9">
        <f>+IFERROR(INDEX(Assumptions!$F$31:$F$42, MATCH(BO37, Assumptions!$D$31:$D$42, 0))*$C$39, 0)</f>
        <v>590000</v>
      </c>
      <c r="BP42" s="9">
        <f>+IFERROR(INDEX(Assumptions!$F$31:$F$42, MATCH(BP37, Assumptions!$D$31:$D$42, 0))*$C$39, 0)</f>
        <v>737500</v>
      </c>
      <c r="BQ42" s="9">
        <f>+IFERROR(INDEX(Assumptions!$F$31:$F$42, MATCH(BQ37, Assumptions!$D$31:$D$42, 0))*$C$39, 0)</f>
        <v>442500</v>
      </c>
      <c r="BR42" s="9">
        <f>+IFERROR(INDEX(Assumptions!$F$31:$F$42, MATCH(BR37, Assumptions!$D$31:$D$42, 0))*$C$39, 0)</f>
        <v>0</v>
      </c>
      <c r="BS42" s="9">
        <f>+IFERROR(INDEX(Assumptions!$F$31:$F$42, MATCH(BS37, Assumptions!$D$31:$D$42, 0))*$C$39, 0)</f>
        <v>442500</v>
      </c>
      <c r="BT42" s="9">
        <f>+IFERROR(INDEX(Assumptions!$F$31:$F$42, MATCH(BT37, Assumptions!$D$31:$D$42, 0))*$C$39, 0)</f>
        <v>0</v>
      </c>
      <c r="BU42" s="9">
        <f>+IFERROR(INDEX(Assumptions!$F$31:$F$42, MATCH(BU37, Assumptions!$D$31:$D$42, 0))*$C$39, 0)</f>
        <v>442500</v>
      </c>
      <c r="BV42" s="9">
        <f>+IFERROR(INDEX(Assumptions!$F$31:$F$42, MATCH(BV37, Assumptions!$D$31:$D$42, 0))*$C$39, 0)</f>
        <v>0</v>
      </c>
      <c r="BW42" s="9">
        <f>+IFERROR(INDEX(Assumptions!$F$31:$F$42, MATCH(BW37, Assumptions!$D$31:$D$42, 0))*$C$39, 0)</f>
        <v>0</v>
      </c>
      <c r="BX42" s="9">
        <f>+IFERROR(INDEX(Assumptions!$F$31:$F$42, MATCH(BX37, Assumptions!$D$31:$D$42, 0))*$C$39, 0)</f>
        <v>0</v>
      </c>
      <c r="BY42" s="9">
        <f>+IFERROR(INDEX(Assumptions!$F$31:$F$42, MATCH(BY37, Assumptions!$D$31:$D$42, 0))*$C$39, 0)</f>
        <v>0</v>
      </c>
      <c r="BZ42" s="9">
        <f>+IFERROR(INDEX(Assumptions!$F$31:$F$42, MATCH(BZ37, Assumptions!$D$31:$D$42, 0))*$C$39, 0)</f>
        <v>0</v>
      </c>
      <c r="CA42" s="9">
        <f>+IFERROR(INDEX(Assumptions!$F$31:$F$42, MATCH(CA37, Assumptions!$D$31:$D$42, 0))*$C$39, 0)</f>
        <v>0</v>
      </c>
      <c r="CB42" s="9">
        <f>+IFERROR(INDEX(Assumptions!$F$31:$F$42, MATCH(CB37, Assumptions!$D$31:$D$42, 0))*$C$39, 0)</f>
        <v>0</v>
      </c>
      <c r="CC42" s="9">
        <f>+IFERROR(INDEX(Assumptions!$F$31:$F$42, MATCH(CC37, Assumptions!$D$31:$D$42, 0))*$C$39, 0)</f>
        <v>0</v>
      </c>
      <c r="CD42" s="9">
        <f>+IFERROR(INDEX(Assumptions!$F$31:$F$42, MATCH(CD37, Assumptions!$D$31:$D$42, 0))*$C$39, 0)</f>
        <v>0</v>
      </c>
      <c r="CE42" s="9">
        <f>+IFERROR(INDEX(Assumptions!$F$31:$F$42, MATCH(CE37, Assumptions!$D$31:$D$42, 0))*$C$39, 0)</f>
        <v>0</v>
      </c>
      <c r="CF42" s="9">
        <f>+IFERROR(INDEX(Assumptions!$F$31:$F$42, MATCH(CF37, Assumptions!$D$31:$D$42, 0))*$C$39, 0)</f>
        <v>0</v>
      </c>
      <c r="CG42" s="9">
        <f>+IFERROR(INDEX(Assumptions!$F$31:$F$42, MATCH(CG37, Assumptions!$D$31:$D$42, 0))*$C$39, 0)</f>
        <v>0</v>
      </c>
      <c r="CH42" s="9">
        <f>+IFERROR(INDEX(Assumptions!$F$31:$F$42, MATCH(CH37, Assumptions!$D$31:$D$42, 0))*$C$39, 0)</f>
        <v>0</v>
      </c>
      <c r="CI42" s="9">
        <f>+IFERROR(INDEX(Assumptions!$F$31:$F$42, MATCH(CI37, Assumptions!$D$31:$D$42, 0))*$C$39, 0)</f>
        <v>0</v>
      </c>
      <c r="CJ42" s="9">
        <f>+IFERROR(INDEX(Assumptions!$F$31:$F$42, MATCH(CJ37, Assumptions!$D$31:$D$42, 0))*$C$39, 0)</f>
        <v>0</v>
      </c>
      <c r="CK42" s="9">
        <f>+IFERROR(INDEX(Assumptions!$F$31:$F$42, MATCH(CK37, Assumptions!$D$31:$D$42, 0))*$C$39, 0)</f>
        <v>0</v>
      </c>
      <c r="CL42" s="9">
        <f>+IFERROR(INDEX(Assumptions!$F$31:$F$42, MATCH(CL37, Assumptions!$D$31:$D$42, 0))*$C$39, 0)</f>
        <v>0</v>
      </c>
      <c r="CM42" s="9">
        <f>+IFERROR(INDEX(Assumptions!$F$31:$F$42, MATCH(CM37, Assumptions!$D$31:$D$42, 0))*$C$39, 0)</f>
        <v>0</v>
      </c>
      <c r="CN42" s="9">
        <f>+IFERROR(INDEX(Assumptions!$F$31:$F$42, MATCH(CN37, Assumptions!$D$31:$D$42, 0))*$C$39, 0)</f>
        <v>0</v>
      </c>
      <c r="CO42" s="9">
        <f>+IFERROR(INDEX(Assumptions!$F$31:$F$42, MATCH(CO37, Assumptions!$D$31:$D$42, 0))*$C$39, 0)</f>
        <v>0</v>
      </c>
      <c r="CP42" s="9">
        <f>+IFERROR(INDEX(Assumptions!$F$31:$F$42, MATCH(CP37, Assumptions!$D$31:$D$42, 0))*$C$39, 0)</f>
        <v>0</v>
      </c>
      <c r="CQ42" s="9">
        <f>+IFERROR(INDEX(Assumptions!$F$31:$F$42, MATCH(CQ37, Assumptions!$D$31:$D$42, 0))*$C$39, 0)</f>
        <v>0</v>
      </c>
      <c r="CR42" s="9">
        <f>+IFERROR(INDEX(Assumptions!$F$31:$F$42, MATCH(CR37, Assumptions!$D$31:$D$42, 0))*$C$39, 0)</f>
        <v>0</v>
      </c>
      <c r="CS42" s="9">
        <f>+IFERROR(INDEX(Assumptions!$F$31:$F$42, MATCH(CS37, Assumptions!$D$31:$D$42, 0))*$C$39, 0)</f>
        <v>0</v>
      </c>
      <c r="CT42" s="9">
        <f>+IFERROR(INDEX(Assumptions!$F$31:$F$42, MATCH(CT37, Assumptions!$D$31:$D$42, 0))*$C$39, 0)</f>
        <v>0</v>
      </c>
      <c r="CU42" s="9">
        <f>+IFERROR(INDEX(Assumptions!$F$31:$F$42, MATCH(CU37, Assumptions!$D$31:$D$42, 0))*$C$39, 0)</f>
        <v>0</v>
      </c>
      <c r="CV42" s="9">
        <f>+IFERROR(INDEX(Assumptions!$F$31:$F$42, MATCH(CV37, Assumptions!$D$31:$D$42, 0))*$C$39, 0)</f>
        <v>0</v>
      </c>
      <c r="CW42" s="9">
        <f>+IFERROR(INDEX(Assumptions!$F$31:$F$42, MATCH(CW37, Assumptions!$D$31:$D$42, 0))*$C$39, 0)</f>
        <v>0</v>
      </c>
      <c r="CX42" s="9">
        <f>+IFERROR(INDEX(Assumptions!$F$31:$F$42, MATCH(CX37, Assumptions!$D$31:$D$42, 0))*$C$39, 0)</f>
        <v>0</v>
      </c>
      <c r="CY42" s="9">
        <f>+IFERROR(INDEX(Assumptions!$F$31:$F$42, MATCH(CY37, Assumptions!$D$31:$D$42, 0))*$C$39, 0)</f>
        <v>0</v>
      </c>
      <c r="CZ42" s="9">
        <f>+IFERROR(INDEX(Assumptions!$F$31:$F$42, MATCH(CZ37, Assumptions!$D$31:$D$42, 0))*$C$39, 0)</f>
        <v>0</v>
      </c>
      <c r="DA42" s="9">
        <f>+IFERROR(INDEX(Assumptions!$F$31:$F$42, MATCH(DA37, Assumptions!$D$31:$D$42, 0))*$C$39, 0)</f>
        <v>0</v>
      </c>
      <c r="DB42" s="9">
        <f>+IFERROR(INDEX(Assumptions!$F$31:$F$42, MATCH(DB37, Assumptions!$D$31:$D$42, 0))*$C$39, 0)</f>
        <v>0</v>
      </c>
      <c r="DC42" s="9">
        <f>+IFERROR(INDEX(Assumptions!$F$31:$F$42, MATCH(DC37, Assumptions!$D$31:$D$42, 0))*$C$39, 0)</f>
        <v>0</v>
      </c>
      <c r="DD42" s="9">
        <f>+IFERROR(INDEX(Assumptions!$F$31:$F$42, MATCH(DD37, Assumptions!$D$31:$D$42, 0))*$C$39, 0)</f>
        <v>0</v>
      </c>
      <c r="DE42" s="9">
        <f>+IFERROR(INDEX(Assumptions!$F$31:$F$42, MATCH(DE37, Assumptions!$D$31:$D$42, 0))*$C$39, 0)</f>
        <v>0</v>
      </c>
      <c r="DF42" s="9">
        <f>+IFERROR(INDEX(Assumptions!$F$31:$F$42, MATCH(DF37, Assumptions!$D$31:$D$42, 0))*$C$39, 0)</f>
        <v>0</v>
      </c>
      <c r="DG42" s="9">
        <f>+IFERROR(INDEX(Assumptions!$F$31:$F$42, MATCH(DG37, Assumptions!$D$31:$D$42, 0))*$C$39, 0)</f>
        <v>0</v>
      </c>
      <c r="DH42" s="9">
        <f>+IFERROR(INDEX(Assumptions!$F$31:$F$42, MATCH(DH37, Assumptions!$D$31:$D$42, 0))*$C$39, 0)</f>
        <v>0</v>
      </c>
    </row>
    <row r="43" spans="2:112" x14ac:dyDescent="0.25">
      <c r="D43" t="s">
        <v>277</v>
      </c>
      <c r="F43" s="9">
        <f t="shared" ref="F43" si="933">+F42+E43</f>
        <v>0</v>
      </c>
      <c r="G43" s="9">
        <f t="shared" ref="G43" si="934">+G42+F43</f>
        <v>0</v>
      </c>
      <c r="H43" s="9">
        <f t="shared" ref="H43" si="935">+H42+G43</f>
        <v>0</v>
      </c>
      <c r="I43" s="9">
        <f t="shared" ref="I43" si="936">+I42+H43</f>
        <v>0</v>
      </c>
      <c r="J43" s="9">
        <f t="shared" ref="J43" si="937">+J42+I43</f>
        <v>0</v>
      </c>
      <c r="K43" s="9">
        <f t="shared" ref="K43" si="938">+K42+J43</f>
        <v>0</v>
      </c>
      <c r="L43" s="9">
        <f t="shared" ref="L43" si="939">+L42+K43</f>
        <v>0</v>
      </c>
      <c r="M43" s="9">
        <f t="shared" ref="M43" si="940">+M42+L43</f>
        <v>0</v>
      </c>
      <c r="N43" s="9">
        <f t="shared" ref="N43" si="941">+N42+M43</f>
        <v>0</v>
      </c>
      <c r="O43" s="9">
        <f t="shared" ref="O43" si="942">+O42+N43</f>
        <v>0</v>
      </c>
      <c r="P43" s="9">
        <f t="shared" ref="P43" si="943">+P42+O43</f>
        <v>0</v>
      </c>
      <c r="Q43" s="9">
        <f t="shared" ref="Q43" si="944">+Q42+P43</f>
        <v>0</v>
      </c>
      <c r="R43" s="9">
        <f t="shared" ref="R43" si="945">+R42+Q43</f>
        <v>0</v>
      </c>
      <c r="S43" s="9">
        <f t="shared" ref="S43" si="946">+S42+R43</f>
        <v>0</v>
      </c>
      <c r="T43" s="9">
        <f t="shared" ref="T43" si="947">+T42+S43</f>
        <v>0</v>
      </c>
      <c r="U43" s="9">
        <f t="shared" ref="U43" si="948">+U42+T43</f>
        <v>0</v>
      </c>
      <c r="V43" s="9">
        <f t="shared" ref="V43" si="949">+V42+U43</f>
        <v>0</v>
      </c>
      <c r="W43" s="9">
        <f t="shared" ref="W43" si="950">+W42+V43</f>
        <v>0</v>
      </c>
      <c r="X43" s="9">
        <f t="shared" ref="X43" si="951">+X42+W43</f>
        <v>0</v>
      </c>
      <c r="Y43" s="9">
        <f t="shared" ref="Y43" si="952">+Y42+X43</f>
        <v>0</v>
      </c>
      <c r="Z43" s="9">
        <f t="shared" ref="Z43" si="953">+Z42+Y43</f>
        <v>0</v>
      </c>
      <c r="AA43" s="9">
        <f t="shared" ref="AA43" si="954">+AA42+Z43</f>
        <v>0</v>
      </c>
      <c r="AB43" s="9">
        <f t="shared" ref="AB43" si="955">+AB42+AA43</f>
        <v>0</v>
      </c>
      <c r="AC43" s="9">
        <f t="shared" ref="AC43" si="956">+AC42+AB43</f>
        <v>0</v>
      </c>
      <c r="AD43" s="9">
        <f t="shared" ref="AD43" si="957">+AD42+AC43</f>
        <v>0</v>
      </c>
      <c r="AE43" s="9">
        <f t="shared" ref="AE43" si="958">+AE42+AD43</f>
        <v>0</v>
      </c>
      <c r="AF43" s="9">
        <f t="shared" ref="AF43" si="959">+AF42+AE43</f>
        <v>0</v>
      </c>
      <c r="AG43" s="9">
        <f t="shared" ref="AG43" si="960">+AG42+AF43</f>
        <v>0</v>
      </c>
      <c r="AH43" s="9">
        <f t="shared" ref="AH43" si="961">+AH42+AG43</f>
        <v>0</v>
      </c>
      <c r="AI43" s="9">
        <f t="shared" ref="AI43" si="962">+AI42+AH43</f>
        <v>0</v>
      </c>
      <c r="AJ43" s="9">
        <f t="shared" ref="AJ43" si="963">+AJ42+AI43</f>
        <v>0</v>
      </c>
      <c r="AK43" s="9">
        <f t="shared" ref="AK43" si="964">+AK42+AJ43</f>
        <v>0</v>
      </c>
      <c r="AL43" s="9">
        <f t="shared" ref="AL43" si="965">+AL42+AK43</f>
        <v>0</v>
      </c>
      <c r="AM43" s="9">
        <f t="shared" ref="AM43" si="966">+AM42+AL43</f>
        <v>0</v>
      </c>
      <c r="AN43" s="9">
        <f t="shared" ref="AN43" si="967">+AN42+AM43</f>
        <v>0</v>
      </c>
      <c r="AO43" s="9">
        <f t="shared" ref="AO43" si="968">+AO42+AN43</f>
        <v>0</v>
      </c>
      <c r="AP43" s="9">
        <f t="shared" ref="AP43" si="969">+AP42+AO43</f>
        <v>0</v>
      </c>
      <c r="AQ43" s="9">
        <f t="shared" ref="AQ43" si="970">+AQ42+AP43</f>
        <v>0</v>
      </c>
      <c r="AR43" s="9">
        <f t="shared" ref="AR43" si="971">+AR42+AQ43</f>
        <v>0</v>
      </c>
      <c r="AS43" s="9">
        <f t="shared" ref="AS43" si="972">+AS42+AR43</f>
        <v>0</v>
      </c>
      <c r="AT43" s="9">
        <f t="shared" ref="AT43" si="973">+AT42+AS43</f>
        <v>0</v>
      </c>
      <c r="AU43" s="9">
        <f t="shared" ref="AU43" si="974">+AU42+AT43</f>
        <v>0</v>
      </c>
      <c r="AV43" s="9">
        <f t="shared" ref="AV43" si="975">+AV42+AU43</f>
        <v>0</v>
      </c>
      <c r="AW43" s="9">
        <f t="shared" ref="AW43" si="976">+AW42+AV43</f>
        <v>0</v>
      </c>
      <c r="AX43" s="9">
        <f t="shared" ref="AX43" si="977">+AX42+AW43</f>
        <v>0</v>
      </c>
      <c r="AY43" s="9">
        <f t="shared" ref="AY43" si="978">+AY42+AX43</f>
        <v>0</v>
      </c>
      <c r="AZ43" s="9">
        <f t="shared" ref="AZ43" si="979">+AZ42+AY43</f>
        <v>0</v>
      </c>
      <c r="BA43" s="9">
        <f t="shared" ref="BA43" si="980">+BA42+AZ43</f>
        <v>0</v>
      </c>
      <c r="BB43" s="9">
        <f t="shared" ref="BB43" si="981">+BB42+BA43</f>
        <v>0</v>
      </c>
      <c r="BC43" s="9">
        <f t="shared" ref="BC43" si="982">+BC42+BB43</f>
        <v>0</v>
      </c>
      <c r="BD43" s="9">
        <f t="shared" ref="BD43" si="983">+BD42+BC43</f>
        <v>0</v>
      </c>
      <c r="BE43" s="9">
        <f t="shared" ref="BE43" si="984">+BE42+BD43</f>
        <v>0</v>
      </c>
      <c r="BF43" s="9">
        <f t="shared" ref="BF43" si="985">+BF42+BE43</f>
        <v>0</v>
      </c>
      <c r="BG43" s="9">
        <f t="shared" ref="BG43" si="986">+BG42+BF43</f>
        <v>0</v>
      </c>
      <c r="BH43" s="9">
        <f t="shared" ref="BH43" si="987">+BH42+BG43</f>
        <v>0</v>
      </c>
      <c r="BI43" s="9">
        <f t="shared" ref="BI43" si="988">+BI42+BH43</f>
        <v>0</v>
      </c>
      <c r="BJ43" s="9">
        <f t="shared" ref="BJ43" si="989">+BJ42+BI43</f>
        <v>0</v>
      </c>
      <c r="BK43" s="9">
        <f t="shared" ref="BK43" si="990">+BK42+BJ43</f>
        <v>295000</v>
      </c>
      <c r="BL43" s="9">
        <f t="shared" ref="BL43" si="991">+BL42+BK43</f>
        <v>295000</v>
      </c>
      <c r="BM43" s="9">
        <f t="shared" ref="BM43" si="992">+BM42+BL43</f>
        <v>295000</v>
      </c>
      <c r="BN43" s="9">
        <f t="shared" ref="BN43" si="993">+BN42+BM43</f>
        <v>295000</v>
      </c>
      <c r="BO43" s="9">
        <f t="shared" ref="BO43" si="994">+BO42+BN43</f>
        <v>885000</v>
      </c>
      <c r="BP43" s="9">
        <f t="shared" ref="BP43" si="995">+BP42+BO43</f>
        <v>1622500</v>
      </c>
      <c r="BQ43" s="9">
        <f t="shared" ref="BQ43" si="996">+BQ42+BP43</f>
        <v>2065000</v>
      </c>
      <c r="BR43" s="9">
        <f t="shared" ref="BR43" si="997">+BR42+BQ43</f>
        <v>2065000</v>
      </c>
      <c r="BS43" s="9">
        <f t="shared" ref="BS43" si="998">+BS42+BR43</f>
        <v>2507500</v>
      </c>
      <c r="BT43" s="9">
        <f t="shared" ref="BT43" si="999">+BT42+BS43</f>
        <v>2507500</v>
      </c>
      <c r="BU43" s="9">
        <f t="shared" ref="BU43" si="1000">+BU42+BT43</f>
        <v>2950000</v>
      </c>
      <c r="BV43" s="9">
        <f t="shared" ref="BV43" si="1001">+BV42+BU43</f>
        <v>2950000</v>
      </c>
      <c r="BW43" s="9">
        <f t="shared" ref="BW43" si="1002">+BW42+BV43</f>
        <v>2950000</v>
      </c>
      <c r="BX43" s="9">
        <f t="shared" ref="BX43" si="1003">+BX42+BW43</f>
        <v>2950000</v>
      </c>
      <c r="BY43" s="9">
        <f t="shared" ref="BY43" si="1004">+BY42+BX43</f>
        <v>2950000</v>
      </c>
      <c r="BZ43" s="9">
        <f t="shared" ref="BZ43" si="1005">+BZ42+BY43</f>
        <v>2950000</v>
      </c>
      <c r="CA43" s="9">
        <f t="shared" ref="CA43" si="1006">+CA42+BZ43</f>
        <v>2950000</v>
      </c>
      <c r="CB43" s="9">
        <f t="shared" ref="CB43" si="1007">+CB42+CA43</f>
        <v>2950000</v>
      </c>
      <c r="CC43" s="9">
        <f t="shared" ref="CC43" si="1008">+CC42+CB43</f>
        <v>2950000</v>
      </c>
      <c r="CD43" s="9">
        <f t="shared" ref="CD43" si="1009">+CD42+CC43</f>
        <v>2950000</v>
      </c>
      <c r="CE43" s="9">
        <f t="shared" ref="CE43" si="1010">+CE42+CD43</f>
        <v>2950000</v>
      </c>
      <c r="CF43" s="9">
        <f t="shared" ref="CF43" si="1011">+CF42+CE43</f>
        <v>2950000</v>
      </c>
      <c r="CG43" s="9">
        <f t="shared" ref="CG43" si="1012">+CG42+CF43</f>
        <v>2950000</v>
      </c>
      <c r="CH43" s="9">
        <f t="shared" ref="CH43" si="1013">+CH42+CG43</f>
        <v>2950000</v>
      </c>
      <c r="CI43" s="9">
        <f t="shared" ref="CI43" si="1014">+CI42+CH43</f>
        <v>2950000</v>
      </c>
      <c r="CJ43" s="9">
        <f t="shared" ref="CJ43" si="1015">+CJ42+CI43</f>
        <v>2950000</v>
      </c>
      <c r="CK43" s="9">
        <f t="shared" ref="CK43" si="1016">+CK42+CJ43</f>
        <v>2950000</v>
      </c>
      <c r="CL43" s="9">
        <f t="shared" ref="CL43" si="1017">+CL42+CK43</f>
        <v>2950000</v>
      </c>
      <c r="CM43" s="9">
        <f t="shared" ref="CM43" si="1018">+CM42+CL43</f>
        <v>2950000</v>
      </c>
      <c r="CN43" s="9">
        <f t="shared" ref="CN43" si="1019">+CN42+CM43</f>
        <v>2950000</v>
      </c>
      <c r="CO43" s="9">
        <f t="shared" ref="CO43" si="1020">+CO42+CN43</f>
        <v>2950000</v>
      </c>
      <c r="CP43" s="9">
        <f t="shared" ref="CP43" si="1021">+CP42+CO43</f>
        <v>2950000</v>
      </c>
      <c r="CQ43" s="9">
        <f t="shared" ref="CQ43" si="1022">+CQ42+CP43</f>
        <v>2950000</v>
      </c>
      <c r="CR43" s="9">
        <f t="shared" ref="CR43" si="1023">+CR42+CQ43</f>
        <v>2950000</v>
      </c>
      <c r="CS43" s="9">
        <f t="shared" ref="CS43" si="1024">+CS42+CR43</f>
        <v>2950000</v>
      </c>
      <c r="CT43" s="9">
        <f t="shared" ref="CT43" si="1025">+CT42+CS43</f>
        <v>2950000</v>
      </c>
      <c r="CU43" s="9">
        <f t="shared" ref="CU43" si="1026">+CU42+CT43</f>
        <v>2950000</v>
      </c>
      <c r="CV43" s="9">
        <f t="shared" ref="CV43" si="1027">+CV42+CU43</f>
        <v>2950000</v>
      </c>
      <c r="CW43" s="9">
        <f t="shared" ref="CW43" si="1028">+CW42+CV43</f>
        <v>2950000</v>
      </c>
      <c r="CX43" s="9">
        <f t="shared" ref="CX43" si="1029">+CX42+CW43</f>
        <v>2950000</v>
      </c>
      <c r="CY43" s="9">
        <f t="shared" ref="CY43" si="1030">+CY42+CX43</f>
        <v>2950000</v>
      </c>
      <c r="CZ43" s="9">
        <f t="shared" ref="CZ43" si="1031">+CZ42+CY43</f>
        <v>2950000</v>
      </c>
      <c r="DA43" s="9">
        <f t="shared" ref="DA43" si="1032">+DA42+CZ43</f>
        <v>2950000</v>
      </c>
      <c r="DB43" s="9">
        <f t="shared" ref="DB43" si="1033">+DB42+DA43</f>
        <v>2950000</v>
      </c>
      <c r="DC43" s="9">
        <f t="shared" ref="DC43" si="1034">+DC42+DB43</f>
        <v>2950000</v>
      </c>
      <c r="DD43" s="9">
        <f t="shared" ref="DD43" si="1035">+DD42+DC43</f>
        <v>2950000</v>
      </c>
      <c r="DE43" s="9">
        <f t="shared" ref="DE43" si="1036">+DE42+DD43</f>
        <v>2950000</v>
      </c>
      <c r="DF43" s="9">
        <f t="shared" ref="DF43" si="1037">+DF42+DE43</f>
        <v>2950000</v>
      </c>
      <c r="DG43" s="9">
        <f t="shared" ref="DG43:DH43" si="1038">+DG42+DF43</f>
        <v>2950000</v>
      </c>
      <c r="DH43" s="9">
        <f t="shared" si="1038"/>
        <v>2950000</v>
      </c>
    </row>
    <row r="44" spans="2:112" x14ac:dyDescent="0.25"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</row>
    <row r="45" spans="2:112" x14ac:dyDescent="0.25">
      <c r="F45" s="472">
        <f t="shared" ref="F45:AK45" si="1039">+IF(F$3&lt;$C$49,0,IF(AND(F$3&gt;=$C$49,E45&lt;12, $C$50&gt;=F$3),E45+1,0))</f>
        <v>0</v>
      </c>
      <c r="G45" s="472">
        <f t="shared" si="1039"/>
        <v>0</v>
      </c>
      <c r="H45" s="472">
        <f t="shared" si="1039"/>
        <v>0</v>
      </c>
      <c r="I45" s="472">
        <f t="shared" si="1039"/>
        <v>0</v>
      </c>
      <c r="J45" s="472">
        <f t="shared" si="1039"/>
        <v>0</v>
      </c>
      <c r="K45" s="472">
        <f t="shared" si="1039"/>
        <v>0</v>
      </c>
      <c r="L45" s="472">
        <f t="shared" si="1039"/>
        <v>0</v>
      </c>
      <c r="M45" s="472">
        <f t="shared" si="1039"/>
        <v>0</v>
      </c>
      <c r="N45" s="472">
        <f t="shared" si="1039"/>
        <v>0</v>
      </c>
      <c r="O45" s="472">
        <f t="shared" si="1039"/>
        <v>0</v>
      </c>
      <c r="P45" s="472">
        <f t="shared" si="1039"/>
        <v>0</v>
      </c>
      <c r="Q45" s="472">
        <f t="shared" si="1039"/>
        <v>0</v>
      </c>
      <c r="R45" s="82">
        <f t="shared" si="1039"/>
        <v>0</v>
      </c>
      <c r="S45" s="472">
        <f t="shared" si="1039"/>
        <v>0</v>
      </c>
      <c r="T45" s="472">
        <f t="shared" si="1039"/>
        <v>0</v>
      </c>
      <c r="U45" s="472">
        <f t="shared" si="1039"/>
        <v>0</v>
      </c>
      <c r="V45" s="82">
        <f t="shared" si="1039"/>
        <v>0</v>
      </c>
      <c r="W45" s="82">
        <f t="shared" si="1039"/>
        <v>0</v>
      </c>
      <c r="X45" s="82">
        <f t="shared" si="1039"/>
        <v>0</v>
      </c>
      <c r="Y45" s="82">
        <f t="shared" si="1039"/>
        <v>0</v>
      </c>
      <c r="Z45" s="82">
        <f t="shared" si="1039"/>
        <v>0</v>
      </c>
      <c r="AA45" s="82">
        <f t="shared" si="1039"/>
        <v>0</v>
      </c>
      <c r="AB45" s="82">
        <f t="shared" si="1039"/>
        <v>0</v>
      </c>
      <c r="AC45" s="82">
        <f t="shared" si="1039"/>
        <v>0</v>
      </c>
      <c r="AD45" s="82">
        <f t="shared" si="1039"/>
        <v>0</v>
      </c>
      <c r="AE45" s="82">
        <f t="shared" si="1039"/>
        <v>0</v>
      </c>
      <c r="AF45" s="472">
        <f t="shared" si="1039"/>
        <v>0</v>
      </c>
      <c r="AG45" s="82">
        <f t="shared" si="1039"/>
        <v>0</v>
      </c>
      <c r="AH45" s="472">
        <f t="shared" si="1039"/>
        <v>0</v>
      </c>
      <c r="AI45" s="472">
        <f t="shared" si="1039"/>
        <v>0</v>
      </c>
      <c r="AJ45" s="472">
        <f t="shared" si="1039"/>
        <v>0</v>
      </c>
      <c r="AK45" s="472">
        <f t="shared" si="1039"/>
        <v>0</v>
      </c>
      <c r="AL45" s="472">
        <f t="shared" ref="AL45:BQ45" si="1040">+IF(AL$3&lt;$C$49,0,IF(AND(AL$3&gt;=$C$49,AK45&lt;12, $C$50&gt;=AL$3),AK45+1,0))</f>
        <v>0</v>
      </c>
      <c r="AM45" s="472">
        <f t="shared" si="1040"/>
        <v>0</v>
      </c>
      <c r="AN45" s="472">
        <f t="shared" si="1040"/>
        <v>0</v>
      </c>
      <c r="AO45" s="472">
        <f t="shared" si="1040"/>
        <v>0</v>
      </c>
      <c r="AP45" s="472">
        <f t="shared" si="1040"/>
        <v>0</v>
      </c>
      <c r="AQ45" s="472">
        <f t="shared" si="1040"/>
        <v>0</v>
      </c>
      <c r="AR45" s="472">
        <f t="shared" si="1040"/>
        <v>0</v>
      </c>
      <c r="AS45" s="472">
        <f t="shared" si="1040"/>
        <v>0</v>
      </c>
      <c r="AT45" s="472">
        <f t="shared" si="1040"/>
        <v>0</v>
      </c>
      <c r="AU45" s="472">
        <f t="shared" si="1040"/>
        <v>0</v>
      </c>
      <c r="AV45" s="472">
        <f t="shared" si="1040"/>
        <v>0</v>
      </c>
      <c r="AW45" s="472">
        <f t="shared" si="1040"/>
        <v>0</v>
      </c>
      <c r="AX45" s="472">
        <f t="shared" si="1040"/>
        <v>0</v>
      </c>
      <c r="AY45" s="472">
        <f t="shared" si="1040"/>
        <v>0</v>
      </c>
      <c r="AZ45" s="472">
        <f t="shared" si="1040"/>
        <v>0</v>
      </c>
      <c r="BA45" s="472">
        <f t="shared" si="1040"/>
        <v>0</v>
      </c>
      <c r="BB45" s="472">
        <f t="shared" si="1040"/>
        <v>0</v>
      </c>
      <c r="BC45" s="472">
        <f t="shared" si="1040"/>
        <v>0</v>
      </c>
      <c r="BD45" s="472">
        <f t="shared" si="1040"/>
        <v>0</v>
      </c>
      <c r="BE45" s="472">
        <f t="shared" si="1040"/>
        <v>0</v>
      </c>
      <c r="BF45" s="472">
        <f t="shared" si="1040"/>
        <v>0</v>
      </c>
      <c r="BG45" s="472">
        <f t="shared" si="1040"/>
        <v>0</v>
      </c>
      <c r="BH45" s="472">
        <f t="shared" si="1040"/>
        <v>0</v>
      </c>
      <c r="BI45" s="472">
        <f t="shared" si="1040"/>
        <v>0</v>
      </c>
      <c r="BJ45" s="472">
        <f t="shared" si="1040"/>
        <v>0</v>
      </c>
      <c r="BK45" s="472">
        <f t="shared" si="1040"/>
        <v>0</v>
      </c>
      <c r="BL45" s="472">
        <f t="shared" si="1040"/>
        <v>0</v>
      </c>
      <c r="BM45" s="472">
        <f t="shared" si="1040"/>
        <v>0</v>
      </c>
      <c r="BN45" s="472">
        <f t="shared" si="1040"/>
        <v>0</v>
      </c>
      <c r="BO45" s="472">
        <f t="shared" si="1040"/>
        <v>0</v>
      </c>
      <c r="BP45" s="472">
        <f t="shared" si="1040"/>
        <v>0</v>
      </c>
      <c r="BQ45" s="472">
        <f t="shared" si="1040"/>
        <v>0</v>
      </c>
      <c r="BR45" s="472">
        <f t="shared" ref="BR45:CV45" si="1041">+IF(BR$3&lt;$C$49,0,IF(AND(BR$3&gt;=$C$49,BQ45&lt;12, $C$50&gt;=BR$3),BQ45+1,0))</f>
        <v>0</v>
      </c>
      <c r="BS45" s="472">
        <f t="shared" si="1041"/>
        <v>0</v>
      </c>
      <c r="BT45" s="472">
        <f t="shared" si="1041"/>
        <v>0</v>
      </c>
      <c r="BU45" s="472">
        <f t="shared" si="1041"/>
        <v>0</v>
      </c>
      <c r="BV45" s="472">
        <f t="shared" si="1041"/>
        <v>0</v>
      </c>
      <c r="BW45" s="472">
        <f t="shared" si="1041"/>
        <v>1</v>
      </c>
      <c r="BX45" s="472">
        <f t="shared" si="1041"/>
        <v>2</v>
      </c>
      <c r="BY45" s="472">
        <f t="shared" si="1041"/>
        <v>3</v>
      </c>
      <c r="BZ45" s="472">
        <f t="shared" si="1041"/>
        <v>4</v>
      </c>
      <c r="CA45" s="472">
        <f t="shared" si="1041"/>
        <v>5</v>
      </c>
      <c r="CB45" s="472">
        <f t="shared" si="1041"/>
        <v>6</v>
      </c>
      <c r="CC45" s="472">
        <f t="shared" si="1041"/>
        <v>7</v>
      </c>
      <c r="CD45" s="472">
        <f t="shared" si="1041"/>
        <v>8</v>
      </c>
      <c r="CE45" s="472">
        <f t="shared" si="1041"/>
        <v>9</v>
      </c>
      <c r="CF45" s="472">
        <f t="shared" si="1041"/>
        <v>10</v>
      </c>
      <c r="CG45" s="472">
        <f t="shared" si="1041"/>
        <v>11</v>
      </c>
      <c r="CH45" s="472">
        <f t="shared" si="1041"/>
        <v>12</v>
      </c>
      <c r="CI45" s="472">
        <f t="shared" si="1041"/>
        <v>0</v>
      </c>
      <c r="CJ45" s="472">
        <f t="shared" si="1041"/>
        <v>0</v>
      </c>
      <c r="CK45" s="472">
        <f t="shared" si="1041"/>
        <v>0</v>
      </c>
      <c r="CL45" s="472">
        <f t="shared" si="1041"/>
        <v>0</v>
      </c>
      <c r="CM45" s="472">
        <f t="shared" si="1041"/>
        <v>0</v>
      </c>
      <c r="CN45" s="472">
        <f t="shared" si="1041"/>
        <v>0</v>
      </c>
      <c r="CO45" s="472">
        <f t="shared" si="1041"/>
        <v>0</v>
      </c>
      <c r="CP45" s="472">
        <f t="shared" si="1041"/>
        <v>0</v>
      </c>
      <c r="CQ45" s="472">
        <f t="shared" si="1041"/>
        <v>0</v>
      </c>
      <c r="CR45" s="472">
        <f t="shared" si="1041"/>
        <v>0</v>
      </c>
      <c r="CS45" s="472">
        <f t="shared" si="1041"/>
        <v>0</v>
      </c>
      <c r="CT45" s="472">
        <f t="shared" si="1041"/>
        <v>0</v>
      </c>
      <c r="CU45" s="472">
        <f t="shared" si="1041"/>
        <v>0</v>
      </c>
      <c r="CV45" s="472">
        <f t="shared" si="1041"/>
        <v>0</v>
      </c>
      <c r="CW45" s="472">
        <f t="shared" ref="CW45:DG45" si="1042">+IF(CW$3&lt;$C$49,0,IF(AND(CW$3&gt;=$C$49,CV45&lt;12, $C$50&gt;=CW$3),CV45+1,0))</f>
        <v>0</v>
      </c>
      <c r="CX45" s="472">
        <f t="shared" si="1042"/>
        <v>0</v>
      </c>
      <c r="CY45" s="472">
        <f t="shared" si="1042"/>
        <v>0</v>
      </c>
      <c r="CZ45" s="472">
        <f t="shared" si="1042"/>
        <v>0</v>
      </c>
      <c r="DA45" s="472">
        <f t="shared" si="1042"/>
        <v>0</v>
      </c>
      <c r="DB45" s="472">
        <f t="shared" si="1042"/>
        <v>0</v>
      </c>
      <c r="DC45" s="472">
        <f t="shared" si="1042"/>
        <v>0</v>
      </c>
      <c r="DD45" s="472">
        <f t="shared" si="1042"/>
        <v>0</v>
      </c>
      <c r="DE45" s="472">
        <f t="shared" si="1042"/>
        <v>0</v>
      </c>
      <c r="DF45" s="472">
        <f t="shared" si="1042"/>
        <v>0</v>
      </c>
      <c r="DG45" s="472">
        <f t="shared" si="1042"/>
        <v>0</v>
      </c>
      <c r="DH45" s="472">
        <f t="shared" ref="DH45" si="1043">+IF(DH$3&lt;$C$49,0,IF(AND(DH$3&gt;=$C$49,DG45&lt;12, $C$50&gt;=DH$3),DG45+1,0))</f>
        <v>0</v>
      </c>
    </row>
    <row r="46" spans="2:112" x14ac:dyDescent="0.25">
      <c r="B46" t="s">
        <v>369</v>
      </c>
      <c r="D46" t="s">
        <v>232</v>
      </c>
      <c r="E46" s="422"/>
      <c r="F46" s="422">
        <f>+IFERROR(INDEX(Assumptions!$F$5:$F$16, MATCH(F45, Assumptions!$D$5:$D$16, 0))*$C$47, 0)</f>
        <v>0</v>
      </c>
      <c r="G46" s="422">
        <f>+IFERROR(INDEX(Assumptions!$F$5:$F$16, MATCH(G45, Assumptions!$D$5:$D$16, 0))*$C$47, 0)</f>
        <v>0</v>
      </c>
      <c r="H46" s="422">
        <f>+IFERROR(INDEX(Assumptions!$F$5:$F$16, MATCH(H45, Assumptions!$D$5:$D$16, 0))*$C$47, 0)</f>
        <v>0</v>
      </c>
      <c r="I46" s="422">
        <f>+IFERROR(INDEX(Assumptions!$F$5:$F$16, MATCH(I45, Assumptions!$D$5:$D$16, 0))*$C$47, 0)</f>
        <v>0</v>
      </c>
      <c r="J46" s="422">
        <f>+IFERROR(INDEX(Assumptions!$F$5:$F$16, MATCH(J45, Assumptions!$D$5:$D$16, 0))*$C$47, 0)</f>
        <v>0</v>
      </c>
      <c r="K46" s="422">
        <f>+IFERROR(INDEX(Assumptions!$F$5:$F$16, MATCH(K45, Assumptions!$D$5:$D$16, 0))*$C$47, 0)</f>
        <v>0</v>
      </c>
      <c r="L46" s="422">
        <f>+IFERROR(INDEX(Assumptions!$F$5:$F$16, MATCH(L45, Assumptions!$D$5:$D$16, 0))*$C$47, 0)</f>
        <v>0</v>
      </c>
      <c r="M46" s="422">
        <f>+IFERROR(INDEX(Assumptions!$F$5:$F$16, MATCH(M45, Assumptions!$D$5:$D$16, 0))*$C$47, 0)</f>
        <v>0</v>
      </c>
      <c r="N46" s="422">
        <f>+IFERROR(INDEX(Assumptions!$F$5:$F$16, MATCH(N45, Assumptions!$D$5:$D$16, 0))*$C$47, 0)</f>
        <v>0</v>
      </c>
      <c r="O46" s="422">
        <f>+IFERROR(INDEX(Assumptions!$F$5:$F$16, MATCH(O45, Assumptions!$D$5:$D$16, 0))*$C$47, 0)</f>
        <v>0</v>
      </c>
      <c r="P46" s="422">
        <f>+IFERROR(INDEX(Assumptions!$F$5:$F$16, MATCH(P45, Assumptions!$D$5:$D$16, 0))*$C$47, 0)</f>
        <v>0</v>
      </c>
      <c r="Q46" s="470">
        <f>+IFERROR(INDEX(Assumptions!$F$5:$F$16, MATCH(Q45, Assumptions!$D$5:$D$16, 0))*$C$47, 0)</f>
        <v>0</v>
      </c>
      <c r="R46" s="494">
        <f>+IFERROR(INDEX(Assumptions!$F$5:$F$16, MATCH(R45, Assumptions!$D$5:$D$16, 0))*$C$47, 0)</f>
        <v>0</v>
      </c>
      <c r="S46" s="422">
        <f>+IFERROR(INDEX(Assumptions!$F$5:$F$16, MATCH(S45, Assumptions!$D$5:$D$16, 0))*$C$47, 0)</f>
        <v>0</v>
      </c>
      <c r="T46" s="422">
        <f>+IFERROR(INDEX(Assumptions!$F$5:$F$16, MATCH(T45, Assumptions!$D$5:$D$16, 0))*$C$47, 0)</f>
        <v>0</v>
      </c>
      <c r="U46" s="422">
        <f>+IFERROR(INDEX(Assumptions!$F$5:$F$16, MATCH(U45, Assumptions!$D$5:$D$16, 0))*$C$47, 0)</f>
        <v>0</v>
      </c>
      <c r="V46" s="494">
        <f>+IFERROR(INDEX(Assumptions!$F$5:$F$16, MATCH(V45, Assumptions!$D$5:$D$16, 0))*$C$47, 0)</f>
        <v>0</v>
      </c>
      <c r="W46" s="146">
        <f>+IFERROR(INDEX(Assumptions!$F$5:$F$16, MATCH(W45, Assumptions!$D$5:$D$16, 0))*$C$47, 0)</f>
        <v>0</v>
      </c>
      <c r="X46" s="146">
        <f>+IFERROR(INDEX(Assumptions!$F$5:$F$16, MATCH(X45, Assumptions!$D$5:$D$16, 0))*$C$47, 0)</f>
        <v>0</v>
      </c>
      <c r="Y46" s="146">
        <f>+IFERROR(INDEX(Assumptions!$F$5:$F$16, MATCH(Y45, Assumptions!$D$5:$D$16, 0))*$C$47, 0)</f>
        <v>0</v>
      </c>
      <c r="Z46" s="146">
        <f>+IFERROR(INDEX(Assumptions!$F$5:$F$16, MATCH(Z45, Assumptions!$D$5:$D$16, 0))*$C$47, 0)</f>
        <v>0</v>
      </c>
      <c r="AA46" s="146">
        <f>+IFERROR(INDEX(Assumptions!$F$5:$F$16, MATCH(AA45, Assumptions!$D$5:$D$16, 0))*$C$47, 0)</f>
        <v>0</v>
      </c>
      <c r="AB46" s="146">
        <f>+IFERROR(INDEX(Assumptions!$F$5:$F$16, MATCH(AB45, Assumptions!$D$5:$D$16, 0))*$C$47, 0)</f>
        <v>0</v>
      </c>
      <c r="AC46" s="146">
        <f>+IFERROR(INDEX(Assumptions!$F$5:$F$16, MATCH(AC45, Assumptions!$D$5:$D$16, 0))*$C$47, 0)</f>
        <v>0</v>
      </c>
      <c r="AD46" s="146">
        <f>+IFERROR(INDEX(Assumptions!$F$5:$F$16, MATCH(AD45, Assumptions!$D$5:$D$16, 0))*$C$47, 0)</f>
        <v>0</v>
      </c>
      <c r="AE46" s="146">
        <f>+IFERROR(INDEX(Assumptions!$F$5:$F$16, MATCH(AE45, Assumptions!$D$5:$D$16, 0))*$C$47, 0)</f>
        <v>0</v>
      </c>
      <c r="AF46" s="245">
        <f>+IFERROR(INDEX(Assumptions!$F$5:$F$16, MATCH(AF45, Assumptions!$D$5:$D$16, 0))*$C$47, 0)</f>
        <v>0</v>
      </c>
      <c r="AG46" s="146">
        <f>+IFERROR(INDEX(Assumptions!$F$5:$F$16, MATCH(AG45, Assumptions!$D$5:$D$16, 0))*$C$47, 0)</f>
        <v>0</v>
      </c>
      <c r="AH46" s="245">
        <f>+IFERROR(INDEX(Assumptions!$F$5:$F$16, MATCH(AH45, Assumptions!$D$5:$D$16, 0))*$C$47, 0)</f>
        <v>0</v>
      </c>
      <c r="AI46" s="245">
        <f>+IFERROR(INDEX(Assumptions!$F$5:$F$16, MATCH(AI45, Assumptions!$D$5:$D$16, 0))*$C$47, 0)</f>
        <v>0</v>
      </c>
      <c r="AJ46" s="245">
        <f>+IFERROR(INDEX(Assumptions!$F$5:$F$16, MATCH(AJ45, Assumptions!$D$5:$D$16, 0))*$C$47, 0)</f>
        <v>0</v>
      </c>
      <c r="AK46" s="245">
        <f>+IFERROR(INDEX(Assumptions!$F$5:$F$16, MATCH(AK45, Assumptions!$D$5:$D$16, 0))*$C$47, 0)</f>
        <v>0</v>
      </c>
      <c r="AL46" s="245">
        <f>+IFERROR(INDEX(Assumptions!$F$5:$F$16, MATCH(AL45, Assumptions!$D$5:$D$16, 0))*$C$47, 0)</f>
        <v>0</v>
      </c>
      <c r="AM46" s="245">
        <f>+IFERROR(INDEX(Assumptions!$F$5:$F$16, MATCH(AM45, Assumptions!$D$5:$D$16, 0))*$C$47, 0)</f>
        <v>0</v>
      </c>
      <c r="AN46" s="245">
        <f>+IFERROR(INDEX(Assumptions!$F$5:$F$16, MATCH(AN45, Assumptions!$D$5:$D$16, 0))*$C$47, 0)</f>
        <v>0</v>
      </c>
      <c r="AO46" s="245">
        <f>+IFERROR(INDEX(Assumptions!$F$5:$F$16, MATCH(AO45, Assumptions!$D$5:$D$16, 0))*$C$47, 0)</f>
        <v>0</v>
      </c>
      <c r="AP46" s="245">
        <f>+IFERROR(INDEX(Assumptions!$F$5:$F$16, MATCH(AP45, Assumptions!$D$5:$D$16, 0))*$C$47, 0)</f>
        <v>0</v>
      </c>
      <c r="AQ46" s="245">
        <f>+IFERROR(INDEX(Assumptions!$F$5:$F$16, MATCH(AQ45, Assumptions!$D$5:$D$16, 0))*$C$47, 0)</f>
        <v>0</v>
      </c>
      <c r="AR46" s="245">
        <f>+IFERROR(INDEX(Assumptions!$F$5:$F$16, MATCH(AR45, Assumptions!$D$5:$D$16, 0))*$C$47, 0)</f>
        <v>0</v>
      </c>
      <c r="AS46" s="245">
        <f>+IFERROR(INDEX(Assumptions!$F$5:$F$16, MATCH(AS45, Assumptions!$D$5:$D$16, 0))*$C$47, 0)</f>
        <v>0</v>
      </c>
      <c r="AT46" s="245">
        <f>+IFERROR(INDEX(Assumptions!$F$5:$F$16, MATCH(AT45, Assumptions!$D$5:$D$16, 0))*$C$47, 0)</f>
        <v>0</v>
      </c>
      <c r="AU46" s="245">
        <f>+IFERROR(INDEX(Assumptions!$F$5:$F$16, MATCH(AU45, Assumptions!$D$5:$D$16, 0))*$C$47, 0)</f>
        <v>0</v>
      </c>
      <c r="AV46" s="245">
        <f>+IFERROR(INDEX(Assumptions!$F$5:$F$16, MATCH(AV45, Assumptions!$D$5:$D$16, 0))*$C$47, 0)</f>
        <v>0</v>
      </c>
      <c r="AW46" s="245">
        <f>+IFERROR(INDEX(Assumptions!$F$5:$F$16, MATCH(AW45, Assumptions!$D$5:$D$16, 0))*$C$47, 0)</f>
        <v>0</v>
      </c>
      <c r="AX46" s="245">
        <f>+IFERROR(INDEX(Assumptions!$F$5:$F$16, MATCH(AX45, Assumptions!$D$5:$D$16, 0))*$C$47, 0)</f>
        <v>0</v>
      </c>
      <c r="AY46" s="245">
        <f>+IFERROR(INDEX(Assumptions!$F$5:$F$16, MATCH(AY45, Assumptions!$D$5:$D$16, 0))*$C$47, 0)</f>
        <v>0</v>
      </c>
      <c r="AZ46" s="245">
        <f>+IFERROR(INDEX(Assumptions!$F$5:$F$16, MATCH(AZ45, Assumptions!$D$5:$D$16, 0))*$C$47, 0)</f>
        <v>0</v>
      </c>
      <c r="BA46" s="245">
        <f>+IFERROR(INDEX(Assumptions!$F$5:$F$16, MATCH(BA45, Assumptions!$D$5:$D$16, 0))*$C$47, 0)</f>
        <v>0</v>
      </c>
      <c r="BB46" s="245">
        <f>+IFERROR(INDEX(Assumptions!$F$5:$F$16, MATCH(BB45, Assumptions!$D$5:$D$16, 0))*$C$47, 0)</f>
        <v>0</v>
      </c>
      <c r="BC46" s="245">
        <f>+IFERROR(INDEX(Assumptions!$F$5:$F$16, MATCH(BC45, Assumptions!$D$5:$D$16, 0))*$C$47, 0)</f>
        <v>0</v>
      </c>
      <c r="BD46" s="245">
        <f>+IFERROR(INDEX(Assumptions!$F$5:$F$16, MATCH(BD45, Assumptions!$D$5:$D$16, 0))*$C$47, 0)</f>
        <v>0</v>
      </c>
      <c r="BE46" s="245">
        <f>+IFERROR(INDEX(Assumptions!$F$5:$F$16, MATCH(BE45, Assumptions!$D$5:$D$16, 0))*$C$47, 0)</f>
        <v>0</v>
      </c>
      <c r="BF46" s="245">
        <f>+IFERROR(INDEX(Assumptions!$F$5:$F$16, MATCH(BF45, Assumptions!$D$5:$D$16, 0))*$C$47, 0)</f>
        <v>0</v>
      </c>
      <c r="BG46" s="245">
        <f>+IFERROR(INDEX(Assumptions!$F$5:$F$16, MATCH(BG45, Assumptions!$D$5:$D$16, 0))*$C$47, 0)</f>
        <v>0</v>
      </c>
      <c r="BH46" s="245">
        <f>+IFERROR(INDEX(Assumptions!$F$5:$F$16, MATCH(BH45, Assumptions!$D$5:$D$16, 0))*$C$47, 0)</f>
        <v>0</v>
      </c>
      <c r="BI46" s="245">
        <f>+IFERROR(INDEX(Assumptions!$F$5:$F$16, MATCH(BI45, Assumptions!$D$5:$D$16, 0))*$C$47, 0)</f>
        <v>0</v>
      </c>
      <c r="BJ46" s="245">
        <f>+IFERROR(INDEX(Assumptions!$F$5:$F$16, MATCH(BJ45, Assumptions!$D$5:$D$16, 0))*$C$47, 0)</f>
        <v>0</v>
      </c>
      <c r="BK46" s="245">
        <f>+IFERROR(INDEX(Assumptions!$F$5:$F$16, MATCH(BK45, Assumptions!$D$5:$D$16, 0))*$C$47, 0)</f>
        <v>0</v>
      </c>
      <c r="BL46" s="245">
        <f>+IFERROR(INDEX(Assumptions!$F$5:$F$16, MATCH(BL45, Assumptions!$D$5:$D$16, 0))*$C$47, 0)</f>
        <v>0</v>
      </c>
      <c r="BM46" s="245">
        <f>+IFERROR(INDEX(Assumptions!$F$5:$F$16, MATCH(BM45, Assumptions!$D$5:$D$16, 0))*$C$47, 0)</f>
        <v>0</v>
      </c>
      <c r="BN46" s="245">
        <f>+IFERROR(INDEX(Assumptions!$F$5:$F$16, MATCH(BN45, Assumptions!$D$5:$D$16, 0))*$C$47, 0)</f>
        <v>0</v>
      </c>
      <c r="BO46" s="245">
        <f>+IFERROR(INDEX(Assumptions!$F$5:$F$16, MATCH(BO45, Assumptions!$D$5:$D$16, 0))*$C$47, 0)</f>
        <v>0</v>
      </c>
      <c r="BP46" s="245">
        <f>+IFERROR(INDEX(Assumptions!$F$5:$F$16, MATCH(BP45, Assumptions!$D$5:$D$16, 0))*$C$47, 0)</f>
        <v>0</v>
      </c>
      <c r="BQ46" s="245">
        <f>+IFERROR(INDEX(Assumptions!$F$5:$F$16, MATCH(BQ45, Assumptions!$D$5:$D$16, 0))*$C$47, 0)</f>
        <v>0</v>
      </c>
      <c r="BR46" s="245">
        <f>+IFERROR(INDEX(Assumptions!$F$5:$F$16, MATCH(BR45, Assumptions!$D$5:$D$16, 0))*$C$47, 0)</f>
        <v>0</v>
      </c>
      <c r="BS46" s="245">
        <f>+IFERROR(INDEX(Assumptions!$F$5:$F$16, MATCH(BS45, Assumptions!$D$5:$D$16, 0))*$C$47, 0)</f>
        <v>0</v>
      </c>
      <c r="BT46" s="245">
        <f>+IFERROR(INDEX(Assumptions!$F$5:$F$16, MATCH(BT45, Assumptions!$D$5:$D$16, 0))*$C$47, 0)</f>
        <v>0</v>
      </c>
      <c r="BU46" s="245">
        <f>+IFERROR(INDEX(Assumptions!$F$5:$F$16, MATCH(BU45, Assumptions!$D$5:$D$16, 0))*$C$47, 0)</f>
        <v>0</v>
      </c>
      <c r="BV46" s="245">
        <f>+IFERROR(INDEX(Assumptions!$F$5:$F$16, MATCH(BV45, Assumptions!$D$5:$D$16, 0))*$C$47, 0)</f>
        <v>0</v>
      </c>
      <c r="BW46" s="245">
        <f>+IFERROR(INDEX(Assumptions!$F$5:$F$16, MATCH(BW45, Assumptions!$D$5:$D$16, 0))*$C$47, 0)</f>
        <v>0</v>
      </c>
      <c r="BX46" s="245">
        <f>+IFERROR(INDEX(Assumptions!$F$5:$F$16, MATCH(BX45, Assumptions!$D$5:$D$16, 0))*$C$47, 0)</f>
        <v>20491.708779210512</v>
      </c>
      <c r="BY46" s="245">
        <f>+IFERROR(INDEX(Assumptions!$F$5:$F$16, MATCH(BY45, Assumptions!$D$5:$D$16, 0))*$C$47, 0)</f>
        <v>2930.8329801931454</v>
      </c>
      <c r="BZ46" s="245">
        <f>+IFERROR(INDEX(Assumptions!$F$5:$F$16, MATCH(BZ45, Assumptions!$D$5:$D$16, 0))*$C$47, 0)</f>
        <v>121461.98051233741</v>
      </c>
      <c r="CA46" s="245">
        <f>+IFERROR(INDEX(Assumptions!$F$5:$F$16, MATCH(CA45, Assumptions!$D$5:$D$16, 0))*$C$47, 0)</f>
        <v>10964.209995779343</v>
      </c>
      <c r="CB46" s="245">
        <f>+IFERROR(INDEX(Assumptions!$F$5:$F$16, MATCH(CB45, Assumptions!$D$5:$D$16, 0))*$C$47, 0)</f>
        <v>496008.62548899534</v>
      </c>
      <c r="CC46" s="245">
        <f>+IFERROR(INDEX(Assumptions!$F$5:$F$16, MATCH(CC45, Assumptions!$D$5:$D$16, 0))*$C$47, 0)</f>
        <v>889511.48810614634</v>
      </c>
      <c r="CD46" s="245">
        <f>+IFERROR(INDEX(Assumptions!$F$5:$F$16, MATCH(CD45, Assumptions!$D$5:$D$16, 0))*$C$47, 0)</f>
        <v>599368.24976344395</v>
      </c>
      <c r="CE46" s="245">
        <f>+IFERROR(INDEX(Assumptions!$F$5:$F$16, MATCH(CE45, Assumptions!$D$5:$D$16, 0))*$C$47, 0)</f>
        <v>395507.95038995828</v>
      </c>
      <c r="CF46" s="245">
        <f>+IFERROR(INDEX(Assumptions!$F$5:$F$16, MATCH(CF45, Assumptions!$D$5:$D$16, 0))*$C$47, 0)</f>
        <v>82803.509535920239</v>
      </c>
      <c r="CG46" s="245">
        <f>+IFERROR(INDEX(Assumptions!$F$5:$F$16, MATCH(CG45, Assumptions!$D$5:$D$16, 0))*$C$47, 0)</f>
        <v>634109.77704172325</v>
      </c>
      <c r="CH46" s="245">
        <f>+IFERROR(INDEX(Assumptions!$F$5:$F$16, MATCH(CH45, Assumptions!$D$5:$D$16, 0))*$C$47, 0)</f>
        <v>146841.66740629228</v>
      </c>
      <c r="CI46" s="245">
        <f>+IFERROR(INDEX(Assumptions!$F$5:$F$16, MATCH(CI45, Assumptions!$D$5:$D$16, 0))*$C$47, 0)</f>
        <v>0</v>
      </c>
      <c r="CJ46" s="245">
        <f>+IFERROR(INDEX(Assumptions!$F$5:$F$16, MATCH(CJ45, Assumptions!$D$5:$D$16, 0))*$C$47, 0)</f>
        <v>0</v>
      </c>
      <c r="CK46" s="245">
        <f>+IFERROR(INDEX(Assumptions!$F$5:$F$16, MATCH(CK45, Assumptions!$D$5:$D$16, 0))*$C$47, 0)</f>
        <v>0</v>
      </c>
      <c r="CL46" s="245">
        <f>+IFERROR(INDEX(Assumptions!$F$5:$F$16, MATCH(CL45, Assumptions!$D$5:$D$16, 0))*$C$47, 0)</f>
        <v>0</v>
      </c>
      <c r="CM46" s="245">
        <f>+IFERROR(INDEX(Assumptions!$F$5:$F$16, MATCH(CM45, Assumptions!$D$5:$D$16, 0))*$C$47, 0)</f>
        <v>0</v>
      </c>
      <c r="CN46" s="245">
        <f>+IFERROR(INDEX(Assumptions!$F$5:$F$16, MATCH(CN45, Assumptions!$D$5:$D$16, 0))*$C$47, 0)</f>
        <v>0</v>
      </c>
      <c r="CO46" s="245">
        <f>+IFERROR(INDEX(Assumptions!$F$5:$F$16, MATCH(CO45, Assumptions!$D$5:$D$16, 0))*$C$47, 0)</f>
        <v>0</v>
      </c>
      <c r="CP46" s="245">
        <f>+IFERROR(INDEX(Assumptions!$F$5:$F$16, MATCH(CP45, Assumptions!$D$5:$D$16, 0))*$C$47, 0)</f>
        <v>0</v>
      </c>
      <c r="CQ46" s="245">
        <f>+IFERROR(INDEX(Assumptions!$F$5:$F$16, MATCH(CQ45, Assumptions!$D$5:$D$16, 0))*$C$47, 0)</f>
        <v>0</v>
      </c>
      <c r="CR46" s="245">
        <f>+IFERROR(INDEX(Assumptions!$F$5:$F$16, MATCH(CR45, Assumptions!$D$5:$D$16, 0))*$C$47, 0)</f>
        <v>0</v>
      </c>
      <c r="CS46" s="245">
        <f>+IFERROR(INDEX(Assumptions!$F$5:$F$16, MATCH(CS45, Assumptions!$D$5:$D$16, 0))*$C$47, 0)</f>
        <v>0</v>
      </c>
      <c r="CT46" s="245">
        <f>+IFERROR(INDEX(Assumptions!$F$5:$F$16, MATCH(CT45, Assumptions!$D$5:$D$16, 0))*$C$47, 0)</f>
        <v>0</v>
      </c>
      <c r="CU46" s="245">
        <f>+IFERROR(INDEX(Assumptions!$F$5:$F$16, MATCH(CU45, Assumptions!$D$5:$D$16, 0))*$C$47, 0)</f>
        <v>0</v>
      </c>
      <c r="CV46" s="245">
        <f>+IFERROR(INDEX(Assumptions!$F$5:$F$16, MATCH(CV45, Assumptions!$D$5:$D$16, 0))*$C$47, 0)</f>
        <v>0</v>
      </c>
      <c r="CW46" s="245">
        <f>+IFERROR(INDEX(Assumptions!$F$5:$F$16, MATCH(CW45, Assumptions!$D$5:$D$16, 0))*$C$47, 0)</f>
        <v>0</v>
      </c>
      <c r="CX46" s="245">
        <f>+IFERROR(INDEX(Assumptions!$F$5:$F$16, MATCH(CX45, Assumptions!$D$5:$D$16, 0))*$C$47, 0)</f>
        <v>0</v>
      </c>
      <c r="CY46" s="245">
        <f>+IFERROR(INDEX(Assumptions!$F$5:$F$16, MATCH(CY45, Assumptions!$D$5:$D$16, 0))*$C$47, 0)</f>
        <v>0</v>
      </c>
      <c r="CZ46" s="245">
        <f>+IFERROR(INDEX(Assumptions!$F$5:$F$16, MATCH(CZ45, Assumptions!$D$5:$D$16, 0))*$C$47, 0)</f>
        <v>0</v>
      </c>
      <c r="DA46" s="245">
        <f>+IFERROR(INDEX(Assumptions!$F$5:$F$16, MATCH(DA45, Assumptions!$D$5:$D$16, 0))*$C$47, 0)</f>
        <v>0</v>
      </c>
      <c r="DB46" s="245">
        <f>+IFERROR(INDEX(Assumptions!$F$5:$F$16, MATCH(DB45, Assumptions!$D$5:$D$16, 0))*$C$47, 0)</f>
        <v>0</v>
      </c>
      <c r="DC46" s="245">
        <f>+IFERROR(INDEX(Assumptions!$F$5:$F$16, MATCH(DC45, Assumptions!$D$5:$D$16, 0))*$C$47, 0)</f>
        <v>0</v>
      </c>
      <c r="DD46" s="245">
        <f>+IFERROR(INDEX(Assumptions!$F$5:$F$16, MATCH(DD45, Assumptions!$D$5:$D$16, 0))*$C$47, 0)</f>
        <v>0</v>
      </c>
      <c r="DE46" s="245">
        <f>+IFERROR(INDEX(Assumptions!$F$5:$F$16, MATCH(DE45, Assumptions!$D$5:$D$16, 0))*$C$47, 0)</f>
        <v>0</v>
      </c>
      <c r="DF46" s="245">
        <f>+IFERROR(INDEX(Assumptions!$F$5:$F$16, MATCH(DF45, Assumptions!$D$5:$D$16, 0))*$C$47, 0)</f>
        <v>0</v>
      </c>
      <c r="DG46" s="245">
        <f>+IFERROR(INDEX(Assumptions!$F$5:$F$16, MATCH(DG45, Assumptions!$D$5:$D$16, 0))*$C$47, 0)</f>
        <v>0</v>
      </c>
      <c r="DH46" s="245">
        <f>+IFERROR(INDEX(Assumptions!$F$5:$F$16, MATCH(DH45, Assumptions!$D$5:$D$16, 0))*$C$47, 0)</f>
        <v>0</v>
      </c>
    </row>
    <row r="47" spans="2:112" x14ac:dyDescent="0.25">
      <c r="B47" t="s">
        <v>230</v>
      </c>
      <c r="C47" s="196">
        <v>3400000</v>
      </c>
      <c r="D47" t="s">
        <v>282</v>
      </c>
      <c r="E47" s="422"/>
      <c r="F47" s="422">
        <f t="shared" ref="F47" si="1044">+F46+E47</f>
        <v>0</v>
      </c>
      <c r="G47" s="422">
        <f t="shared" ref="G47" si="1045">+G46+F47</f>
        <v>0</v>
      </c>
      <c r="H47" s="422">
        <f t="shared" ref="H47" si="1046">+H46+G47</f>
        <v>0</v>
      </c>
      <c r="I47" s="422">
        <f t="shared" ref="I47" si="1047">+I46+H47</f>
        <v>0</v>
      </c>
      <c r="J47" s="422">
        <f t="shared" ref="J47" si="1048">+J46+I47</f>
        <v>0</v>
      </c>
      <c r="K47" s="422">
        <f t="shared" ref="K47" si="1049">+K46+J47</f>
        <v>0</v>
      </c>
      <c r="L47" s="422">
        <f t="shared" ref="L47" si="1050">+L46+K47</f>
        <v>0</v>
      </c>
      <c r="M47" s="422">
        <f t="shared" ref="M47" si="1051">+M46+L47</f>
        <v>0</v>
      </c>
      <c r="N47" s="422">
        <f t="shared" ref="N47" si="1052">+N46+M47</f>
        <v>0</v>
      </c>
      <c r="O47" s="422">
        <f t="shared" ref="O47" si="1053">+O46+N47</f>
        <v>0</v>
      </c>
      <c r="P47" s="422">
        <f t="shared" ref="P47" si="1054">+P46+O47</f>
        <v>0</v>
      </c>
      <c r="Q47" s="422">
        <f t="shared" ref="Q47" si="1055">+Q46+P47</f>
        <v>0</v>
      </c>
      <c r="R47" s="494">
        <f t="shared" ref="R47" si="1056">+R46+Q47</f>
        <v>0</v>
      </c>
      <c r="S47" s="422">
        <f t="shared" ref="S47" si="1057">+S46+R47</f>
        <v>0</v>
      </c>
      <c r="T47" s="422">
        <f t="shared" ref="T47" si="1058">+T46+S47</f>
        <v>0</v>
      </c>
      <c r="U47" s="422">
        <f t="shared" ref="U47" si="1059">+U46+T47</f>
        <v>0</v>
      </c>
      <c r="V47" s="494">
        <f t="shared" ref="V47" si="1060">+V46+U47</f>
        <v>0</v>
      </c>
      <c r="W47" s="146">
        <f t="shared" ref="W47" si="1061">+W46+V47</f>
        <v>0</v>
      </c>
      <c r="X47" s="146">
        <f t="shared" ref="X47" si="1062">+X46+W47</f>
        <v>0</v>
      </c>
      <c r="Y47" s="146">
        <f t="shared" ref="Y47" si="1063">+Y46+X47</f>
        <v>0</v>
      </c>
      <c r="Z47" s="146">
        <f t="shared" ref="Z47" si="1064">+Z46+Y47</f>
        <v>0</v>
      </c>
      <c r="AA47" s="146">
        <f t="shared" ref="AA47" si="1065">+AA46+Z47</f>
        <v>0</v>
      </c>
      <c r="AB47" s="146">
        <f t="shared" ref="AB47" si="1066">+AB46+AA47</f>
        <v>0</v>
      </c>
      <c r="AC47" s="146">
        <f t="shared" ref="AC47" si="1067">+AC46+AB47</f>
        <v>0</v>
      </c>
      <c r="AD47" s="146">
        <f t="shared" ref="AD47" si="1068">+AD46+AC47</f>
        <v>0</v>
      </c>
      <c r="AE47" s="146">
        <f t="shared" ref="AE47" si="1069">+AE46+AD47</f>
        <v>0</v>
      </c>
      <c r="AF47" s="245">
        <f t="shared" ref="AF47" si="1070">+AF46+AE47</f>
        <v>0</v>
      </c>
      <c r="AG47" s="146">
        <f t="shared" ref="AG47" si="1071">+AG46+AF47</f>
        <v>0</v>
      </c>
      <c r="AH47" s="245">
        <f t="shared" ref="AH47" si="1072">+AH46+AG47</f>
        <v>0</v>
      </c>
      <c r="AI47" s="245">
        <f t="shared" ref="AI47" si="1073">+AI46+AH47</f>
        <v>0</v>
      </c>
      <c r="AJ47" s="245">
        <f t="shared" ref="AJ47" si="1074">+AJ46+AI47</f>
        <v>0</v>
      </c>
      <c r="AK47" s="245">
        <f t="shared" ref="AK47" si="1075">+AK46+AJ47</f>
        <v>0</v>
      </c>
      <c r="AL47" s="245">
        <f t="shared" ref="AL47" si="1076">+AL46+AK47</f>
        <v>0</v>
      </c>
      <c r="AM47" s="245">
        <f t="shared" ref="AM47" si="1077">+AM46+AL47</f>
        <v>0</v>
      </c>
      <c r="AN47" s="245">
        <f t="shared" ref="AN47" si="1078">+AN46+AM47</f>
        <v>0</v>
      </c>
      <c r="AO47" s="245">
        <f t="shared" ref="AO47" si="1079">+AO46+AN47</f>
        <v>0</v>
      </c>
      <c r="AP47" s="245">
        <f t="shared" ref="AP47" si="1080">+AP46+AO47</f>
        <v>0</v>
      </c>
      <c r="AQ47" s="245">
        <f t="shared" ref="AQ47" si="1081">+AQ46+AP47</f>
        <v>0</v>
      </c>
      <c r="AR47" s="245">
        <f t="shared" ref="AR47" si="1082">+AR46+AQ47</f>
        <v>0</v>
      </c>
      <c r="AS47" s="245">
        <f t="shared" ref="AS47" si="1083">+AS46+AR47</f>
        <v>0</v>
      </c>
      <c r="AT47" s="245">
        <f t="shared" ref="AT47" si="1084">+AT46+AS47</f>
        <v>0</v>
      </c>
      <c r="AU47" s="245">
        <f t="shared" ref="AU47" si="1085">+AU46+AT47</f>
        <v>0</v>
      </c>
      <c r="AV47" s="245">
        <f t="shared" ref="AV47" si="1086">+AV46+AU47</f>
        <v>0</v>
      </c>
      <c r="AW47" s="245">
        <f t="shared" ref="AW47" si="1087">+AW46+AV47</f>
        <v>0</v>
      </c>
      <c r="AX47" s="245">
        <f t="shared" ref="AX47" si="1088">+AX46+AW47</f>
        <v>0</v>
      </c>
      <c r="AY47" s="245">
        <f t="shared" ref="AY47" si="1089">+AY46+AX47</f>
        <v>0</v>
      </c>
      <c r="AZ47" s="245">
        <f t="shared" ref="AZ47" si="1090">+AZ46+AY47</f>
        <v>0</v>
      </c>
      <c r="BA47" s="245">
        <f t="shared" ref="BA47" si="1091">+BA46+AZ47</f>
        <v>0</v>
      </c>
      <c r="BB47" s="245">
        <f t="shared" ref="BB47" si="1092">+BB46+BA47</f>
        <v>0</v>
      </c>
      <c r="BC47" s="245">
        <f t="shared" ref="BC47" si="1093">+BC46+BB47</f>
        <v>0</v>
      </c>
      <c r="BD47" s="245">
        <f t="shared" ref="BD47" si="1094">+BD46+BC47</f>
        <v>0</v>
      </c>
      <c r="BE47" s="245">
        <f t="shared" ref="BE47" si="1095">+BE46+BD47</f>
        <v>0</v>
      </c>
      <c r="BF47" s="245">
        <f t="shared" ref="BF47" si="1096">+BF46+BE47</f>
        <v>0</v>
      </c>
      <c r="BG47" s="245">
        <f t="shared" ref="BG47" si="1097">+BG46+BF47</f>
        <v>0</v>
      </c>
      <c r="BH47" s="245">
        <f t="shared" ref="BH47" si="1098">+BH46+BG47</f>
        <v>0</v>
      </c>
      <c r="BI47" s="245">
        <f t="shared" ref="BI47" si="1099">+BI46+BH47</f>
        <v>0</v>
      </c>
      <c r="BJ47" s="245">
        <f t="shared" ref="BJ47" si="1100">+BJ46+BI47</f>
        <v>0</v>
      </c>
      <c r="BK47" s="245">
        <f t="shared" ref="BK47" si="1101">+BK46+BJ47</f>
        <v>0</v>
      </c>
      <c r="BL47" s="245">
        <f t="shared" ref="BL47" si="1102">+BL46+BK47</f>
        <v>0</v>
      </c>
      <c r="BM47" s="245">
        <f t="shared" ref="BM47" si="1103">+BM46+BL47</f>
        <v>0</v>
      </c>
      <c r="BN47" s="245">
        <f t="shared" ref="BN47" si="1104">+BN46+BM47</f>
        <v>0</v>
      </c>
      <c r="BO47" s="245">
        <f t="shared" ref="BO47" si="1105">+BO46+BN47</f>
        <v>0</v>
      </c>
      <c r="BP47" s="245">
        <f t="shared" ref="BP47" si="1106">+BP46+BO47</f>
        <v>0</v>
      </c>
      <c r="BQ47" s="245">
        <f t="shared" ref="BQ47" si="1107">+BQ46+BP47</f>
        <v>0</v>
      </c>
      <c r="BR47" s="245">
        <f t="shared" ref="BR47" si="1108">+BR46+BQ47</f>
        <v>0</v>
      </c>
      <c r="BS47" s="245">
        <f t="shared" ref="BS47" si="1109">+BS46+BR47</f>
        <v>0</v>
      </c>
      <c r="BT47" s="245">
        <f t="shared" ref="BT47" si="1110">+BT46+BS47</f>
        <v>0</v>
      </c>
      <c r="BU47" s="245">
        <f t="shared" ref="BU47" si="1111">+BU46+BT47</f>
        <v>0</v>
      </c>
      <c r="BV47" s="245">
        <f t="shared" ref="BV47" si="1112">+BV46+BU47</f>
        <v>0</v>
      </c>
      <c r="BW47" s="245">
        <f t="shared" ref="BW47" si="1113">+BW46+BV47</f>
        <v>0</v>
      </c>
      <c r="BX47" s="245">
        <f t="shared" ref="BX47" si="1114">+BX46+BW47</f>
        <v>20491.708779210512</v>
      </c>
      <c r="BY47" s="245">
        <f t="shared" ref="BY47" si="1115">+BY46+BX47</f>
        <v>23422.541759403659</v>
      </c>
      <c r="BZ47" s="245">
        <f t="shared" ref="BZ47" si="1116">+BZ46+BY47</f>
        <v>144884.52227174107</v>
      </c>
      <c r="CA47" s="245">
        <f t="shared" ref="CA47" si="1117">+CA46+BZ47</f>
        <v>155848.73226752042</v>
      </c>
      <c r="CB47" s="245">
        <f t="shared" ref="CB47" si="1118">+CB46+CA47</f>
        <v>651857.35775651573</v>
      </c>
      <c r="CC47" s="245">
        <f t="shared" ref="CC47" si="1119">+CC46+CB47</f>
        <v>1541368.845862662</v>
      </c>
      <c r="CD47" s="245">
        <f t="shared" ref="CD47" si="1120">+CD46+CC47</f>
        <v>2140737.095626106</v>
      </c>
      <c r="CE47" s="245">
        <f t="shared" ref="CE47" si="1121">+CE46+CD47</f>
        <v>2536245.0460160645</v>
      </c>
      <c r="CF47" s="245">
        <f t="shared" ref="CF47" si="1122">+CF46+CE47</f>
        <v>2619048.5555519848</v>
      </c>
      <c r="CG47" s="245">
        <f t="shared" ref="CG47" si="1123">+CG46+CF47</f>
        <v>3253158.3325937083</v>
      </c>
      <c r="CH47" s="245">
        <f t="shared" ref="CH47" si="1124">+CH46+CG47</f>
        <v>3400000.0000000005</v>
      </c>
      <c r="CI47" s="245">
        <f t="shared" ref="CI47" si="1125">+CI46+CH47</f>
        <v>3400000.0000000005</v>
      </c>
      <c r="CJ47" s="245">
        <f t="shared" ref="CJ47" si="1126">+CJ46+CI47</f>
        <v>3400000.0000000005</v>
      </c>
      <c r="CK47" s="245">
        <f t="shared" ref="CK47" si="1127">+CK46+CJ47</f>
        <v>3400000.0000000005</v>
      </c>
      <c r="CL47" s="245">
        <f t="shared" ref="CL47" si="1128">+CL46+CK47</f>
        <v>3400000.0000000005</v>
      </c>
      <c r="CM47" s="245">
        <f t="shared" ref="CM47" si="1129">+CM46+CL47</f>
        <v>3400000.0000000005</v>
      </c>
      <c r="CN47" s="245">
        <f t="shared" ref="CN47" si="1130">+CN46+CM47</f>
        <v>3400000.0000000005</v>
      </c>
      <c r="CO47" s="245">
        <f t="shared" ref="CO47" si="1131">+CO46+CN47</f>
        <v>3400000.0000000005</v>
      </c>
      <c r="CP47" s="245">
        <f t="shared" ref="CP47" si="1132">+CP46+CO47</f>
        <v>3400000.0000000005</v>
      </c>
      <c r="CQ47" s="245">
        <f t="shared" ref="CQ47" si="1133">+CQ46+CP47</f>
        <v>3400000.0000000005</v>
      </c>
      <c r="CR47" s="245">
        <f t="shared" ref="CR47" si="1134">+CR46+CQ47</f>
        <v>3400000.0000000005</v>
      </c>
      <c r="CS47" s="245">
        <f t="shared" ref="CS47" si="1135">+CS46+CR47</f>
        <v>3400000.0000000005</v>
      </c>
      <c r="CT47" s="245">
        <f t="shared" ref="CT47" si="1136">+CT46+CS47</f>
        <v>3400000.0000000005</v>
      </c>
      <c r="CU47" s="245">
        <f t="shared" ref="CU47" si="1137">+CU46+CT47</f>
        <v>3400000.0000000005</v>
      </c>
      <c r="CV47" s="245">
        <f t="shared" ref="CV47" si="1138">+CV46+CU47</f>
        <v>3400000.0000000005</v>
      </c>
      <c r="CW47" s="245">
        <f t="shared" ref="CW47" si="1139">+CW46+CV47</f>
        <v>3400000.0000000005</v>
      </c>
      <c r="CX47" s="245">
        <f t="shared" ref="CX47" si="1140">+CX46+CW47</f>
        <v>3400000.0000000005</v>
      </c>
      <c r="CY47" s="245">
        <f t="shared" ref="CY47" si="1141">+CY46+CX47</f>
        <v>3400000.0000000005</v>
      </c>
      <c r="CZ47" s="245">
        <f t="shared" ref="CZ47" si="1142">+CZ46+CY47</f>
        <v>3400000.0000000005</v>
      </c>
      <c r="DA47" s="245">
        <f t="shared" ref="DA47" si="1143">+DA46+CZ47</f>
        <v>3400000.0000000005</v>
      </c>
      <c r="DB47" s="245">
        <f t="shared" ref="DB47" si="1144">+DB46+DA47</f>
        <v>3400000.0000000005</v>
      </c>
      <c r="DC47" s="245">
        <f t="shared" ref="DC47" si="1145">+DC46+DB47</f>
        <v>3400000.0000000005</v>
      </c>
      <c r="DD47" s="245">
        <f t="shared" ref="DD47" si="1146">+DD46+DC47</f>
        <v>3400000.0000000005</v>
      </c>
      <c r="DE47" s="245">
        <f t="shared" ref="DE47" si="1147">+DE46+DD47</f>
        <v>3400000.0000000005</v>
      </c>
      <c r="DF47" s="245">
        <f t="shared" ref="DF47" si="1148">+DF46+DE47</f>
        <v>3400000.0000000005</v>
      </c>
      <c r="DG47" s="245">
        <f t="shared" ref="DG47:DH47" si="1149">+DG46+DF47</f>
        <v>3400000.0000000005</v>
      </c>
      <c r="DH47" s="245">
        <f t="shared" si="1149"/>
        <v>3400000.0000000005</v>
      </c>
    </row>
    <row r="48" spans="2:112" x14ac:dyDescent="0.25">
      <c r="B48" t="s">
        <v>233</v>
      </c>
      <c r="C48" s="196">
        <v>1200000</v>
      </c>
      <c r="D48" t="s">
        <v>231</v>
      </c>
      <c r="E48" s="423"/>
      <c r="F48" s="422">
        <f>+IFERROR(INDEX(Assumptions!$E$18:$E$29, MATCH(F45, Assumptions!$D$18:$D$29, 0))*$C$48, 0)</f>
        <v>0</v>
      </c>
      <c r="G48" s="423">
        <f>+IFERROR(INDEX(Assumptions!$E$18:$E$29, MATCH(G45, Assumptions!$D$18:$D$29, 0))*$C$48, 0)</f>
        <v>0</v>
      </c>
      <c r="H48" s="423">
        <f>+IFERROR(INDEX(Assumptions!$E$18:$E$29, MATCH(H45, Assumptions!$D$18:$D$29, 0))*$C$48, 0)</f>
        <v>0</v>
      </c>
      <c r="I48" s="423">
        <f>+IFERROR(INDEX(Assumptions!$E$18:$E$29, MATCH(I45, Assumptions!$D$18:$D$29, 0))*$C$48, 0)</f>
        <v>0</v>
      </c>
      <c r="J48" s="423">
        <f>+IFERROR(INDEX(Assumptions!$E$18:$E$29, MATCH(J45, Assumptions!$D$18:$D$29, 0))*$C$48, 0)</f>
        <v>0</v>
      </c>
      <c r="K48" s="423">
        <f>+IFERROR(INDEX(Assumptions!$E$18:$E$29, MATCH(K45, Assumptions!$D$18:$D$29, 0))*$C$48, 0)</f>
        <v>0</v>
      </c>
      <c r="L48" s="423">
        <f>+IFERROR(INDEX(Assumptions!$E$18:$E$29, MATCH(L45, Assumptions!$D$18:$D$29, 0))*$C$48, 0)</f>
        <v>0</v>
      </c>
      <c r="M48" s="423">
        <f>+IFERROR(INDEX(Assumptions!$E$18:$E$29, MATCH(M45, Assumptions!$D$18:$D$29, 0))*$C$48, 0)</f>
        <v>0</v>
      </c>
      <c r="N48" s="423">
        <f>+IFERROR(INDEX(Assumptions!$E$18:$E$29, MATCH(N45, Assumptions!$D$18:$D$29, 0))*$C$48, 0)</f>
        <v>0</v>
      </c>
      <c r="O48" s="423">
        <f>+IFERROR(INDEX(Assumptions!$E$18:$E$29, MATCH(O45, Assumptions!$D$18:$D$29, 0))*$C$48, 0)</f>
        <v>0</v>
      </c>
      <c r="P48" s="423">
        <f>+IFERROR(INDEX(Assumptions!$E$18:$E$29, MATCH(P45, Assumptions!$D$18:$D$29, 0))*$C$48, 0)</f>
        <v>0</v>
      </c>
      <c r="Q48" s="423">
        <f>+IFERROR(INDEX(Assumptions!$E$18:$E$29, MATCH(Q45, Assumptions!$D$18:$D$29, 0))*$C$48, 0)</f>
        <v>0</v>
      </c>
      <c r="R48" s="734">
        <f>+IFERROR(INDEX(Assumptions!$E$18:$E$29, MATCH(R45, Assumptions!$D$18:$D$29, 0))*$C$48, 0)</f>
        <v>0</v>
      </c>
      <c r="S48" s="423">
        <f>+IFERROR(INDEX(Assumptions!$E$18:$E$29, MATCH(S45, Assumptions!$D$18:$D$29, 0))*$C$48, 0)</f>
        <v>0</v>
      </c>
      <c r="T48" s="423">
        <f>+IFERROR(INDEX(Assumptions!$E$18:$E$29, MATCH(T45, Assumptions!$D$18:$D$29, 0))*$C$48, 0)</f>
        <v>0</v>
      </c>
      <c r="U48" s="422">
        <f>+IFERROR(INDEX(Assumptions!$E$18:$E$29, MATCH(U45, Assumptions!$D$18:$D$29, 0))*$C$48, 0)</f>
        <v>0</v>
      </c>
      <c r="V48" s="494">
        <f>+IFERROR(INDEX(Assumptions!$E$18:$E$29, MATCH(V45, Assumptions!$D$18:$D$29, 0))*$C$48, 0)</f>
        <v>0</v>
      </c>
      <c r="W48" s="146">
        <f>+IFERROR(INDEX(Assumptions!$E$18:$E$29, MATCH(W45, Assumptions!$D$18:$D$29, 0))*$C$48, 0)</f>
        <v>0</v>
      </c>
      <c r="X48" s="146">
        <f>+IFERROR(INDEX(Assumptions!$E$18:$E$29, MATCH(X45, Assumptions!$D$18:$D$29, 0))*$C$48, 0)</f>
        <v>0</v>
      </c>
      <c r="Y48" s="146">
        <f>+IFERROR(INDEX(Assumptions!$E$18:$E$29, MATCH(Y45, Assumptions!$D$18:$D$29, 0))*$C$48, 0)</f>
        <v>0</v>
      </c>
      <c r="Z48" s="146">
        <f>+IFERROR(INDEX(Assumptions!$E$18:$E$29, MATCH(Z45, Assumptions!$D$18:$D$29, 0))*$C$48, 0)</f>
        <v>0</v>
      </c>
      <c r="AA48" s="146">
        <f>+IFERROR(INDEX(Assumptions!$E$18:$E$29, MATCH(AA45, Assumptions!$D$18:$D$29, 0))*$C$48, 0)</f>
        <v>0</v>
      </c>
      <c r="AB48" s="146">
        <f>+IFERROR(INDEX(Assumptions!$E$18:$E$29, MATCH(AB45, Assumptions!$D$18:$D$29, 0))*$C$48, 0)</f>
        <v>0</v>
      </c>
      <c r="AC48" s="146">
        <f>+IFERROR(INDEX(Assumptions!$E$18:$E$29, MATCH(AC45, Assumptions!$D$18:$D$29, 0))*$C$48, 0)</f>
        <v>0</v>
      </c>
      <c r="AD48" s="146">
        <f>+IFERROR(INDEX(Assumptions!$E$18:$E$29, MATCH(AD45, Assumptions!$D$18:$D$29, 0))*$C$48, 0)</f>
        <v>0</v>
      </c>
      <c r="AE48" s="146">
        <f>+IFERROR(INDEX(Assumptions!$E$18:$E$29, MATCH(AE45, Assumptions!$D$18:$D$29, 0))*$C$48, 0)</f>
        <v>0</v>
      </c>
      <c r="AF48" s="245">
        <f>+IFERROR(INDEX(Assumptions!$E$18:$E$29, MATCH(AF45, Assumptions!$D$18:$D$29, 0))*$C$48, 0)</f>
        <v>0</v>
      </c>
      <c r="AG48" s="146">
        <f>+IFERROR(INDEX(Assumptions!$E$18:$E$29, MATCH(AG45, Assumptions!$D$18:$D$29, 0))*$C$48, 0)</f>
        <v>0</v>
      </c>
      <c r="AH48" s="245">
        <f>+IFERROR(INDEX(Assumptions!$E$18:$E$29, MATCH(AH45, Assumptions!$D$18:$D$29, 0))*$C$48, 0)</f>
        <v>0</v>
      </c>
      <c r="AI48" s="245">
        <f>+IFERROR(INDEX(Assumptions!$E$18:$E$29, MATCH(AI45, Assumptions!$D$18:$D$29, 0))*$C$48, 0)</f>
        <v>0</v>
      </c>
      <c r="AJ48" s="245">
        <f>+IFERROR(INDEX(Assumptions!$E$18:$E$29, MATCH(AJ45, Assumptions!$D$18:$D$29, 0))*$C$48, 0)</f>
        <v>0</v>
      </c>
      <c r="AK48" s="245">
        <f>+IFERROR(INDEX(Assumptions!$E$18:$E$29, MATCH(AK45, Assumptions!$D$18:$D$29, 0))*$C$48, 0)</f>
        <v>0</v>
      </c>
      <c r="AL48" s="245">
        <f>+IFERROR(INDEX(Assumptions!$E$18:$E$29, MATCH(AL45, Assumptions!$D$18:$D$29, 0))*$C$48, 0)</f>
        <v>0</v>
      </c>
      <c r="AM48" s="245">
        <f>+IFERROR(INDEX(Assumptions!$E$18:$E$29, MATCH(AM45, Assumptions!$D$18:$D$29, 0))*$C$48, 0)</f>
        <v>0</v>
      </c>
      <c r="AN48" s="245">
        <f>+IFERROR(INDEX(Assumptions!$E$18:$E$29, MATCH(AN45, Assumptions!$D$18:$D$29, 0))*$C$48, 0)</f>
        <v>0</v>
      </c>
      <c r="AO48" s="245">
        <f>+IFERROR(INDEX(Assumptions!$E$18:$E$29, MATCH(AO45, Assumptions!$D$18:$D$29, 0))*$C$48, 0)</f>
        <v>0</v>
      </c>
      <c r="AP48" s="245">
        <f>+IFERROR(INDEX(Assumptions!$E$18:$E$29, MATCH(AP45, Assumptions!$D$18:$D$29, 0))*$C$48, 0)</f>
        <v>0</v>
      </c>
      <c r="AQ48" s="245">
        <f>+IFERROR(INDEX(Assumptions!$E$18:$E$29, MATCH(AQ45, Assumptions!$D$18:$D$29, 0))*$C$48, 0)</f>
        <v>0</v>
      </c>
      <c r="AR48" s="245">
        <f>+IFERROR(INDEX(Assumptions!$E$18:$E$29, MATCH(AR45, Assumptions!$D$18:$D$29, 0))*$C$48, 0)</f>
        <v>0</v>
      </c>
      <c r="AS48" s="245">
        <f>+IFERROR(INDEX(Assumptions!$E$18:$E$29, MATCH(AS45, Assumptions!$D$18:$D$29, 0))*$C$48, 0)</f>
        <v>0</v>
      </c>
      <c r="AT48" s="245">
        <f>+IFERROR(INDEX(Assumptions!$E$18:$E$29, MATCH(AT45, Assumptions!$D$18:$D$29, 0))*$C$48, 0)</f>
        <v>0</v>
      </c>
      <c r="AU48" s="245">
        <f>+IFERROR(INDEX(Assumptions!$E$18:$E$29, MATCH(AU45, Assumptions!$D$18:$D$29, 0))*$C$48, 0)</f>
        <v>0</v>
      </c>
      <c r="AV48" s="245">
        <f>+IFERROR(INDEX(Assumptions!$E$18:$E$29, MATCH(AV45, Assumptions!$D$18:$D$29, 0))*$C$48, 0)</f>
        <v>0</v>
      </c>
      <c r="AW48" s="245">
        <f>+IFERROR(INDEX(Assumptions!$E$18:$E$29, MATCH(AW45, Assumptions!$D$18:$D$29, 0))*$C$48, 0)</f>
        <v>0</v>
      </c>
      <c r="AX48" s="245">
        <f>+IFERROR(INDEX(Assumptions!$E$18:$E$29, MATCH(AX45, Assumptions!$D$18:$D$29, 0))*$C$48, 0)</f>
        <v>0</v>
      </c>
      <c r="AY48" s="245">
        <f>+IFERROR(INDEX(Assumptions!$E$18:$E$29, MATCH(AY45, Assumptions!$D$18:$D$29, 0))*$C$48, 0)</f>
        <v>0</v>
      </c>
      <c r="AZ48" s="245">
        <f>+IFERROR(INDEX(Assumptions!$E$18:$E$29, MATCH(AZ45, Assumptions!$D$18:$D$29, 0))*$C$48, 0)</f>
        <v>0</v>
      </c>
      <c r="BA48" s="245">
        <f>+IFERROR(INDEX(Assumptions!$E$18:$E$29, MATCH(BA45, Assumptions!$D$18:$D$29, 0))*$C$48, 0)</f>
        <v>0</v>
      </c>
      <c r="BB48" s="245">
        <f>+IFERROR(INDEX(Assumptions!$E$18:$E$29, MATCH(BB45, Assumptions!$D$18:$D$29, 0))*$C$48, 0)</f>
        <v>0</v>
      </c>
      <c r="BC48" s="245">
        <f>+IFERROR(INDEX(Assumptions!$E$18:$E$29, MATCH(BC45, Assumptions!$D$18:$D$29, 0))*$C$48, 0)</f>
        <v>0</v>
      </c>
      <c r="BD48" s="245">
        <f>+IFERROR(INDEX(Assumptions!$E$18:$E$29, MATCH(BD45, Assumptions!$D$18:$D$29, 0))*$C$48, 0)</f>
        <v>0</v>
      </c>
      <c r="BE48" s="245">
        <f>+IFERROR(INDEX(Assumptions!$E$18:$E$29, MATCH(BE45, Assumptions!$D$18:$D$29, 0))*$C$48, 0)</f>
        <v>0</v>
      </c>
      <c r="BF48" s="245">
        <f>+IFERROR(INDEX(Assumptions!$E$18:$E$29, MATCH(BF45, Assumptions!$D$18:$D$29, 0))*$C$48, 0)</f>
        <v>0</v>
      </c>
      <c r="BG48" s="245">
        <f>+IFERROR(INDEX(Assumptions!$E$18:$E$29, MATCH(BG45, Assumptions!$D$18:$D$29, 0))*$C$48, 0)</f>
        <v>0</v>
      </c>
      <c r="BH48" s="245">
        <f>+IFERROR(INDEX(Assumptions!$E$18:$E$29, MATCH(BH45, Assumptions!$D$18:$D$29, 0))*$C$48, 0)</f>
        <v>0</v>
      </c>
      <c r="BI48" s="245">
        <f>+IFERROR(INDEX(Assumptions!$E$18:$E$29, MATCH(BI45, Assumptions!$D$18:$D$29, 0))*$C$48, 0)</f>
        <v>0</v>
      </c>
      <c r="BJ48" s="245">
        <f>+IFERROR(INDEX(Assumptions!$E$18:$E$29, MATCH(BJ45, Assumptions!$D$18:$D$29, 0))*$C$48, 0)</f>
        <v>0</v>
      </c>
      <c r="BK48" s="245">
        <f>+IFERROR(INDEX(Assumptions!$E$18:$E$29, MATCH(BK45, Assumptions!$D$18:$D$29, 0))*$C$48, 0)</f>
        <v>0</v>
      </c>
      <c r="BL48" s="245">
        <f>+IFERROR(INDEX(Assumptions!$E$18:$E$29, MATCH(BL45, Assumptions!$D$18:$D$29, 0))*$C$48, 0)</f>
        <v>0</v>
      </c>
      <c r="BM48" s="245">
        <f>+IFERROR(INDEX(Assumptions!$E$18:$E$29, MATCH(BM45, Assumptions!$D$18:$D$29, 0))*$C$48, 0)</f>
        <v>0</v>
      </c>
      <c r="BN48" s="245">
        <f>+IFERROR(INDEX(Assumptions!$E$18:$E$29, MATCH(BN45, Assumptions!$D$18:$D$29, 0))*$C$48, 0)</f>
        <v>0</v>
      </c>
      <c r="BO48" s="245">
        <f>+IFERROR(INDEX(Assumptions!$E$18:$E$29, MATCH(BO45, Assumptions!$D$18:$D$29, 0))*$C$48, 0)</f>
        <v>0</v>
      </c>
      <c r="BP48" s="245">
        <f>+IFERROR(INDEX(Assumptions!$E$18:$E$29, MATCH(BP45, Assumptions!$D$18:$D$29, 0))*$C$48, 0)</f>
        <v>0</v>
      </c>
      <c r="BQ48" s="245">
        <f>+IFERROR(INDEX(Assumptions!$E$18:$E$29, MATCH(BQ45, Assumptions!$D$18:$D$29, 0))*$C$48, 0)</f>
        <v>0</v>
      </c>
      <c r="BR48" s="245">
        <f>+IFERROR(INDEX(Assumptions!$E$18:$E$29, MATCH(BR45, Assumptions!$D$18:$D$29, 0))*$C$48, 0)</f>
        <v>0</v>
      </c>
      <c r="BS48" s="245">
        <f>+IFERROR(INDEX(Assumptions!$E$18:$E$29, MATCH(BS45, Assumptions!$D$18:$D$29, 0))*$C$48, 0)</f>
        <v>0</v>
      </c>
      <c r="BT48" s="245">
        <f>+IFERROR(INDEX(Assumptions!$E$18:$E$29, MATCH(BT45, Assumptions!$D$18:$D$29, 0))*$C$48, 0)</f>
        <v>0</v>
      </c>
      <c r="BU48" s="245">
        <f>+IFERROR(INDEX(Assumptions!$E$18:$E$29, MATCH(BU45, Assumptions!$D$18:$D$29, 0))*$C$48, 0)</f>
        <v>0</v>
      </c>
      <c r="BV48" s="245">
        <f>+IFERROR(INDEX(Assumptions!$E$18:$E$29, MATCH(BV45, Assumptions!$D$18:$D$29, 0))*$C$48, 0)</f>
        <v>0</v>
      </c>
      <c r="BW48" s="245">
        <f>+IFERROR(INDEX(Assumptions!$E$18:$E$29, MATCH(BW45, Assumptions!$D$18:$D$29, 0))*$C$48, 0)</f>
        <v>0</v>
      </c>
      <c r="BX48" s="245">
        <f>+IFERROR(INDEX(Assumptions!$E$18:$E$29, MATCH(BX45, Assumptions!$D$18:$D$29, 0))*$C$48, 0)</f>
        <v>7232.3678044272392</v>
      </c>
      <c r="BY48" s="245">
        <f>+IFERROR(INDEX(Assumptions!$E$18:$E$29, MATCH(BY45, Assumptions!$D$18:$D$29, 0))*$C$48, 0)</f>
        <v>1034.4116400681689</v>
      </c>
      <c r="BZ48" s="245">
        <f>+IFERROR(INDEX(Assumptions!$E$18:$E$29, MATCH(BZ45, Assumptions!$D$18:$D$29, 0))*$C$48, 0)</f>
        <v>42868.934298472028</v>
      </c>
      <c r="CA48" s="245">
        <f>+IFERROR(INDEX(Assumptions!$E$18:$E$29, MATCH(CA45, Assumptions!$D$18:$D$29, 0))*$C$48, 0)</f>
        <v>3869.7211749809449</v>
      </c>
      <c r="CB48" s="245">
        <f>+IFERROR(INDEX(Assumptions!$E$18:$E$29, MATCH(CB45, Assumptions!$D$18:$D$29, 0))*$C$48, 0)</f>
        <v>175061.86781964541</v>
      </c>
      <c r="CC48" s="245">
        <f>+IFERROR(INDEX(Assumptions!$E$18:$E$29, MATCH(CC45, Assumptions!$D$18:$D$29, 0))*$C$48, 0)</f>
        <v>313945.23109628691</v>
      </c>
      <c r="CD48" s="245">
        <f>+IFERROR(INDEX(Assumptions!$E$18:$E$29, MATCH(CD45, Assumptions!$D$18:$D$29, 0))*$C$48, 0)</f>
        <v>211541.73521062726</v>
      </c>
      <c r="CE48" s="245">
        <f>+IFERROR(INDEX(Assumptions!$E$18:$E$29, MATCH(CE45, Assumptions!$D$18:$D$29, 0))*$C$48, 0)</f>
        <v>139591.04131410291</v>
      </c>
      <c r="CF48" s="245">
        <f>+IFERROR(INDEX(Assumptions!$E$18:$E$29, MATCH(CF45, Assumptions!$D$18:$D$29, 0))*$C$48, 0)</f>
        <v>29224.768071501261</v>
      </c>
      <c r="CG48" s="245">
        <f>+IFERROR(INDEX(Assumptions!$E$18:$E$29, MATCH(CG45, Assumptions!$D$18:$D$29, 0))*$C$48, 0)</f>
        <v>223803.45072060818</v>
      </c>
      <c r="CH48" s="245">
        <f>+IFERROR(INDEX(Assumptions!$E$18:$E$29, MATCH(CH45, Assumptions!$D$18:$D$29, 0))*$C$48, 0)</f>
        <v>51826.470849279627</v>
      </c>
      <c r="CI48" s="245">
        <f>+IFERROR(INDEX(Assumptions!$E$18:$E$29, MATCH(CI45, Assumptions!$D$18:$D$29, 0))*$C$48, 0)</f>
        <v>0</v>
      </c>
      <c r="CJ48" s="245">
        <f>+IFERROR(INDEX(Assumptions!$E$18:$E$29, MATCH(CJ45, Assumptions!$D$18:$D$29, 0))*$C$48, 0)</f>
        <v>0</v>
      </c>
      <c r="CK48" s="245">
        <f>+IFERROR(INDEX(Assumptions!$E$18:$E$29, MATCH(CK45, Assumptions!$D$18:$D$29, 0))*$C$48, 0)</f>
        <v>0</v>
      </c>
      <c r="CL48" s="245">
        <f>+IFERROR(INDEX(Assumptions!$E$18:$E$29, MATCH(CL45, Assumptions!$D$18:$D$29, 0))*$C$48, 0)</f>
        <v>0</v>
      </c>
      <c r="CM48" s="245">
        <f>+IFERROR(INDEX(Assumptions!$E$18:$E$29, MATCH(CM45, Assumptions!$D$18:$D$29, 0))*$C$48, 0)</f>
        <v>0</v>
      </c>
      <c r="CN48" s="245">
        <f>+IFERROR(INDEX(Assumptions!$E$18:$E$29, MATCH(CN45, Assumptions!$D$18:$D$29, 0))*$C$48, 0)</f>
        <v>0</v>
      </c>
      <c r="CO48" s="245">
        <f>+IFERROR(INDEX(Assumptions!$E$18:$E$29, MATCH(CO45, Assumptions!$D$18:$D$29, 0))*$C$48, 0)</f>
        <v>0</v>
      </c>
      <c r="CP48" s="245">
        <f>+IFERROR(INDEX(Assumptions!$E$18:$E$29, MATCH(CP45, Assumptions!$D$18:$D$29, 0))*$C$48, 0)</f>
        <v>0</v>
      </c>
      <c r="CQ48" s="245">
        <f>+IFERROR(INDEX(Assumptions!$E$18:$E$29, MATCH(CQ45, Assumptions!$D$18:$D$29, 0))*$C$48, 0)</f>
        <v>0</v>
      </c>
      <c r="CR48" s="245">
        <f>+IFERROR(INDEX(Assumptions!$E$18:$E$29, MATCH(CR45, Assumptions!$D$18:$D$29, 0))*$C$48, 0)</f>
        <v>0</v>
      </c>
      <c r="CS48" s="245">
        <f>+IFERROR(INDEX(Assumptions!$E$18:$E$29, MATCH(CS45, Assumptions!$D$18:$D$29, 0))*$C$48, 0)</f>
        <v>0</v>
      </c>
      <c r="CT48" s="245">
        <f>+IFERROR(INDEX(Assumptions!$E$18:$E$29, MATCH(CT45, Assumptions!$D$18:$D$29, 0))*$C$48, 0)</f>
        <v>0</v>
      </c>
      <c r="CU48" s="245">
        <f>+IFERROR(INDEX(Assumptions!$E$18:$E$29, MATCH(CU45, Assumptions!$D$18:$D$29, 0))*$C$48, 0)</f>
        <v>0</v>
      </c>
      <c r="CV48" s="245">
        <f>+IFERROR(INDEX(Assumptions!$E$18:$E$29, MATCH(CV45, Assumptions!$D$18:$D$29, 0))*$C$48, 0)</f>
        <v>0</v>
      </c>
      <c r="CW48" s="245">
        <f>+IFERROR(INDEX(Assumptions!$E$18:$E$29, MATCH(CW45, Assumptions!$D$18:$D$29, 0))*$C$48, 0)</f>
        <v>0</v>
      </c>
      <c r="CX48" s="245">
        <f>+IFERROR(INDEX(Assumptions!$E$18:$E$29, MATCH(CX45, Assumptions!$D$18:$D$29, 0))*$C$48, 0)</f>
        <v>0</v>
      </c>
      <c r="CY48" s="245">
        <f>+IFERROR(INDEX(Assumptions!$E$18:$E$29, MATCH(CY45, Assumptions!$D$18:$D$29, 0))*$C$48, 0)</f>
        <v>0</v>
      </c>
      <c r="CZ48" s="245">
        <f>+IFERROR(INDEX(Assumptions!$E$18:$E$29, MATCH(CZ45, Assumptions!$D$18:$D$29, 0))*$C$48, 0)</f>
        <v>0</v>
      </c>
      <c r="DA48" s="245">
        <f>+IFERROR(INDEX(Assumptions!$E$18:$E$29, MATCH(DA45, Assumptions!$D$18:$D$29, 0))*$C$48, 0)</f>
        <v>0</v>
      </c>
      <c r="DB48" s="245">
        <f>+IFERROR(INDEX(Assumptions!$E$18:$E$29, MATCH(DB45, Assumptions!$D$18:$D$29, 0))*$C$48, 0)</f>
        <v>0</v>
      </c>
      <c r="DC48" s="245">
        <f>+IFERROR(INDEX(Assumptions!$E$18:$E$29, MATCH(DC45, Assumptions!$D$18:$D$29, 0))*$C$48, 0)</f>
        <v>0</v>
      </c>
      <c r="DD48" s="245">
        <f>+IFERROR(INDEX(Assumptions!$E$18:$E$29, MATCH(DD45, Assumptions!$D$18:$D$29, 0))*$C$48, 0)</f>
        <v>0</v>
      </c>
      <c r="DE48" s="245">
        <f>+IFERROR(INDEX(Assumptions!$E$18:$E$29, MATCH(DE45, Assumptions!$D$18:$D$29, 0))*$C$48, 0)</f>
        <v>0</v>
      </c>
      <c r="DF48" s="245">
        <f>+IFERROR(INDEX(Assumptions!$E$18:$E$29, MATCH(DF45, Assumptions!$D$18:$D$29, 0))*$C$48, 0)</f>
        <v>0</v>
      </c>
      <c r="DG48" s="245">
        <f>+IFERROR(INDEX(Assumptions!$E$18:$E$29, MATCH(DG45, Assumptions!$D$18:$D$29, 0))*$C$48, 0)</f>
        <v>0</v>
      </c>
      <c r="DH48" s="245">
        <f>+IFERROR(INDEX(Assumptions!$E$18:$E$29, MATCH(DH45, Assumptions!$D$18:$D$29, 0))*$C$48, 0)</f>
        <v>0</v>
      </c>
    </row>
    <row r="49" spans="2:112" x14ac:dyDescent="0.25">
      <c r="B49" t="s">
        <v>455</v>
      </c>
      <c r="C49" s="628">
        <f>+EOMONTH(C41, 12)</f>
        <v>47087</v>
      </c>
      <c r="D49" t="s">
        <v>243</v>
      </c>
      <c r="F49" s="9">
        <f t="shared" ref="F49" si="1150">+F48+E49</f>
        <v>0</v>
      </c>
      <c r="G49" s="9">
        <f t="shared" ref="G49" si="1151">+G48+F49</f>
        <v>0</v>
      </c>
      <c r="H49" s="9">
        <f t="shared" ref="H49" si="1152">+H48+G49</f>
        <v>0</v>
      </c>
      <c r="I49" s="9">
        <f t="shared" ref="I49" si="1153">+I48+H49</f>
        <v>0</v>
      </c>
      <c r="J49" s="9">
        <f t="shared" ref="J49" si="1154">+J48+I49</f>
        <v>0</v>
      </c>
      <c r="K49" s="9">
        <f t="shared" ref="K49" si="1155">+K48+J49</f>
        <v>0</v>
      </c>
      <c r="L49" s="9">
        <f t="shared" ref="L49" si="1156">+L48+K49</f>
        <v>0</v>
      </c>
      <c r="M49" s="9">
        <f t="shared" ref="M49" si="1157">+M48+L49</f>
        <v>0</v>
      </c>
      <c r="N49" s="9">
        <f t="shared" ref="N49" si="1158">+N48+M49</f>
        <v>0</v>
      </c>
      <c r="O49" s="9">
        <f t="shared" ref="O49" si="1159">+O48+N49</f>
        <v>0</v>
      </c>
      <c r="P49" s="9">
        <f t="shared" ref="P49" si="1160">+P48+O49</f>
        <v>0</v>
      </c>
      <c r="Q49" s="9">
        <f t="shared" ref="Q49" si="1161">+Q48+P49</f>
        <v>0</v>
      </c>
      <c r="R49" s="9">
        <f t="shared" ref="R49" si="1162">+R48+Q49</f>
        <v>0</v>
      </c>
      <c r="S49" s="9">
        <f t="shared" ref="S49" si="1163">+S48+R49</f>
        <v>0</v>
      </c>
      <c r="T49" s="9">
        <f t="shared" ref="T49" si="1164">+T48+S49</f>
        <v>0</v>
      </c>
      <c r="U49" s="9">
        <f t="shared" ref="U49" si="1165">+U48+T49</f>
        <v>0</v>
      </c>
      <c r="V49" s="9">
        <f t="shared" ref="V49" si="1166">+V48+U49</f>
        <v>0</v>
      </c>
      <c r="W49" s="9">
        <f t="shared" ref="W49" si="1167">+W48+V49</f>
        <v>0</v>
      </c>
      <c r="X49" s="9">
        <f t="shared" ref="X49" si="1168">+X48+W49</f>
        <v>0</v>
      </c>
      <c r="Y49" s="9">
        <f t="shared" ref="Y49" si="1169">+Y48+X49</f>
        <v>0</v>
      </c>
      <c r="Z49" s="9">
        <f t="shared" ref="Z49" si="1170">+Z48+Y49</f>
        <v>0</v>
      </c>
      <c r="AA49" s="9">
        <f t="shared" ref="AA49" si="1171">+AA48+Z49</f>
        <v>0</v>
      </c>
      <c r="AB49" s="9">
        <f t="shared" ref="AB49" si="1172">+AB48+AA49</f>
        <v>0</v>
      </c>
      <c r="AC49" s="9">
        <f t="shared" ref="AC49" si="1173">+AC48+AB49</f>
        <v>0</v>
      </c>
      <c r="AD49" s="9">
        <f t="shared" ref="AD49" si="1174">+AD48+AC49</f>
        <v>0</v>
      </c>
      <c r="AE49" s="9">
        <f t="shared" ref="AE49" si="1175">+AE48+AD49</f>
        <v>0</v>
      </c>
      <c r="AF49" s="9">
        <f t="shared" ref="AF49" si="1176">+AF48+AE49</f>
        <v>0</v>
      </c>
      <c r="AG49" s="9">
        <f t="shared" ref="AG49" si="1177">+AG48+AF49</f>
        <v>0</v>
      </c>
      <c r="AH49" s="9">
        <f t="shared" ref="AH49" si="1178">+AH48+AG49</f>
        <v>0</v>
      </c>
      <c r="AI49" s="9">
        <f t="shared" ref="AI49" si="1179">+AI48+AH49</f>
        <v>0</v>
      </c>
      <c r="AJ49" s="9">
        <f t="shared" ref="AJ49" si="1180">+AJ48+AI49</f>
        <v>0</v>
      </c>
      <c r="AK49" s="9">
        <f t="shared" ref="AK49" si="1181">+AK48+AJ49</f>
        <v>0</v>
      </c>
      <c r="AL49" s="9">
        <f t="shared" ref="AL49" si="1182">+AL48+AK49</f>
        <v>0</v>
      </c>
      <c r="AM49" s="9">
        <f t="shared" ref="AM49" si="1183">+AM48+AL49</f>
        <v>0</v>
      </c>
      <c r="AN49" s="9">
        <f t="shared" ref="AN49" si="1184">+AN48+AM49</f>
        <v>0</v>
      </c>
      <c r="AO49" s="9">
        <f t="shared" ref="AO49" si="1185">+AO48+AN49</f>
        <v>0</v>
      </c>
      <c r="AP49" s="9">
        <f t="shared" ref="AP49" si="1186">+AP48+AO49</f>
        <v>0</v>
      </c>
      <c r="AQ49" s="9">
        <f t="shared" ref="AQ49" si="1187">+AQ48+AP49</f>
        <v>0</v>
      </c>
      <c r="AR49" s="9">
        <f t="shared" ref="AR49" si="1188">+AR48+AQ49</f>
        <v>0</v>
      </c>
      <c r="AS49" s="9">
        <f t="shared" ref="AS49" si="1189">+AS48+AR49</f>
        <v>0</v>
      </c>
      <c r="AT49" s="9">
        <f t="shared" ref="AT49" si="1190">+AT48+AS49</f>
        <v>0</v>
      </c>
      <c r="AU49" s="9">
        <f t="shared" ref="AU49" si="1191">+AU48+AT49</f>
        <v>0</v>
      </c>
      <c r="AV49" s="9">
        <f t="shared" ref="AV49" si="1192">+AV48+AU49</f>
        <v>0</v>
      </c>
      <c r="AW49" s="9">
        <f t="shared" ref="AW49" si="1193">+AW48+AV49</f>
        <v>0</v>
      </c>
      <c r="AX49" s="9">
        <f t="shared" ref="AX49" si="1194">+AX48+AW49</f>
        <v>0</v>
      </c>
      <c r="AY49" s="9">
        <f t="shared" ref="AY49" si="1195">+AY48+AX49</f>
        <v>0</v>
      </c>
      <c r="AZ49" s="9">
        <f t="shared" ref="AZ49" si="1196">+AZ48+AY49</f>
        <v>0</v>
      </c>
      <c r="BA49" s="9">
        <f t="shared" ref="BA49" si="1197">+BA48+AZ49</f>
        <v>0</v>
      </c>
      <c r="BB49" s="9">
        <f t="shared" ref="BB49" si="1198">+BB48+BA49</f>
        <v>0</v>
      </c>
      <c r="BC49" s="9">
        <f t="shared" ref="BC49" si="1199">+BC48+BB49</f>
        <v>0</v>
      </c>
      <c r="BD49" s="9">
        <f t="shared" ref="BD49" si="1200">+BD48+BC49</f>
        <v>0</v>
      </c>
      <c r="BE49" s="9">
        <f t="shared" ref="BE49" si="1201">+BE48+BD49</f>
        <v>0</v>
      </c>
      <c r="BF49" s="9">
        <f t="shared" ref="BF49" si="1202">+BF48+BE49</f>
        <v>0</v>
      </c>
      <c r="BG49" s="9">
        <f t="shared" ref="BG49" si="1203">+BG48+BF49</f>
        <v>0</v>
      </c>
      <c r="BH49" s="9">
        <f t="shared" ref="BH49" si="1204">+BH48+BG49</f>
        <v>0</v>
      </c>
      <c r="BI49" s="9">
        <f t="shared" ref="BI49" si="1205">+BI48+BH49</f>
        <v>0</v>
      </c>
      <c r="BJ49" s="9">
        <f t="shared" ref="BJ49" si="1206">+BJ48+BI49</f>
        <v>0</v>
      </c>
      <c r="BK49" s="9">
        <f t="shared" ref="BK49" si="1207">+BK48+BJ49</f>
        <v>0</v>
      </c>
      <c r="BL49" s="9">
        <f t="shared" ref="BL49" si="1208">+BL48+BK49</f>
        <v>0</v>
      </c>
      <c r="BM49" s="9">
        <f t="shared" ref="BM49" si="1209">+BM48+BL49</f>
        <v>0</v>
      </c>
      <c r="BN49" s="9">
        <f t="shared" ref="BN49" si="1210">+BN48+BM49</f>
        <v>0</v>
      </c>
      <c r="BO49" s="9">
        <f t="shared" ref="BO49" si="1211">+BO48+BN49</f>
        <v>0</v>
      </c>
      <c r="BP49" s="9">
        <f t="shared" ref="BP49" si="1212">+BP48+BO49</f>
        <v>0</v>
      </c>
      <c r="BQ49" s="9">
        <f t="shared" ref="BQ49" si="1213">+BQ48+BP49</f>
        <v>0</v>
      </c>
      <c r="BR49" s="9">
        <f t="shared" ref="BR49" si="1214">+BR48+BQ49</f>
        <v>0</v>
      </c>
      <c r="BS49" s="9">
        <f t="shared" ref="BS49" si="1215">+BS48+BR49</f>
        <v>0</v>
      </c>
      <c r="BT49" s="9">
        <f t="shared" ref="BT49" si="1216">+BT48+BS49</f>
        <v>0</v>
      </c>
      <c r="BU49" s="9">
        <f t="shared" ref="BU49" si="1217">+BU48+BT49</f>
        <v>0</v>
      </c>
      <c r="BV49" s="9">
        <f t="shared" ref="BV49" si="1218">+BV48+BU49</f>
        <v>0</v>
      </c>
      <c r="BW49" s="9">
        <f t="shared" ref="BW49" si="1219">+BW48+BV49</f>
        <v>0</v>
      </c>
      <c r="BX49" s="9">
        <f t="shared" ref="BX49" si="1220">+BX48+BW49</f>
        <v>7232.3678044272392</v>
      </c>
      <c r="BY49" s="9">
        <f t="shared" ref="BY49" si="1221">+BY48+BX49</f>
        <v>8266.7794444954088</v>
      </c>
      <c r="BZ49" s="9">
        <f t="shared" ref="BZ49" si="1222">+BZ48+BY49</f>
        <v>51135.713742967433</v>
      </c>
      <c r="CA49" s="9">
        <f t="shared" ref="CA49" si="1223">+CA48+BZ49</f>
        <v>55005.434917948376</v>
      </c>
      <c r="CB49" s="9">
        <f t="shared" ref="CB49" si="1224">+CB48+CA49</f>
        <v>230067.3027375938</v>
      </c>
      <c r="CC49" s="9">
        <f t="shared" ref="CC49" si="1225">+CC48+CB49</f>
        <v>544012.53383388068</v>
      </c>
      <c r="CD49" s="9">
        <f t="shared" ref="CD49" si="1226">+CD48+CC49</f>
        <v>755554.26904450799</v>
      </c>
      <c r="CE49" s="9">
        <f t="shared" ref="CE49" si="1227">+CE48+CD49</f>
        <v>895145.31035861094</v>
      </c>
      <c r="CF49" s="9">
        <f t="shared" ref="CF49" si="1228">+CF48+CE49</f>
        <v>924370.07843011222</v>
      </c>
      <c r="CG49" s="9">
        <f t="shared" ref="CG49" si="1229">+CG48+CF49</f>
        <v>1148173.5291507205</v>
      </c>
      <c r="CH49" s="9">
        <f t="shared" ref="CH49" si="1230">+CH48+CG49</f>
        <v>1200000</v>
      </c>
      <c r="CI49" s="9">
        <f t="shared" ref="CI49" si="1231">+CI48+CH49</f>
        <v>1200000</v>
      </c>
      <c r="CJ49" s="9">
        <f t="shared" ref="CJ49" si="1232">+CJ48+CI49</f>
        <v>1200000</v>
      </c>
      <c r="CK49" s="9">
        <f t="shared" ref="CK49" si="1233">+CK48+CJ49</f>
        <v>1200000</v>
      </c>
      <c r="CL49" s="9">
        <f t="shared" ref="CL49" si="1234">+CL48+CK49</f>
        <v>1200000</v>
      </c>
      <c r="CM49" s="9">
        <f t="shared" ref="CM49" si="1235">+CM48+CL49</f>
        <v>1200000</v>
      </c>
      <c r="CN49" s="9">
        <f t="shared" ref="CN49" si="1236">+CN48+CM49</f>
        <v>1200000</v>
      </c>
      <c r="CO49" s="9">
        <f t="shared" ref="CO49" si="1237">+CO48+CN49</f>
        <v>1200000</v>
      </c>
      <c r="CP49" s="9">
        <f t="shared" ref="CP49" si="1238">+CP48+CO49</f>
        <v>1200000</v>
      </c>
      <c r="CQ49" s="9">
        <f t="shared" ref="CQ49" si="1239">+CQ48+CP49</f>
        <v>1200000</v>
      </c>
      <c r="CR49" s="9">
        <f t="shared" ref="CR49" si="1240">+CR48+CQ49</f>
        <v>1200000</v>
      </c>
      <c r="CS49" s="9">
        <f t="shared" ref="CS49" si="1241">+CS48+CR49</f>
        <v>1200000</v>
      </c>
      <c r="CT49" s="9">
        <f t="shared" ref="CT49" si="1242">+CT48+CS49</f>
        <v>1200000</v>
      </c>
      <c r="CU49" s="9">
        <f t="shared" ref="CU49" si="1243">+CU48+CT49</f>
        <v>1200000</v>
      </c>
      <c r="CV49" s="9">
        <f t="shared" ref="CV49" si="1244">+CV48+CU49</f>
        <v>1200000</v>
      </c>
      <c r="CW49" s="9">
        <f t="shared" ref="CW49" si="1245">+CW48+CV49</f>
        <v>1200000</v>
      </c>
      <c r="CX49" s="9">
        <f t="shared" ref="CX49" si="1246">+CX48+CW49</f>
        <v>1200000</v>
      </c>
      <c r="CY49" s="9">
        <f t="shared" ref="CY49" si="1247">+CY48+CX49</f>
        <v>1200000</v>
      </c>
      <c r="CZ49" s="9">
        <f t="shared" ref="CZ49" si="1248">+CZ48+CY49</f>
        <v>1200000</v>
      </c>
      <c r="DA49" s="9">
        <f t="shared" ref="DA49" si="1249">+DA48+CZ49</f>
        <v>1200000</v>
      </c>
      <c r="DB49" s="9">
        <f t="shared" ref="DB49" si="1250">+DB48+DA49</f>
        <v>1200000</v>
      </c>
      <c r="DC49" s="9">
        <f t="shared" ref="DC49" si="1251">+DC48+DB49</f>
        <v>1200000</v>
      </c>
      <c r="DD49" s="9">
        <f t="shared" ref="DD49" si="1252">+DD48+DC49</f>
        <v>1200000</v>
      </c>
      <c r="DE49" s="9">
        <f t="shared" ref="DE49" si="1253">+DE48+DD49</f>
        <v>1200000</v>
      </c>
      <c r="DF49" s="9">
        <f t="shared" ref="DF49" si="1254">+DF48+DE49</f>
        <v>1200000</v>
      </c>
      <c r="DG49" s="9">
        <f t="shared" ref="DG49:DH49" si="1255">+DG48+DF49</f>
        <v>1200000</v>
      </c>
      <c r="DH49" s="9">
        <f t="shared" si="1255"/>
        <v>1200000</v>
      </c>
    </row>
    <row r="50" spans="2:112" x14ac:dyDescent="0.25">
      <c r="B50" t="s">
        <v>473</v>
      </c>
      <c r="C50" s="473">
        <f>+EOMONTH(C49,12)</f>
        <v>47452</v>
      </c>
      <c r="D50" t="s">
        <v>278</v>
      </c>
      <c r="F50" s="422">
        <f>+IFERROR(INDEX(Assumptions!$F$31:$F$42, MATCH(F45, Assumptions!$D$31:$D$42, 0))*$C$47, 0)</f>
        <v>0</v>
      </c>
      <c r="G50" s="9">
        <f>+IFERROR(INDEX(Assumptions!$F$31:$F$42, MATCH(G45, Assumptions!$D$31:$D$42, 0))*$C$47, 0)</f>
        <v>0</v>
      </c>
      <c r="H50" s="9">
        <f>+IFERROR(INDEX(Assumptions!$F$31:$F$42, MATCH(H45, Assumptions!$D$31:$D$42, 0))*$C$47, 0)</f>
        <v>0</v>
      </c>
      <c r="I50" s="9">
        <f>+IFERROR(INDEX(Assumptions!$F$31:$F$42, MATCH(I45, Assumptions!$D$31:$D$42, 0))*$C$47, 0)</f>
        <v>0</v>
      </c>
      <c r="J50" s="9">
        <f>+IFERROR(INDEX(Assumptions!$F$31:$F$42, MATCH(J45, Assumptions!$D$31:$D$42, 0))*$C$47, 0)</f>
        <v>0</v>
      </c>
      <c r="K50" s="9">
        <f>+IFERROR(INDEX(Assumptions!$F$31:$F$42, MATCH(K45, Assumptions!$D$31:$D$42, 0))*$C$47, 0)</f>
        <v>0</v>
      </c>
      <c r="L50" s="9">
        <f>+IFERROR(INDEX(Assumptions!$F$31:$F$42, MATCH(L45, Assumptions!$D$31:$D$42, 0))*$C$47, 0)</f>
        <v>0</v>
      </c>
      <c r="M50" s="9">
        <f>+IFERROR(INDEX(Assumptions!$F$31:$F$42, MATCH(M45, Assumptions!$D$31:$D$42, 0))*$C$47, 0)</f>
        <v>0</v>
      </c>
      <c r="N50" s="9">
        <f>+IFERROR(INDEX(Assumptions!$F$31:$F$42, MATCH(N45, Assumptions!$D$31:$D$42, 0))*$C$47, 0)</f>
        <v>0</v>
      </c>
      <c r="O50" s="9">
        <f>+IFERROR(INDEX(Assumptions!$F$31:$F$42, MATCH(O45, Assumptions!$D$31:$D$42, 0))*$C$47, 0)</f>
        <v>0</v>
      </c>
      <c r="P50" s="9">
        <f>+IFERROR(INDEX(Assumptions!$F$31:$F$42, MATCH(P45, Assumptions!$D$31:$D$42, 0))*$C$47, 0)</f>
        <v>0</v>
      </c>
      <c r="Q50" s="9">
        <f>+IFERROR(INDEX(Assumptions!$F$31:$F$42, MATCH(Q45, Assumptions!$D$31:$D$42, 0))*$C$47, 0)</f>
        <v>0</v>
      </c>
      <c r="R50" s="9">
        <f>+IFERROR(INDEX(Assumptions!$F$31:$F$42, MATCH(R45, Assumptions!$D$31:$D$42, 0))*$C$47, 0)</f>
        <v>0</v>
      </c>
      <c r="S50" s="9">
        <f>+IFERROR(INDEX(Assumptions!$F$31:$F$42, MATCH(S45, Assumptions!$D$31:$D$42, 0))*$C$47, 0)</f>
        <v>0</v>
      </c>
      <c r="T50" s="9">
        <f>+IFERROR(INDEX(Assumptions!$F$31:$F$42, MATCH(T45, Assumptions!$D$31:$D$42, 0))*$C$47, 0)</f>
        <v>0</v>
      </c>
      <c r="U50" s="9">
        <f>+IFERROR(INDEX(Assumptions!$F$31:$F$42, MATCH(U45, Assumptions!$D$31:$D$42, 0))*$C$47, 0)</f>
        <v>0</v>
      </c>
      <c r="V50" s="9">
        <f>+IFERROR(INDEX(Assumptions!$F$31:$F$42, MATCH(V45, Assumptions!$D$31:$D$42, 0))*$C$47, 0)</f>
        <v>0</v>
      </c>
      <c r="W50" s="9">
        <f>+IFERROR(INDEX(Assumptions!$F$31:$F$42, MATCH(W45, Assumptions!$D$31:$D$42, 0))*$C$47, 0)</f>
        <v>0</v>
      </c>
      <c r="X50" s="9">
        <f>+IFERROR(INDEX(Assumptions!$F$31:$F$42, MATCH(X45, Assumptions!$D$31:$D$42, 0))*$C$47, 0)</f>
        <v>0</v>
      </c>
      <c r="Y50" s="9">
        <f>+IFERROR(INDEX(Assumptions!$F$31:$F$42, MATCH(Y45, Assumptions!$D$31:$D$42, 0))*$C$47, 0)</f>
        <v>0</v>
      </c>
      <c r="Z50" s="9">
        <f>+IFERROR(INDEX(Assumptions!$F$31:$F$42, MATCH(Z45, Assumptions!$D$31:$D$42, 0))*$C$47, 0)</f>
        <v>0</v>
      </c>
      <c r="AA50" s="9">
        <f>+IFERROR(INDEX(Assumptions!$F$31:$F$42, MATCH(AA45, Assumptions!$D$31:$D$42, 0))*$C$47, 0)</f>
        <v>0</v>
      </c>
      <c r="AB50" s="9">
        <f>+IFERROR(INDEX(Assumptions!$F$31:$F$42, MATCH(AB45, Assumptions!$D$31:$D$42, 0))*$C$47, 0)</f>
        <v>0</v>
      </c>
      <c r="AC50" s="9">
        <f>+IFERROR(INDEX(Assumptions!$F$31:$F$42, MATCH(AC45, Assumptions!$D$31:$D$42, 0))*$C$47, 0)</f>
        <v>0</v>
      </c>
      <c r="AD50" s="9">
        <f>+IFERROR(INDEX(Assumptions!$F$31:$F$42, MATCH(AD45, Assumptions!$D$31:$D$42, 0))*$C$47, 0)</f>
        <v>0</v>
      </c>
      <c r="AE50" s="9">
        <f>+IFERROR(INDEX(Assumptions!$F$31:$F$42, MATCH(AE45, Assumptions!$D$31:$D$42, 0))*$C$47, 0)</f>
        <v>0</v>
      </c>
      <c r="AF50" s="9">
        <f>+IFERROR(INDEX(Assumptions!$F$31:$F$42, MATCH(AF45, Assumptions!$D$31:$D$42, 0))*$C$47, 0)</f>
        <v>0</v>
      </c>
      <c r="AG50" s="9">
        <f>+IFERROR(INDEX(Assumptions!$F$31:$F$42, MATCH(AG45, Assumptions!$D$31:$D$42, 0))*$C$47, 0)</f>
        <v>0</v>
      </c>
      <c r="AH50" s="9">
        <f>+IFERROR(INDEX(Assumptions!$F$31:$F$42, MATCH(AH45, Assumptions!$D$31:$D$42, 0))*$C$47, 0)</f>
        <v>0</v>
      </c>
      <c r="AI50" s="9">
        <f>+IFERROR(INDEX(Assumptions!$F$31:$F$42, MATCH(AI45, Assumptions!$D$31:$D$42, 0))*$C$47, 0)</f>
        <v>0</v>
      </c>
      <c r="AJ50" s="9">
        <f>+IFERROR(INDEX(Assumptions!$F$31:$F$42, MATCH(AJ45, Assumptions!$D$31:$D$42, 0))*$C$47, 0)</f>
        <v>0</v>
      </c>
      <c r="AK50" s="9">
        <f>+IFERROR(INDEX(Assumptions!$F$31:$F$42, MATCH(AK45, Assumptions!$D$31:$D$42, 0))*$C$47, 0)</f>
        <v>0</v>
      </c>
      <c r="AL50" s="9">
        <f>+IFERROR(INDEX(Assumptions!$F$31:$F$42, MATCH(AL45, Assumptions!$D$31:$D$42, 0))*$C$47, 0)</f>
        <v>0</v>
      </c>
      <c r="AM50" s="9">
        <f>+IFERROR(INDEX(Assumptions!$F$31:$F$42, MATCH(AM45, Assumptions!$D$31:$D$42, 0))*$C$47, 0)</f>
        <v>0</v>
      </c>
      <c r="AN50" s="9">
        <f>+IFERROR(INDEX(Assumptions!$F$31:$F$42, MATCH(AN45, Assumptions!$D$31:$D$42, 0))*$C$47, 0)</f>
        <v>0</v>
      </c>
      <c r="AO50" s="9">
        <f>+IFERROR(INDEX(Assumptions!$F$31:$F$42, MATCH(AO45, Assumptions!$D$31:$D$42, 0))*$C$47, 0)</f>
        <v>0</v>
      </c>
      <c r="AP50" s="9">
        <f>+IFERROR(INDEX(Assumptions!$F$31:$F$42, MATCH(AP45, Assumptions!$D$31:$D$42, 0))*$C$47, 0)</f>
        <v>0</v>
      </c>
      <c r="AQ50" s="9">
        <f>+IFERROR(INDEX(Assumptions!$F$31:$F$42, MATCH(AQ45, Assumptions!$D$31:$D$42, 0))*$C$47, 0)</f>
        <v>0</v>
      </c>
      <c r="AR50" s="9">
        <f>+IFERROR(INDEX(Assumptions!$F$31:$F$42, MATCH(AR45, Assumptions!$D$31:$D$42, 0))*$C$47, 0)</f>
        <v>0</v>
      </c>
      <c r="AS50" s="9">
        <f>+IFERROR(INDEX(Assumptions!$F$31:$F$42, MATCH(AS45, Assumptions!$D$31:$D$42, 0))*$C$47, 0)</f>
        <v>0</v>
      </c>
      <c r="AT50" s="9">
        <f>+IFERROR(INDEX(Assumptions!$F$31:$F$42, MATCH(AT45, Assumptions!$D$31:$D$42, 0))*$C$47, 0)</f>
        <v>0</v>
      </c>
      <c r="AU50" s="9">
        <f>+IFERROR(INDEX(Assumptions!$F$31:$F$42, MATCH(AU45, Assumptions!$D$31:$D$42, 0))*$C$47, 0)</f>
        <v>0</v>
      </c>
      <c r="AV50" s="9">
        <f>+IFERROR(INDEX(Assumptions!$F$31:$F$42, MATCH(AV45, Assumptions!$D$31:$D$42, 0))*$C$47, 0)</f>
        <v>0</v>
      </c>
      <c r="AW50" s="9">
        <f>+IFERROR(INDEX(Assumptions!$F$31:$F$42, MATCH(AW45, Assumptions!$D$31:$D$42, 0))*$C$47, 0)</f>
        <v>0</v>
      </c>
      <c r="AX50" s="9">
        <f>+IFERROR(INDEX(Assumptions!$F$31:$F$42, MATCH(AX45, Assumptions!$D$31:$D$42, 0))*$C$47, 0)</f>
        <v>0</v>
      </c>
      <c r="AY50" s="9">
        <f>+IFERROR(INDEX(Assumptions!$F$31:$F$42, MATCH(AY45, Assumptions!$D$31:$D$42, 0))*$C$47, 0)</f>
        <v>0</v>
      </c>
      <c r="AZ50" s="9">
        <f>+IFERROR(INDEX(Assumptions!$F$31:$F$42, MATCH(AZ45, Assumptions!$D$31:$D$42, 0))*$C$47, 0)</f>
        <v>0</v>
      </c>
      <c r="BA50" s="9">
        <f>+IFERROR(INDEX(Assumptions!$F$31:$F$42, MATCH(BA45, Assumptions!$D$31:$D$42, 0))*$C$47, 0)</f>
        <v>0</v>
      </c>
      <c r="BB50" s="9">
        <f>+IFERROR(INDEX(Assumptions!$F$31:$F$42, MATCH(BB45, Assumptions!$D$31:$D$42, 0))*$C$47, 0)</f>
        <v>0</v>
      </c>
      <c r="BC50" s="9">
        <f>+IFERROR(INDEX(Assumptions!$F$31:$F$42, MATCH(BC45, Assumptions!$D$31:$D$42, 0))*$C$47, 0)</f>
        <v>0</v>
      </c>
      <c r="BD50" s="9">
        <f>+IFERROR(INDEX(Assumptions!$F$31:$F$42, MATCH(BD45, Assumptions!$D$31:$D$42, 0))*$C$47, 0)</f>
        <v>0</v>
      </c>
      <c r="BE50" s="9">
        <f>+IFERROR(INDEX(Assumptions!$F$31:$F$42, MATCH(BE45, Assumptions!$D$31:$D$42, 0))*$C$47, 0)</f>
        <v>0</v>
      </c>
      <c r="BF50" s="9">
        <f>+IFERROR(INDEX(Assumptions!$F$31:$F$42, MATCH(BF45, Assumptions!$D$31:$D$42, 0))*$C$47, 0)</f>
        <v>0</v>
      </c>
      <c r="BG50" s="9">
        <f>+IFERROR(INDEX(Assumptions!$F$31:$F$42, MATCH(BG45, Assumptions!$D$31:$D$42, 0))*$C$47, 0)</f>
        <v>0</v>
      </c>
      <c r="BH50" s="9">
        <f>+IFERROR(INDEX(Assumptions!$F$31:$F$42, MATCH(BH45, Assumptions!$D$31:$D$42, 0))*$C$47, 0)</f>
        <v>0</v>
      </c>
      <c r="BI50" s="9">
        <f>+IFERROR(INDEX(Assumptions!$F$31:$F$42, MATCH(BI45, Assumptions!$D$31:$D$42, 0))*$C$47, 0)</f>
        <v>0</v>
      </c>
      <c r="BJ50" s="9">
        <f>+IFERROR(INDEX(Assumptions!$F$31:$F$42, MATCH(BJ45, Assumptions!$D$31:$D$42, 0))*$C$47, 0)</f>
        <v>0</v>
      </c>
      <c r="BK50" s="9">
        <f>+IFERROR(INDEX(Assumptions!$F$31:$F$42, MATCH(BK45, Assumptions!$D$31:$D$42, 0))*$C$47, 0)</f>
        <v>0</v>
      </c>
      <c r="BL50" s="9">
        <f>+IFERROR(INDEX(Assumptions!$F$31:$F$42, MATCH(BL45, Assumptions!$D$31:$D$42, 0))*$C$47, 0)</f>
        <v>0</v>
      </c>
      <c r="BM50" s="9">
        <f>+IFERROR(INDEX(Assumptions!$F$31:$F$42, MATCH(BM45, Assumptions!$D$31:$D$42, 0))*$C$47, 0)</f>
        <v>0</v>
      </c>
      <c r="BN50" s="9">
        <f>+IFERROR(INDEX(Assumptions!$F$31:$F$42, MATCH(BN45, Assumptions!$D$31:$D$42, 0))*$C$47, 0)</f>
        <v>0</v>
      </c>
      <c r="BO50" s="9">
        <f>+IFERROR(INDEX(Assumptions!$F$31:$F$42, MATCH(BO45, Assumptions!$D$31:$D$42, 0))*$C$47, 0)</f>
        <v>0</v>
      </c>
      <c r="BP50" s="9">
        <f>+IFERROR(INDEX(Assumptions!$F$31:$F$42, MATCH(BP45, Assumptions!$D$31:$D$42, 0))*$C$47, 0)</f>
        <v>0</v>
      </c>
      <c r="BQ50" s="9">
        <f>+IFERROR(INDEX(Assumptions!$F$31:$F$42, MATCH(BQ45, Assumptions!$D$31:$D$42, 0))*$C$47, 0)</f>
        <v>0</v>
      </c>
      <c r="BR50" s="9">
        <f>+IFERROR(INDEX(Assumptions!$F$31:$F$42, MATCH(BR45, Assumptions!$D$31:$D$42, 0))*$C$47, 0)</f>
        <v>0</v>
      </c>
      <c r="BS50" s="9">
        <f>+IFERROR(INDEX(Assumptions!$F$31:$F$42, MATCH(BS45, Assumptions!$D$31:$D$42, 0))*$C$47, 0)</f>
        <v>0</v>
      </c>
      <c r="BT50" s="9">
        <f>+IFERROR(INDEX(Assumptions!$F$31:$F$42, MATCH(BT45, Assumptions!$D$31:$D$42, 0))*$C$47, 0)</f>
        <v>0</v>
      </c>
      <c r="BU50" s="9">
        <f>+IFERROR(INDEX(Assumptions!$F$31:$F$42, MATCH(BU45, Assumptions!$D$31:$D$42, 0))*$C$47, 0)</f>
        <v>0</v>
      </c>
      <c r="BV50" s="9">
        <f>+IFERROR(INDEX(Assumptions!$F$31:$F$42, MATCH(BV45, Assumptions!$D$31:$D$42, 0))*$C$47, 0)</f>
        <v>0</v>
      </c>
      <c r="BW50" s="9">
        <f>+IFERROR(INDEX(Assumptions!$F$31:$F$42, MATCH(BW45, Assumptions!$D$31:$D$42, 0))*$C$47, 0)</f>
        <v>340000</v>
      </c>
      <c r="BX50" s="9">
        <f>+IFERROR(INDEX(Assumptions!$F$31:$F$42, MATCH(BX45, Assumptions!$D$31:$D$42, 0))*$C$47, 0)</f>
        <v>0</v>
      </c>
      <c r="BY50" s="9">
        <f>+IFERROR(INDEX(Assumptions!$F$31:$F$42, MATCH(BY45, Assumptions!$D$31:$D$42, 0))*$C$47, 0)</f>
        <v>0</v>
      </c>
      <c r="BZ50" s="9">
        <f>+IFERROR(INDEX(Assumptions!$F$31:$F$42, MATCH(BZ45, Assumptions!$D$31:$D$42, 0))*$C$47, 0)</f>
        <v>0</v>
      </c>
      <c r="CA50" s="9">
        <f>+IFERROR(INDEX(Assumptions!$F$31:$F$42, MATCH(CA45, Assumptions!$D$31:$D$42, 0))*$C$47, 0)</f>
        <v>680000</v>
      </c>
      <c r="CB50" s="9">
        <f>+IFERROR(INDEX(Assumptions!$F$31:$F$42, MATCH(CB45, Assumptions!$D$31:$D$42, 0))*$C$47, 0)</f>
        <v>850000</v>
      </c>
      <c r="CC50" s="9">
        <f>+IFERROR(INDEX(Assumptions!$F$31:$F$42, MATCH(CC45, Assumptions!$D$31:$D$42, 0))*$C$47, 0)</f>
        <v>510000</v>
      </c>
      <c r="CD50" s="9">
        <f>+IFERROR(INDEX(Assumptions!$F$31:$F$42, MATCH(CD45, Assumptions!$D$31:$D$42, 0))*$C$47, 0)</f>
        <v>0</v>
      </c>
      <c r="CE50" s="9">
        <f>+IFERROR(INDEX(Assumptions!$F$31:$F$42, MATCH(CE45, Assumptions!$D$31:$D$42, 0))*$C$47, 0)</f>
        <v>510000</v>
      </c>
      <c r="CF50" s="9">
        <f>+IFERROR(INDEX(Assumptions!$F$31:$F$42, MATCH(CF45, Assumptions!$D$31:$D$42, 0))*$C$47, 0)</f>
        <v>0</v>
      </c>
      <c r="CG50" s="9">
        <f>+IFERROR(INDEX(Assumptions!$F$31:$F$42, MATCH(CG45, Assumptions!$D$31:$D$42, 0))*$C$47, 0)</f>
        <v>510000</v>
      </c>
      <c r="CH50" s="9">
        <f>+IFERROR(INDEX(Assumptions!$F$31:$F$42, MATCH(CH45, Assumptions!$D$31:$D$42, 0))*$C$47, 0)</f>
        <v>0</v>
      </c>
      <c r="CI50" s="9">
        <f>+IFERROR(INDEX(Assumptions!$F$31:$F$42, MATCH(CI45, Assumptions!$D$31:$D$42, 0))*$C$47, 0)</f>
        <v>0</v>
      </c>
      <c r="CJ50" s="9">
        <f>+IFERROR(INDEX(Assumptions!$F$31:$F$42, MATCH(CJ45, Assumptions!$D$31:$D$42, 0))*$C$47, 0)</f>
        <v>0</v>
      </c>
      <c r="CK50" s="9">
        <f>+IFERROR(INDEX(Assumptions!$F$31:$F$42, MATCH(CK45, Assumptions!$D$31:$D$42, 0))*$C$47, 0)</f>
        <v>0</v>
      </c>
      <c r="CL50" s="9">
        <f>+IFERROR(INDEX(Assumptions!$F$31:$F$42, MATCH(CL45, Assumptions!$D$31:$D$42, 0))*$C$47, 0)</f>
        <v>0</v>
      </c>
      <c r="CM50" s="9">
        <f>+IFERROR(INDEX(Assumptions!$F$31:$F$42, MATCH(CM45, Assumptions!$D$31:$D$42, 0))*$C$47, 0)</f>
        <v>0</v>
      </c>
      <c r="CN50" s="9">
        <f>+IFERROR(INDEX(Assumptions!$F$31:$F$42, MATCH(CN45, Assumptions!$D$31:$D$42, 0))*$C$47, 0)</f>
        <v>0</v>
      </c>
      <c r="CO50" s="9">
        <f>+IFERROR(INDEX(Assumptions!$F$31:$F$42, MATCH(CO45, Assumptions!$D$31:$D$42, 0))*$C$47, 0)</f>
        <v>0</v>
      </c>
      <c r="CP50" s="9">
        <f>+IFERROR(INDEX(Assumptions!$F$31:$F$42, MATCH(CP45, Assumptions!$D$31:$D$42, 0))*$C$47, 0)</f>
        <v>0</v>
      </c>
      <c r="CQ50" s="9">
        <f>+IFERROR(INDEX(Assumptions!$F$31:$F$42, MATCH(CQ45, Assumptions!$D$31:$D$42, 0))*$C$47, 0)</f>
        <v>0</v>
      </c>
      <c r="CR50" s="9">
        <f>+IFERROR(INDEX(Assumptions!$F$31:$F$42, MATCH(CR45, Assumptions!$D$31:$D$42, 0))*$C$47, 0)</f>
        <v>0</v>
      </c>
      <c r="CS50" s="9">
        <f>+IFERROR(INDEX(Assumptions!$F$31:$F$42, MATCH(CS45, Assumptions!$D$31:$D$42, 0))*$C$47, 0)</f>
        <v>0</v>
      </c>
      <c r="CT50" s="9">
        <f>+IFERROR(INDEX(Assumptions!$F$31:$F$42, MATCH(CT45, Assumptions!$D$31:$D$42, 0))*$C$47, 0)</f>
        <v>0</v>
      </c>
      <c r="CU50" s="9">
        <f>+IFERROR(INDEX(Assumptions!$F$31:$F$42, MATCH(CU45, Assumptions!$D$31:$D$42, 0))*$C$47, 0)</f>
        <v>0</v>
      </c>
      <c r="CV50" s="9">
        <f>+IFERROR(INDEX(Assumptions!$F$31:$F$42, MATCH(CV45, Assumptions!$D$31:$D$42, 0))*$C$47, 0)</f>
        <v>0</v>
      </c>
      <c r="CW50" s="9">
        <f>+IFERROR(INDEX(Assumptions!$F$31:$F$42, MATCH(CW45, Assumptions!$D$31:$D$42, 0))*$C$47, 0)</f>
        <v>0</v>
      </c>
      <c r="CX50" s="9">
        <f>+IFERROR(INDEX(Assumptions!$F$31:$F$42, MATCH(CX45, Assumptions!$D$31:$D$42, 0))*$C$47, 0)</f>
        <v>0</v>
      </c>
      <c r="CY50" s="9">
        <f>+IFERROR(INDEX(Assumptions!$F$31:$F$42, MATCH(CY45, Assumptions!$D$31:$D$42, 0))*$C$47, 0)</f>
        <v>0</v>
      </c>
      <c r="CZ50" s="9">
        <f>+IFERROR(INDEX(Assumptions!$F$31:$F$42, MATCH(CZ45, Assumptions!$D$31:$D$42, 0))*$C$47, 0)</f>
        <v>0</v>
      </c>
      <c r="DA50" s="9">
        <f>+IFERROR(INDEX(Assumptions!$F$31:$F$42, MATCH(DA45, Assumptions!$D$31:$D$42, 0))*$C$47, 0)</f>
        <v>0</v>
      </c>
      <c r="DB50" s="9">
        <f>+IFERROR(INDEX(Assumptions!$F$31:$F$42, MATCH(DB45, Assumptions!$D$31:$D$42, 0))*$C$47, 0)</f>
        <v>0</v>
      </c>
      <c r="DC50" s="9">
        <f>+IFERROR(INDEX(Assumptions!$F$31:$F$42, MATCH(DC45, Assumptions!$D$31:$D$42, 0))*$C$47, 0)</f>
        <v>0</v>
      </c>
      <c r="DD50" s="9">
        <f>+IFERROR(INDEX(Assumptions!$F$31:$F$42, MATCH(DD45, Assumptions!$D$31:$D$42, 0))*$C$47, 0)</f>
        <v>0</v>
      </c>
      <c r="DE50" s="9">
        <f>+IFERROR(INDEX(Assumptions!$F$31:$F$42, MATCH(DE45, Assumptions!$D$31:$D$42, 0))*$C$47, 0)</f>
        <v>0</v>
      </c>
      <c r="DF50" s="9">
        <f>+IFERROR(INDEX(Assumptions!$F$31:$F$42, MATCH(DF45, Assumptions!$D$31:$D$42, 0))*$C$47, 0)</f>
        <v>0</v>
      </c>
      <c r="DG50" s="9">
        <f>+IFERROR(INDEX(Assumptions!$F$31:$F$42, MATCH(DG45, Assumptions!$D$31:$D$42, 0))*$C$47, 0)</f>
        <v>0</v>
      </c>
      <c r="DH50" s="9">
        <f>+IFERROR(INDEX(Assumptions!$F$31:$F$42, MATCH(DH45, Assumptions!$D$31:$D$42, 0))*$C$47, 0)</f>
        <v>0</v>
      </c>
    </row>
    <row r="51" spans="2:112" x14ac:dyDescent="0.25">
      <c r="D51" t="s">
        <v>277</v>
      </c>
      <c r="F51" s="9">
        <f t="shared" ref="F51" si="1256">+F50+E51</f>
        <v>0</v>
      </c>
      <c r="G51" s="9">
        <f t="shared" ref="G51" si="1257">+G50+F51</f>
        <v>0</v>
      </c>
      <c r="H51" s="9">
        <f t="shared" ref="H51" si="1258">+H50+G51</f>
        <v>0</v>
      </c>
      <c r="I51" s="9">
        <f t="shared" ref="I51" si="1259">+I50+H51</f>
        <v>0</v>
      </c>
      <c r="J51" s="9">
        <f t="shared" ref="J51" si="1260">+J50+I51</f>
        <v>0</v>
      </c>
      <c r="K51" s="9">
        <f t="shared" ref="K51" si="1261">+K50+J51</f>
        <v>0</v>
      </c>
      <c r="L51" s="9">
        <f t="shared" ref="L51" si="1262">+L50+K51</f>
        <v>0</v>
      </c>
      <c r="M51" s="9">
        <f t="shared" ref="M51" si="1263">+M50+L51</f>
        <v>0</v>
      </c>
      <c r="N51" s="9">
        <f t="shared" ref="N51" si="1264">+N50+M51</f>
        <v>0</v>
      </c>
      <c r="O51" s="9">
        <f t="shared" ref="O51" si="1265">+O50+N51</f>
        <v>0</v>
      </c>
      <c r="P51" s="9">
        <f t="shared" ref="P51" si="1266">+P50+O51</f>
        <v>0</v>
      </c>
      <c r="Q51" s="9">
        <f t="shared" ref="Q51" si="1267">+Q50+P51</f>
        <v>0</v>
      </c>
      <c r="R51" s="9">
        <f t="shared" ref="R51" si="1268">+R50+Q51</f>
        <v>0</v>
      </c>
      <c r="S51" s="9">
        <f t="shared" ref="S51" si="1269">+S50+R51</f>
        <v>0</v>
      </c>
      <c r="T51" s="9">
        <f t="shared" ref="T51" si="1270">+T50+S51</f>
        <v>0</v>
      </c>
      <c r="U51" s="9">
        <f t="shared" ref="U51" si="1271">+U50+T51</f>
        <v>0</v>
      </c>
      <c r="V51" s="9">
        <f t="shared" ref="V51" si="1272">+V50+U51</f>
        <v>0</v>
      </c>
      <c r="W51" s="9">
        <f t="shared" ref="W51" si="1273">+W50+V51</f>
        <v>0</v>
      </c>
      <c r="X51" s="9">
        <f t="shared" ref="X51" si="1274">+X50+W51</f>
        <v>0</v>
      </c>
      <c r="Y51" s="9">
        <f t="shared" ref="Y51" si="1275">+Y50+X51</f>
        <v>0</v>
      </c>
      <c r="Z51" s="9">
        <f t="shared" ref="Z51" si="1276">+Z50+Y51</f>
        <v>0</v>
      </c>
      <c r="AA51" s="9">
        <f t="shared" ref="AA51" si="1277">+AA50+Z51</f>
        <v>0</v>
      </c>
      <c r="AB51" s="9">
        <f t="shared" ref="AB51" si="1278">+AB50+AA51</f>
        <v>0</v>
      </c>
      <c r="AC51" s="9">
        <f t="shared" ref="AC51" si="1279">+AC50+AB51</f>
        <v>0</v>
      </c>
      <c r="AD51" s="9">
        <f t="shared" ref="AD51" si="1280">+AD50+AC51</f>
        <v>0</v>
      </c>
      <c r="AE51" s="9">
        <f t="shared" ref="AE51" si="1281">+AE50+AD51</f>
        <v>0</v>
      </c>
      <c r="AF51" s="9">
        <f t="shared" ref="AF51" si="1282">+AF50+AE51</f>
        <v>0</v>
      </c>
      <c r="AG51" s="9">
        <f t="shared" ref="AG51" si="1283">+AG50+AF51</f>
        <v>0</v>
      </c>
      <c r="AH51" s="9">
        <f t="shared" ref="AH51" si="1284">+AH50+AG51</f>
        <v>0</v>
      </c>
      <c r="AI51" s="9">
        <f t="shared" ref="AI51" si="1285">+AI50+AH51</f>
        <v>0</v>
      </c>
      <c r="AJ51" s="9">
        <f t="shared" ref="AJ51" si="1286">+AJ50+AI51</f>
        <v>0</v>
      </c>
      <c r="AK51" s="9">
        <f t="shared" ref="AK51" si="1287">+AK50+AJ51</f>
        <v>0</v>
      </c>
      <c r="AL51" s="9">
        <f t="shared" ref="AL51" si="1288">+AL50+AK51</f>
        <v>0</v>
      </c>
      <c r="AM51" s="9">
        <f t="shared" ref="AM51" si="1289">+AM50+AL51</f>
        <v>0</v>
      </c>
      <c r="AN51" s="9">
        <f t="shared" ref="AN51" si="1290">+AN50+AM51</f>
        <v>0</v>
      </c>
      <c r="AO51" s="9">
        <f t="shared" ref="AO51" si="1291">+AO50+AN51</f>
        <v>0</v>
      </c>
      <c r="AP51" s="9">
        <f t="shared" ref="AP51" si="1292">+AP50+AO51</f>
        <v>0</v>
      </c>
      <c r="AQ51" s="9">
        <f t="shared" ref="AQ51" si="1293">+AQ50+AP51</f>
        <v>0</v>
      </c>
      <c r="AR51" s="9">
        <f t="shared" ref="AR51" si="1294">+AR50+AQ51</f>
        <v>0</v>
      </c>
      <c r="AS51" s="9">
        <f t="shared" ref="AS51" si="1295">+AS50+AR51</f>
        <v>0</v>
      </c>
      <c r="AT51" s="9">
        <f t="shared" ref="AT51" si="1296">+AT50+AS51</f>
        <v>0</v>
      </c>
      <c r="AU51" s="9">
        <f t="shared" ref="AU51" si="1297">+AU50+AT51</f>
        <v>0</v>
      </c>
      <c r="AV51" s="9">
        <f t="shared" ref="AV51" si="1298">+AV50+AU51</f>
        <v>0</v>
      </c>
      <c r="AW51" s="9">
        <f t="shared" ref="AW51" si="1299">+AW50+AV51</f>
        <v>0</v>
      </c>
      <c r="AX51" s="9">
        <f t="shared" ref="AX51" si="1300">+AX50+AW51</f>
        <v>0</v>
      </c>
      <c r="AY51" s="9">
        <f t="shared" ref="AY51" si="1301">+AY50+AX51</f>
        <v>0</v>
      </c>
      <c r="AZ51" s="9">
        <f t="shared" ref="AZ51" si="1302">+AZ50+AY51</f>
        <v>0</v>
      </c>
      <c r="BA51" s="9">
        <f t="shared" ref="BA51" si="1303">+BA50+AZ51</f>
        <v>0</v>
      </c>
      <c r="BB51" s="9">
        <f t="shared" ref="BB51" si="1304">+BB50+BA51</f>
        <v>0</v>
      </c>
      <c r="BC51" s="9">
        <f t="shared" ref="BC51" si="1305">+BC50+BB51</f>
        <v>0</v>
      </c>
      <c r="BD51" s="9">
        <f t="shared" ref="BD51" si="1306">+BD50+BC51</f>
        <v>0</v>
      </c>
      <c r="BE51" s="9">
        <f t="shared" ref="BE51" si="1307">+BE50+BD51</f>
        <v>0</v>
      </c>
      <c r="BF51" s="9">
        <f t="shared" ref="BF51" si="1308">+BF50+BE51</f>
        <v>0</v>
      </c>
      <c r="BG51" s="9">
        <f t="shared" ref="BG51" si="1309">+BG50+BF51</f>
        <v>0</v>
      </c>
      <c r="BH51" s="9">
        <f t="shared" ref="BH51" si="1310">+BH50+BG51</f>
        <v>0</v>
      </c>
      <c r="BI51" s="9">
        <f t="shared" ref="BI51" si="1311">+BI50+BH51</f>
        <v>0</v>
      </c>
      <c r="BJ51" s="9">
        <f t="shared" ref="BJ51" si="1312">+BJ50+BI51</f>
        <v>0</v>
      </c>
      <c r="BK51" s="9">
        <f t="shared" ref="BK51" si="1313">+BK50+BJ51</f>
        <v>0</v>
      </c>
      <c r="BL51" s="9">
        <f t="shared" ref="BL51" si="1314">+BL50+BK51</f>
        <v>0</v>
      </c>
      <c r="BM51" s="9">
        <f t="shared" ref="BM51" si="1315">+BM50+BL51</f>
        <v>0</v>
      </c>
      <c r="BN51" s="9">
        <f t="shared" ref="BN51" si="1316">+BN50+BM51</f>
        <v>0</v>
      </c>
      <c r="BO51" s="9">
        <f t="shared" ref="BO51" si="1317">+BO50+BN51</f>
        <v>0</v>
      </c>
      <c r="BP51" s="9">
        <f t="shared" ref="BP51" si="1318">+BP50+BO51</f>
        <v>0</v>
      </c>
      <c r="BQ51" s="9">
        <f t="shared" ref="BQ51" si="1319">+BQ50+BP51</f>
        <v>0</v>
      </c>
      <c r="BR51" s="9">
        <f t="shared" ref="BR51" si="1320">+BR50+BQ51</f>
        <v>0</v>
      </c>
      <c r="BS51" s="9">
        <f t="shared" ref="BS51" si="1321">+BS50+BR51</f>
        <v>0</v>
      </c>
      <c r="BT51" s="9">
        <f t="shared" ref="BT51" si="1322">+BT50+BS51</f>
        <v>0</v>
      </c>
      <c r="BU51" s="9">
        <f t="shared" ref="BU51" si="1323">+BU50+BT51</f>
        <v>0</v>
      </c>
      <c r="BV51" s="9">
        <f t="shared" ref="BV51" si="1324">+BV50+BU51</f>
        <v>0</v>
      </c>
      <c r="BW51" s="9">
        <f t="shared" ref="BW51" si="1325">+BW50+BV51</f>
        <v>340000</v>
      </c>
      <c r="BX51" s="9">
        <f t="shared" ref="BX51" si="1326">+BX50+BW51</f>
        <v>340000</v>
      </c>
      <c r="BY51" s="9">
        <f t="shared" ref="BY51" si="1327">+BY50+BX51</f>
        <v>340000</v>
      </c>
      <c r="BZ51" s="9">
        <f t="shared" ref="BZ51" si="1328">+BZ50+BY51</f>
        <v>340000</v>
      </c>
      <c r="CA51" s="9">
        <f t="shared" ref="CA51" si="1329">+CA50+BZ51</f>
        <v>1020000</v>
      </c>
      <c r="CB51" s="9">
        <f t="shared" ref="CB51" si="1330">+CB50+CA51</f>
        <v>1870000</v>
      </c>
      <c r="CC51" s="9">
        <f t="shared" ref="CC51" si="1331">+CC50+CB51</f>
        <v>2380000</v>
      </c>
      <c r="CD51" s="9">
        <f t="shared" ref="CD51" si="1332">+CD50+CC51</f>
        <v>2380000</v>
      </c>
      <c r="CE51" s="9">
        <f t="shared" ref="CE51" si="1333">+CE50+CD51</f>
        <v>2890000</v>
      </c>
      <c r="CF51" s="9">
        <f t="shared" ref="CF51" si="1334">+CF50+CE51</f>
        <v>2890000</v>
      </c>
      <c r="CG51" s="9">
        <f t="shared" ref="CG51" si="1335">+CG50+CF51</f>
        <v>3400000</v>
      </c>
      <c r="CH51" s="9">
        <f t="shared" ref="CH51" si="1336">+CH50+CG51</f>
        <v>3400000</v>
      </c>
      <c r="CI51" s="9">
        <f t="shared" ref="CI51" si="1337">+CI50+CH51</f>
        <v>3400000</v>
      </c>
      <c r="CJ51" s="9">
        <f t="shared" ref="CJ51" si="1338">+CJ50+CI51</f>
        <v>3400000</v>
      </c>
      <c r="CK51" s="9">
        <f t="shared" ref="CK51" si="1339">+CK50+CJ51</f>
        <v>3400000</v>
      </c>
      <c r="CL51" s="9">
        <f t="shared" ref="CL51" si="1340">+CL50+CK51</f>
        <v>3400000</v>
      </c>
      <c r="CM51" s="9">
        <f t="shared" ref="CM51" si="1341">+CM50+CL51</f>
        <v>3400000</v>
      </c>
      <c r="CN51" s="9">
        <f t="shared" ref="CN51" si="1342">+CN50+CM51</f>
        <v>3400000</v>
      </c>
      <c r="CO51" s="9">
        <f t="shared" ref="CO51" si="1343">+CO50+CN51</f>
        <v>3400000</v>
      </c>
      <c r="CP51" s="9">
        <f t="shared" ref="CP51" si="1344">+CP50+CO51</f>
        <v>3400000</v>
      </c>
      <c r="CQ51" s="9">
        <f t="shared" ref="CQ51" si="1345">+CQ50+CP51</f>
        <v>3400000</v>
      </c>
      <c r="CR51" s="9">
        <f t="shared" ref="CR51" si="1346">+CR50+CQ51</f>
        <v>3400000</v>
      </c>
      <c r="CS51" s="9">
        <f t="shared" ref="CS51" si="1347">+CS50+CR51</f>
        <v>3400000</v>
      </c>
      <c r="CT51" s="9">
        <f t="shared" ref="CT51" si="1348">+CT50+CS51</f>
        <v>3400000</v>
      </c>
      <c r="CU51" s="9">
        <f t="shared" ref="CU51" si="1349">+CU50+CT51</f>
        <v>3400000</v>
      </c>
      <c r="CV51" s="9">
        <f t="shared" ref="CV51" si="1350">+CV50+CU51</f>
        <v>3400000</v>
      </c>
      <c r="CW51" s="9">
        <f t="shared" ref="CW51" si="1351">+CW50+CV51</f>
        <v>3400000</v>
      </c>
      <c r="CX51" s="9">
        <f t="shared" ref="CX51" si="1352">+CX50+CW51</f>
        <v>3400000</v>
      </c>
      <c r="CY51" s="9">
        <f t="shared" ref="CY51" si="1353">+CY50+CX51</f>
        <v>3400000</v>
      </c>
      <c r="CZ51" s="9">
        <f t="shared" ref="CZ51" si="1354">+CZ50+CY51</f>
        <v>3400000</v>
      </c>
      <c r="DA51" s="9">
        <f t="shared" ref="DA51" si="1355">+DA50+CZ51</f>
        <v>3400000</v>
      </c>
      <c r="DB51" s="9">
        <f t="shared" ref="DB51" si="1356">+DB50+DA51</f>
        <v>3400000</v>
      </c>
      <c r="DC51" s="9">
        <f t="shared" ref="DC51" si="1357">+DC50+DB51</f>
        <v>3400000</v>
      </c>
      <c r="DD51" s="9">
        <f t="shared" ref="DD51" si="1358">+DD50+DC51</f>
        <v>3400000</v>
      </c>
      <c r="DE51" s="9">
        <f t="shared" ref="DE51" si="1359">+DE50+DD51</f>
        <v>3400000</v>
      </c>
      <c r="DF51" s="9">
        <f t="shared" ref="DF51" si="1360">+DF50+DE51</f>
        <v>3400000</v>
      </c>
      <c r="DG51" s="9">
        <f t="shared" ref="DG51:DH51" si="1361">+DG50+DF51</f>
        <v>3400000</v>
      </c>
      <c r="DH51" s="9">
        <f t="shared" si="1361"/>
        <v>3400000</v>
      </c>
    </row>
    <row r="52" spans="2:112" x14ac:dyDescent="0.25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</row>
    <row r="53" spans="2:112" x14ac:dyDescent="0.25">
      <c r="F53" s="472">
        <f t="shared" ref="F53:AK53" si="1362">+IF(F$3&lt;$C$57,0,IF(AND(F$3&gt;=$C$57,E53&lt;12, $C$58&gt;=F$3),E53+1,0))</f>
        <v>0</v>
      </c>
      <c r="G53" s="472">
        <f t="shared" si="1362"/>
        <v>0</v>
      </c>
      <c r="H53" s="472">
        <f t="shared" si="1362"/>
        <v>0</v>
      </c>
      <c r="I53" s="472">
        <f t="shared" si="1362"/>
        <v>0</v>
      </c>
      <c r="J53" s="472">
        <f t="shared" si="1362"/>
        <v>0</v>
      </c>
      <c r="K53" s="472">
        <f t="shared" si="1362"/>
        <v>0</v>
      </c>
      <c r="L53" s="472">
        <f t="shared" si="1362"/>
        <v>0</v>
      </c>
      <c r="M53" s="472">
        <f t="shared" si="1362"/>
        <v>0</v>
      </c>
      <c r="N53" s="472">
        <f t="shared" si="1362"/>
        <v>0</v>
      </c>
      <c r="O53" s="472">
        <f t="shared" si="1362"/>
        <v>0</v>
      </c>
      <c r="P53" s="472">
        <f t="shared" si="1362"/>
        <v>0</v>
      </c>
      <c r="Q53" s="472">
        <f t="shared" si="1362"/>
        <v>0</v>
      </c>
      <c r="R53" s="82">
        <f t="shared" si="1362"/>
        <v>0</v>
      </c>
      <c r="S53" s="472">
        <f t="shared" si="1362"/>
        <v>0</v>
      </c>
      <c r="T53" s="472">
        <f t="shared" si="1362"/>
        <v>0</v>
      </c>
      <c r="U53" s="472">
        <f t="shared" si="1362"/>
        <v>0</v>
      </c>
      <c r="V53" s="82">
        <f t="shared" si="1362"/>
        <v>0</v>
      </c>
      <c r="W53" s="82">
        <f t="shared" si="1362"/>
        <v>0</v>
      </c>
      <c r="X53" s="82">
        <f t="shared" si="1362"/>
        <v>0</v>
      </c>
      <c r="Y53" s="82">
        <f t="shared" si="1362"/>
        <v>0</v>
      </c>
      <c r="Z53" s="82">
        <f t="shared" si="1362"/>
        <v>0</v>
      </c>
      <c r="AA53" s="82">
        <f t="shared" si="1362"/>
        <v>0</v>
      </c>
      <c r="AB53" s="82">
        <f t="shared" si="1362"/>
        <v>0</v>
      </c>
      <c r="AC53" s="82">
        <f t="shared" si="1362"/>
        <v>0</v>
      </c>
      <c r="AD53" s="82">
        <f t="shared" si="1362"/>
        <v>0</v>
      </c>
      <c r="AE53" s="82">
        <f t="shared" si="1362"/>
        <v>0</v>
      </c>
      <c r="AF53" s="472">
        <f t="shared" si="1362"/>
        <v>0</v>
      </c>
      <c r="AG53" s="82">
        <f t="shared" si="1362"/>
        <v>0</v>
      </c>
      <c r="AH53" s="472">
        <f t="shared" si="1362"/>
        <v>0</v>
      </c>
      <c r="AI53" s="472">
        <f t="shared" si="1362"/>
        <v>0</v>
      </c>
      <c r="AJ53" s="472">
        <f t="shared" si="1362"/>
        <v>0</v>
      </c>
      <c r="AK53" s="472">
        <f t="shared" si="1362"/>
        <v>0</v>
      </c>
      <c r="AL53" s="472">
        <f t="shared" ref="AL53:BQ53" si="1363">+IF(AL$3&lt;$C$57,0,IF(AND(AL$3&gt;=$C$57,AK53&lt;12, $C$58&gt;=AL$3),AK53+1,0))</f>
        <v>0</v>
      </c>
      <c r="AM53" s="472">
        <f t="shared" si="1363"/>
        <v>0</v>
      </c>
      <c r="AN53" s="472">
        <f t="shared" si="1363"/>
        <v>0</v>
      </c>
      <c r="AO53" s="472">
        <f t="shared" si="1363"/>
        <v>0</v>
      </c>
      <c r="AP53" s="472">
        <f t="shared" si="1363"/>
        <v>0</v>
      </c>
      <c r="AQ53" s="472">
        <f t="shared" si="1363"/>
        <v>0</v>
      </c>
      <c r="AR53" s="472">
        <f t="shared" si="1363"/>
        <v>0</v>
      </c>
      <c r="AS53" s="472">
        <f t="shared" si="1363"/>
        <v>0</v>
      </c>
      <c r="AT53" s="472">
        <f t="shared" si="1363"/>
        <v>0</v>
      </c>
      <c r="AU53" s="472">
        <f t="shared" si="1363"/>
        <v>0</v>
      </c>
      <c r="AV53" s="472">
        <f t="shared" si="1363"/>
        <v>0</v>
      </c>
      <c r="AW53" s="472">
        <f t="shared" si="1363"/>
        <v>0</v>
      </c>
      <c r="AX53" s="472">
        <f t="shared" si="1363"/>
        <v>0</v>
      </c>
      <c r="AY53" s="472">
        <f t="shared" si="1363"/>
        <v>0</v>
      </c>
      <c r="AZ53" s="472">
        <f t="shared" si="1363"/>
        <v>0</v>
      </c>
      <c r="BA53" s="472">
        <f t="shared" si="1363"/>
        <v>0</v>
      </c>
      <c r="BB53" s="472">
        <f t="shared" si="1363"/>
        <v>0</v>
      </c>
      <c r="BC53" s="472">
        <f t="shared" si="1363"/>
        <v>0</v>
      </c>
      <c r="BD53" s="472">
        <f t="shared" si="1363"/>
        <v>0</v>
      </c>
      <c r="BE53" s="472">
        <f t="shared" si="1363"/>
        <v>0</v>
      </c>
      <c r="BF53" s="472">
        <f t="shared" si="1363"/>
        <v>0</v>
      </c>
      <c r="BG53" s="472">
        <f t="shared" si="1363"/>
        <v>0</v>
      </c>
      <c r="BH53" s="472">
        <f t="shared" si="1363"/>
        <v>0</v>
      </c>
      <c r="BI53" s="472">
        <f t="shared" si="1363"/>
        <v>0</v>
      </c>
      <c r="BJ53" s="472">
        <f t="shared" si="1363"/>
        <v>0</v>
      </c>
      <c r="BK53" s="472">
        <f t="shared" si="1363"/>
        <v>0</v>
      </c>
      <c r="BL53" s="472">
        <f t="shared" si="1363"/>
        <v>0</v>
      </c>
      <c r="BM53" s="472">
        <f t="shared" si="1363"/>
        <v>0</v>
      </c>
      <c r="BN53" s="472">
        <f t="shared" si="1363"/>
        <v>0</v>
      </c>
      <c r="BO53" s="472">
        <f t="shared" si="1363"/>
        <v>0</v>
      </c>
      <c r="BP53" s="472">
        <f t="shared" si="1363"/>
        <v>0</v>
      </c>
      <c r="BQ53" s="472">
        <f t="shared" si="1363"/>
        <v>0</v>
      </c>
      <c r="BR53" s="472">
        <f t="shared" ref="BR53:CV53" si="1364">+IF(BR$3&lt;$C$57,0,IF(AND(BR$3&gt;=$C$57,BQ53&lt;12, $C$58&gt;=BR$3),BQ53+1,0))</f>
        <v>0</v>
      </c>
      <c r="BS53" s="472">
        <f t="shared" si="1364"/>
        <v>0</v>
      </c>
      <c r="BT53" s="472">
        <f t="shared" si="1364"/>
        <v>0</v>
      </c>
      <c r="BU53" s="472">
        <f t="shared" si="1364"/>
        <v>0</v>
      </c>
      <c r="BV53" s="472">
        <f t="shared" si="1364"/>
        <v>0</v>
      </c>
      <c r="BW53" s="472">
        <f t="shared" si="1364"/>
        <v>0</v>
      </c>
      <c r="BX53" s="472">
        <f t="shared" si="1364"/>
        <v>0</v>
      </c>
      <c r="BY53" s="472">
        <f t="shared" si="1364"/>
        <v>0</v>
      </c>
      <c r="BZ53" s="472">
        <f t="shared" si="1364"/>
        <v>0</v>
      </c>
      <c r="CA53" s="472">
        <f t="shared" si="1364"/>
        <v>0</v>
      </c>
      <c r="CB53" s="472">
        <f t="shared" si="1364"/>
        <v>0</v>
      </c>
      <c r="CC53" s="472">
        <f t="shared" si="1364"/>
        <v>0</v>
      </c>
      <c r="CD53" s="472">
        <f t="shared" si="1364"/>
        <v>0</v>
      </c>
      <c r="CE53" s="472">
        <f t="shared" si="1364"/>
        <v>0</v>
      </c>
      <c r="CF53" s="472">
        <f t="shared" si="1364"/>
        <v>0</v>
      </c>
      <c r="CG53" s="472">
        <f t="shared" si="1364"/>
        <v>0</v>
      </c>
      <c r="CH53" s="472">
        <f t="shared" si="1364"/>
        <v>0</v>
      </c>
      <c r="CI53" s="472">
        <f t="shared" si="1364"/>
        <v>1</v>
      </c>
      <c r="CJ53" s="472">
        <f t="shared" si="1364"/>
        <v>2</v>
      </c>
      <c r="CK53" s="472">
        <f t="shared" si="1364"/>
        <v>3</v>
      </c>
      <c r="CL53" s="472">
        <f t="shared" si="1364"/>
        <v>4</v>
      </c>
      <c r="CM53" s="472">
        <f t="shared" si="1364"/>
        <v>5</v>
      </c>
      <c r="CN53" s="472">
        <f t="shared" si="1364"/>
        <v>6</v>
      </c>
      <c r="CO53" s="472">
        <f t="shared" si="1364"/>
        <v>7</v>
      </c>
      <c r="CP53" s="472">
        <f t="shared" si="1364"/>
        <v>8</v>
      </c>
      <c r="CQ53" s="472">
        <f t="shared" si="1364"/>
        <v>9</v>
      </c>
      <c r="CR53" s="472">
        <f t="shared" si="1364"/>
        <v>10</v>
      </c>
      <c r="CS53" s="472">
        <f t="shared" si="1364"/>
        <v>11</v>
      </c>
      <c r="CT53" s="472">
        <f t="shared" si="1364"/>
        <v>12</v>
      </c>
      <c r="CU53" s="472">
        <f t="shared" si="1364"/>
        <v>0</v>
      </c>
      <c r="CV53" s="472">
        <f t="shared" si="1364"/>
        <v>0</v>
      </c>
      <c r="CW53" s="472">
        <f t="shared" ref="CW53:DG53" si="1365">+IF(CW$3&lt;$C$57,0,IF(AND(CW$3&gt;=$C$57,CV53&lt;12, $C$58&gt;=CW$3),CV53+1,0))</f>
        <v>0</v>
      </c>
      <c r="CX53" s="472">
        <f t="shared" si="1365"/>
        <v>0</v>
      </c>
      <c r="CY53" s="472">
        <f t="shared" si="1365"/>
        <v>0</v>
      </c>
      <c r="CZ53" s="472">
        <f t="shared" si="1365"/>
        <v>0</v>
      </c>
      <c r="DA53" s="472">
        <f t="shared" si="1365"/>
        <v>0</v>
      </c>
      <c r="DB53" s="472">
        <f t="shared" si="1365"/>
        <v>0</v>
      </c>
      <c r="DC53" s="472">
        <f t="shared" si="1365"/>
        <v>0</v>
      </c>
      <c r="DD53" s="472">
        <f t="shared" si="1365"/>
        <v>0</v>
      </c>
      <c r="DE53" s="472">
        <f t="shared" si="1365"/>
        <v>0</v>
      </c>
      <c r="DF53" s="472">
        <f t="shared" si="1365"/>
        <v>0</v>
      </c>
      <c r="DG53" s="472">
        <f t="shared" si="1365"/>
        <v>0</v>
      </c>
      <c r="DH53" s="472">
        <f t="shared" ref="DH53" si="1366">+IF(DH$3&lt;$C$57,0,IF(AND(DH$3&gt;=$C$57,DG53&lt;12, $C$58&gt;=DH$3),DG53+1,0))</f>
        <v>0</v>
      </c>
    </row>
    <row r="54" spans="2:112" x14ac:dyDescent="0.25">
      <c r="B54" t="s">
        <v>374</v>
      </c>
      <c r="D54" t="s">
        <v>232</v>
      </c>
      <c r="E54" s="422"/>
      <c r="F54" s="422">
        <f>+IFERROR(INDEX(Assumptions!$F$5:$F$16, MATCH(F53, Assumptions!$D$5:$D$16, 0))*$C$55, 0)</f>
        <v>0</v>
      </c>
      <c r="G54" s="422">
        <f>+IFERROR(INDEX(Assumptions!$F$5:$F$16, MATCH(G53, Assumptions!$D$5:$D$16, 0))*$C$55, 0)</f>
        <v>0</v>
      </c>
      <c r="H54" s="422">
        <f>+IFERROR(INDEX(Assumptions!$F$5:$F$16, MATCH(H53, Assumptions!$D$5:$D$16, 0))*$C$55, 0)</f>
        <v>0</v>
      </c>
      <c r="I54" s="422">
        <f>+IFERROR(INDEX(Assumptions!$F$5:$F$16, MATCH(I53, Assumptions!$D$5:$D$16, 0))*$C$55, 0)</f>
        <v>0</v>
      </c>
      <c r="J54" s="422">
        <f>+IFERROR(INDEX(Assumptions!$F$5:$F$16, MATCH(J53, Assumptions!$D$5:$D$16, 0))*$C$55, 0)</f>
        <v>0</v>
      </c>
      <c r="K54" s="422">
        <f>+IFERROR(INDEX(Assumptions!$F$5:$F$16, MATCH(K53, Assumptions!$D$5:$D$16, 0))*$C$55, 0)</f>
        <v>0</v>
      </c>
      <c r="L54" s="422">
        <f>+IFERROR(INDEX(Assumptions!$F$5:$F$16, MATCH(L53, Assumptions!$D$5:$D$16, 0))*$C$55, 0)</f>
        <v>0</v>
      </c>
      <c r="M54" s="422">
        <f>+IFERROR(INDEX(Assumptions!$F$5:$F$16, MATCH(M53, Assumptions!$D$5:$D$16, 0))*$C$55, 0)</f>
        <v>0</v>
      </c>
      <c r="N54" s="422">
        <f>+IFERROR(INDEX(Assumptions!$F$5:$F$16, MATCH(N53, Assumptions!$D$5:$D$16, 0))*$C$55, 0)</f>
        <v>0</v>
      </c>
      <c r="O54" s="422">
        <f>+IFERROR(INDEX(Assumptions!$F$5:$F$16, MATCH(O53, Assumptions!$D$5:$D$16, 0))*$C$55, 0)</f>
        <v>0</v>
      </c>
      <c r="P54" s="422">
        <f>+IFERROR(INDEX(Assumptions!$F$5:$F$16, MATCH(P53, Assumptions!$D$5:$D$16, 0))*$C$55, 0)</f>
        <v>0</v>
      </c>
      <c r="Q54" s="470">
        <f>+IFERROR(INDEX(Assumptions!$F$5:$F$16, MATCH(Q53, Assumptions!$D$5:$D$16, 0))*$C$55, 0)</f>
        <v>0</v>
      </c>
      <c r="R54" s="494">
        <f>+IFERROR(INDEX(Assumptions!$F$5:$F$16, MATCH(R53, Assumptions!$D$5:$D$16, 0))*$C$55, 0)</f>
        <v>0</v>
      </c>
      <c r="S54" s="422">
        <f>+IFERROR(INDEX(Assumptions!$F$5:$F$16, MATCH(S53, Assumptions!$D$5:$D$16, 0))*$C$55, 0)</f>
        <v>0</v>
      </c>
      <c r="T54" s="422">
        <f>+IFERROR(INDEX(Assumptions!$F$5:$F$16, MATCH(T53, Assumptions!$D$5:$D$16, 0))*$C$55, 0)</f>
        <v>0</v>
      </c>
      <c r="U54" s="422">
        <f>+IFERROR(INDEX(Assumptions!$F$5:$F$16, MATCH(U53, Assumptions!$D$5:$D$16, 0))*$C$55, 0)</f>
        <v>0</v>
      </c>
      <c r="V54" s="494">
        <f>+IFERROR(INDEX(Assumptions!$F$5:$F$16, MATCH(V53, Assumptions!$D$5:$D$16, 0))*$C$55, 0)</f>
        <v>0</v>
      </c>
      <c r="W54" s="146">
        <f>+IFERROR(INDEX(Assumptions!$F$5:$F$16, MATCH(W53, Assumptions!$D$5:$D$16, 0))*$C$55, 0)</f>
        <v>0</v>
      </c>
      <c r="X54" s="146">
        <f>+IFERROR(INDEX(Assumptions!$F$5:$F$16, MATCH(X53, Assumptions!$D$5:$D$16, 0))*$C$55, 0)</f>
        <v>0</v>
      </c>
      <c r="Y54" s="146">
        <f>+IFERROR(INDEX(Assumptions!$F$5:$F$16, MATCH(Y53, Assumptions!$D$5:$D$16, 0))*$C$55, 0)</f>
        <v>0</v>
      </c>
      <c r="Z54" s="146">
        <f>+IFERROR(INDEX(Assumptions!$F$5:$F$16, MATCH(Z53, Assumptions!$D$5:$D$16, 0))*$C$55, 0)</f>
        <v>0</v>
      </c>
      <c r="AA54" s="146">
        <f>+IFERROR(INDEX(Assumptions!$F$5:$F$16, MATCH(AA53, Assumptions!$D$5:$D$16, 0))*$C$55, 0)</f>
        <v>0</v>
      </c>
      <c r="AB54" s="146">
        <f>+IFERROR(INDEX(Assumptions!$F$5:$F$16, MATCH(AB53, Assumptions!$D$5:$D$16, 0))*$C$55, 0)</f>
        <v>0</v>
      </c>
      <c r="AC54" s="146">
        <f>+IFERROR(INDEX(Assumptions!$F$5:$F$16, MATCH(AC53, Assumptions!$D$5:$D$16, 0))*$C$55, 0)</f>
        <v>0</v>
      </c>
      <c r="AD54" s="146">
        <f>+IFERROR(INDEX(Assumptions!$F$5:$F$16, MATCH(AD53, Assumptions!$D$5:$D$16, 0))*$C$55, 0)</f>
        <v>0</v>
      </c>
      <c r="AE54" s="146">
        <f>+IFERROR(INDEX(Assumptions!$F$5:$F$16, MATCH(AE53, Assumptions!$D$5:$D$16, 0))*$C$55, 0)</f>
        <v>0</v>
      </c>
      <c r="AF54" s="245">
        <f>+IFERROR(INDEX(Assumptions!$F$5:$F$16, MATCH(AF53, Assumptions!$D$5:$D$16, 0))*$C$55, 0)</f>
        <v>0</v>
      </c>
      <c r="AG54" s="146">
        <f>+IFERROR(INDEX(Assumptions!$F$5:$F$16, MATCH(AG53, Assumptions!$D$5:$D$16, 0))*$C$55, 0)</f>
        <v>0</v>
      </c>
      <c r="AH54" s="245">
        <f>+IFERROR(INDEX(Assumptions!$F$5:$F$16, MATCH(AH53, Assumptions!$D$5:$D$16, 0))*$C$55, 0)</f>
        <v>0</v>
      </c>
      <c r="AI54" s="245">
        <f>+IFERROR(INDEX(Assumptions!$F$5:$F$16, MATCH(AI53, Assumptions!$D$5:$D$16, 0))*$C$55, 0)</f>
        <v>0</v>
      </c>
      <c r="AJ54" s="245">
        <f>+IFERROR(INDEX(Assumptions!$F$5:$F$16, MATCH(AJ53, Assumptions!$D$5:$D$16, 0))*$C$55, 0)</f>
        <v>0</v>
      </c>
      <c r="AK54" s="245">
        <f>+IFERROR(INDEX(Assumptions!$F$5:$F$16, MATCH(AK53, Assumptions!$D$5:$D$16, 0))*$C$55, 0)</f>
        <v>0</v>
      </c>
      <c r="AL54" s="245">
        <f>+IFERROR(INDEX(Assumptions!$F$5:$F$16, MATCH(AL53, Assumptions!$D$5:$D$16, 0))*$C$55, 0)</f>
        <v>0</v>
      </c>
      <c r="AM54" s="245">
        <f>+IFERROR(INDEX(Assumptions!$F$5:$F$16, MATCH(AM53, Assumptions!$D$5:$D$16, 0))*$C$55, 0)</f>
        <v>0</v>
      </c>
      <c r="AN54" s="245">
        <f>+IFERROR(INDEX(Assumptions!$F$5:$F$16, MATCH(AN53, Assumptions!$D$5:$D$16, 0))*$C$55, 0)</f>
        <v>0</v>
      </c>
      <c r="AO54" s="245">
        <f>+IFERROR(INDEX(Assumptions!$F$5:$F$16, MATCH(AO53, Assumptions!$D$5:$D$16, 0))*$C$55, 0)</f>
        <v>0</v>
      </c>
      <c r="AP54" s="245">
        <f>+IFERROR(INDEX(Assumptions!$F$5:$F$16, MATCH(AP53, Assumptions!$D$5:$D$16, 0))*$C$55, 0)</f>
        <v>0</v>
      </c>
      <c r="AQ54" s="245">
        <f>+IFERROR(INDEX(Assumptions!$F$5:$F$16, MATCH(AQ53, Assumptions!$D$5:$D$16, 0))*$C$55, 0)</f>
        <v>0</v>
      </c>
      <c r="AR54" s="245">
        <f>+IFERROR(INDEX(Assumptions!$F$5:$F$16, MATCH(AR53, Assumptions!$D$5:$D$16, 0))*$C$55, 0)</f>
        <v>0</v>
      </c>
      <c r="AS54" s="245">
        <f>+IFERROR(INDEX(Assumptions!$F$5:$F$16, MATCH(AS53, Assumptions!$D$5:$D$16, 0))*$C$55, 0)</f>
        <v>0</v>
      </c>
      <c r="AT54" s="245">
        <f>+IFERROR(INDEX(Assumptions!$F$5:$F$16, MATCH(AT53, Assumptions!$D$5:$D$16, 0))*$C$55, 0)</f>
        <v>0</v>
      </c>
      <c r="AU54" s="245">
        <f>+IFERROR(INDEX(Assumptions!$F$5:$F$16, MATCH(AU53, Assumptions!$D$5:$D$16, 0))*$C$55, 0)</f>
        <v>0</v>
      </c>
      <c r="AV54" s="245">
        <f>+IFERROR(INDEX(Assumptions!$F$5:$F$16, MATCH(AV53, Assumptions!$D$5:$D$16, 0))*$C$55, 0)</f>
        <v>0</v>
      </c>
      <c r="AW54" s="245">
        <f>+IFERROR(INDEX(Assumptions!$F$5:$F$16, MATCH(AW53, Assumptions!$D$5:$D$16, 0))*$C$55, 0)</f>
        <v>0</v>
      </c>
      <c r="AX54" s="245">
        <f>+IFERROR(INDEX(Assumptions!$F$5:$F$16, MATCH(AX53, Assumptions!$D$5:$D$16, 0))*$C$55, 0)</f>
        <v>0</v>
      </c>
      <c r="AY54" s="245">
        <f>+IFERROR(INDEX(Assumptions!$F$5:$F$16, MATCH(AY53, Assumptions!$D$5:$D$16, 0))*$C$55, 0)</f>
        <v>0</v>
      </c>
      <c r="AZ54" s="245">
        <f>+IFERROR(INDEX(Assumptions!$F$5:$F$16, MATCH(AZ53, Assumptions!$D$5:$D$16, 0))*$C$55, 0)</f>
        <v>0</v>
      </c>
      <c r="BA54" s="245">
        <f>+IFERROR(INDEX(Assumptions!$F$5:$F$16, MATCH(BA53, Assumptions!$D$5:$D$16, 0))*$C$55, 0)</f>
        <v>0</v>
      </c>
      <c r="BB54" s="245">
        <f>+IFERROR(INDEX(Assumptions!$F$5:$F$16, MATCH(BB53, Assumptions!$D$5:$D$16, 0))*$C$55, 0)</f>
        <v>0</v>
      </c>
      <c r="BC54" s="245">
        <f>+IFERROR(INDEX(Assumptions!$F$5:$F$16, MATCH(BC53, Assumptions!$D$5:$D$16, 0))*$C$55, 0)</f>
        <v>0</v>
      </c>
      <c r="BD54" s="245">
        <f>+IFERROR(INDEX(Assumptions!$F$5:$F$16, MATCH(BD53, Assumptions!$D$5:$D$16, 0))*$C$55, 0)</f>
        <v>0</v>
      </c>
      <c r="BE54" s="245">
        <f>+IFERROR(INDEX(Assumptions!$F$5:$F$16, MATCH(BE53, Assumptions!$D$5:$D$16, 0))*$C$55, 0)</f>
        <v>0</v>
      </c>
      <c r="BF54" s="245">
        <f>+IFERROR(INDEX(Assumptions!$F$5:$F$16, MATCH(BF53, Assumptions!$D$5:$D$16, 0))*$C$55, 0)</f>
        <v>0</v>
      </c>
      <c r="BG54" s="245">
        <f>+IFERROR(INDEX(Assumptions!$F$5:$F$16, MATCH(BG53, Assumptions!$D$5:$D$16, 0))*$C$55, 0)</f>
        <v>0</v>
      </c>
      <c r="BH54" s="245">
        <f>+IFERROR(INDEX(Assumptions!$F$5:$F$16, MATCH(BH53, Assumptions!$D$5:$D$16, 0))*$C$55, 0)</f>
        <v>0</v>
      </c>
      <c r="BI54" s="245">
        <f>+IFERROR(INDEX(Assumptions!$F$5:$F$16, MATCH(BI53, Assumptions!$D$5:$D$16, 0))*$C$55, 0)</f>
        <v>0</v>
      </c>
      <c r="BJ54" s="245">
        <f>+IFERROR(INDEX(Assumptions!$F$5:$F$16, MATCH(BJ53, Assumptions!$D$5:$D$16, 0))*$C$55, 0)</f>
        <v>0</v>
      </c>
      <c r="BK54" s="245">
        <f>+IFERROR(INDEX(Assumptions!$F$5:$F$16, MATCH(BK53, Assumptions!$D$5:$D$16, 0))*$C$55, 0)</f>
        <v>0</v>
      </c>
      <c r="BL54" s="245">
        <f>+IFERROR(INDEX(Assumptions!$F$5:$F$16, MATCH(BL53, Assumptions!$D$5:$D$16, 0))*$C$55, 0)</f>
        <v>0</v>
      </c>
      <c r="BM54" s="245">
        <f>+IFERROR(INDEX(Assumptions!$F$5:$F$16, MATCH(BM53, Assumptions!$D$5:$D$16, 0))*$C$55, 0)</f>
        <v>0</v>
      </c>
      <c r="BN54" s="245">
        <f>+IFERROR(INDEX(Assumptions!$F$5:$F$16, MATCH(BN53, Assumptions!$D$5:$D$16, 0))*$C$55, 0)</f>
        <v>0</v>
      </c>
      <c r="BO54" s="245">
        <f>+IFERROR(INDEX(Assumptions!$F$5:$F$16, MATCH(BO53, Assumptions!$D$5:$D$16, 0))*$C$55, 0)</f>
        <v>0</v>
      </c>
      <c r="BP54" s="245">
        <f>+IFERROR(INDEX(Assumptions!$F$5:$F$16, MATCH(BP53, Assumptions!$D$5:$D$16, 0))*$C$55, 0)</f>
        <v>0</v>
      </c>
      <c r="BQ54" s="245">
        <f>+IFERROR(INDEX(Assumptions!$F$5:$F$16, MATCH(BQ53, Assumptions!$D$5:$D$16, 0))*$C$55, 0)</f>
        <v>0</v>
      </c>
      <c r="BR54" s="245">
        <f>+IFERROR(INDEX(Assumptions!$F$5:$F$16, MATCH(BR53, Assumptions!$D$5:$D$16, 0))*$C$55, 0)</f>
        <v>0</v>
      </c>
      <c r="BS54" s="245">
        <f>+IFERROR(INDEX(Assumptions!$F$5:$F$16, MATCH(BS53, Assumptions!$D$5:$D$16, 0))*$C$55, 0)</f>
        <v>0</v>
      </c>
      <c r="BT54" s="245">
        <f>+IFERROR(INDEX(Assumptions!$F$5:$F$16, MATCH(BT53, Assumptions!$D$5:$D$16, 0))*$C$55, 0)</f>
        <v>0</v>
      </c>
      <c r="BU54" s="245">
        <f>+IFERROR(INDEX(Assumptions!$F$5:$F$16, MATCH(BU53, Assumptions!$D$5:$D$16, 0))*$C$55, 0)</f>
        <v>0</v>
      </c>
      <c r="BV54" s="245">
        <f>+IFERROR(INDEX(Assumptions!$F$5:$F$16, MATCH(BV53, Assumptions!$D$5:$D$16, 0))*$C$55, 0)</f>
        <v>0</v>
      </c>
      <c r="BW54" s="245">
        <f>+IFERROR(INDEX(Assumptions!$F$5:$F$16, MATCH(BW53, Assumptions!$D$5:$D$16, 0))*$C$55, 0)</f>
        <v>0</v>
      </c>
      <c r="BX54" s="245">
        <f>+IFERROR(INDEX(Assumptions!$F$5:$F$16, MATCH(BX53, Assumptions!$D$5:$D$16, 0))*$C$55, 0)</f>
        <v>0</v>
      </c>
      <c r="BY54" s="245">
        <f>+IFERROR(INDEX(Assumptions!$F$5:$F$16, MATCH(BY53, Assumptions!$D$5:$D$16, 0))*$C$55, 0)</f>
        <v>0</v>
      </c>
      <c r="BZ54" s="245">
        <f>+IFERROR(INDEX(Assumptions!$F$5:$F$16, MATCH(BZ53, Assumptions!$D$5:$D$16, 0))*$C$55, 0)</f>
        <v>0</v>
      </c>
      <c r="CA54" s="245">
        <f>+IFERROR(INDEX(Assumptions!$F$5:$F$16, MATCH(CA53, Assumptions!$D$5:$D$16, 0))*$C$55, 0)</f>
        <v>0</v>
      </c>
      <c r="CB54" s="245">
        <f>+IFERROR(INDEX(Assumptions!$F$5:$F$16, MATCH(CB53, Assumptions!$D$5:$D$16, 0))*$C$55, 0)</f>
        <v>0</v>
      </c>
      <c r="CC54" s="245">
        <f>+IFERROR(INDEX(Assumptions!$F$5:$F$16, MATCH(CC53, Assumptions!$D$5:$D$16, 0))*$C$55, 0)</f>
        <v>0</v>
      </c>
      <c r="CD54" s="245">
        <f>+IFERROR(INDEX(Assumptions!$F$5:$F$16, MATCH(CD53, Assumptions!$D$5:$D$16, 0))*$C$55, 0)</f>
        <v>0</v>
      </c>
      <c r="CE54" s="245">
        <f>+IFERROR(INDEX(Assumptions!$F$5:$F$16, MATCH(CE53, Assumptions!$D$5:$D$16, 0))*$C$55, 0)</f>
        <v>0</v>
      </c>
      <c r="CF54" s="245">
        <f>+IFERROR(INDEX(Assumptions!$F$5:$F$16, MATCH(CF53, Assumptions!$D$5:$D$16, 0))*$C$55, 0)</f>
        <v>0</v>
      </c>
      <c r="CG54" s="245">
        <f>+IFERROR(INDEX(Assumptions!$F$5:$F$16, MATCH(CG53, Assumptions!$D$5:$D$16, 0))*$C$55, 0)</f>
        <v>0</v>
      </c>
      <c r="CH54" s="245">
        <f>+IFERROR(INDEX(Assumptions!$F$5:$F$16, MATCH(CH53, Assumptions!$D$5:$D$16, 0))*$C$55, 0)</f>
        <v>0</v>
      </c>
      <c r="CI54" s="245">
        <f>+IFERROR(INDEX(Assumptions!$F$5:$F$16, MATCH(CI53, Assumptions!$D$5:$D$16, 0))*$C$55, 0)</f>
        <v>0</v>
      </c>
      <c r="CJ54" s="245">
        <f>+IFERROR(INDEX(Assumptions!$F$5:$F$16, MATCH(CJ53, Assumptions!$D$5:$D$16, 0))*$C$55, 0)</f>
        <v>27121.379266602147</v>
      </c>
      <c r="CK54" s="245">
        <f>+IFERROR(INDEX(Assumptions!$F$5:$F$16, MATCH(CK53, Assumptions!$D$5:$D$16, 0))*$C$55, 0)</f>
        <v>3879.0436502556336</v>
      </c>
      <c r="CL54" s="245">
        <f>+IFERROR(INDEX(Assumptions!$F$5:$F$16, MATCH(CL53, Assumptions!$D$5:$D$16, 0))*$C$55, 0)</f>
        <v>160758.50361927011</v>
      </c>
      <c r="CM54" s="245">
        <f>+IFERROR(INDEX(Assumptions!$F$5:$F$16, MATCH(CM53, Assumptions!$D$5:$D$16, 0))*$C$55, 0)</f>
        <v>14511.454406178544</v>
      </c>
      <c r="CN54" s="245">
        <f>+IFERROR(INDEX(Assumptions!$F$5:$F$16, MATCH(CN53, Assumptions!$D$5:$D$16, 0))*$C$55, 0)</f>
        <v>656482.00432367029</v>
      </c>
      <c r="CO54" s="245">
        <f>+IFERROR(INDEX(Assumptions!$F$5:$F$16, MATCH(CO53, Assumptions!$D$5:$D$16, 0))*$C$55, 0)</f>
        <v>1177294.6166110761</v>
      </c>
      <c r="CP54" s="245">
        <f>+IFERROR(INDEX(Assumptions!$F$5:$F$16, MATCH(CP53, Assumptions!$D$5:$D$16, 0))*$C$55, 0)</f>
        <v>793281.50703985221</v>
      </c>
      <c r="CQ54" s="245">
        <f>+IFERROR(INDEX(Assumptions!$F$5:$F$16, MATCH(CQ53, Assumptions!$D$5:$D$16, 0))*$C$55, 0)</f>
        <v>523466.40492788597</v>
      </c>
      <c r="CR54" s="245">
        <f>+IFERROR(INDEX(Assumptions!$F$5:$F$16, MATCH(CR53, Assumptions!$D$5:$D$16, 0))*$C$55, 0)</f>
        <v>109592.88026812972</v>
      </c>
      <c r="CS54" s="245">
        <f>+IFERROR(INDEX(Assumptions!$F$5:$F$16, MATCH(CS53, Assumptions!$D$5:$D$16, 0))*$C$55, 0)</f>
        <v>839262.94020228076</v>
      </c>
      <c r="CT54" s="245">
        <f>+IFERROR(INDEX(Assumptions!$F$5:$F$16, MATCH(CT53, Assumptions!$D$5:$D$16, 0))*$C$55, 0)</f>
        <v>194349.26568479859</v>
      </c>
      <c r="CU54" s="245">
        <f>+IFERROR(INDEX(Assumptions!$F$5:$F$16, MATCH(CU53, Assumptions!$D$5:$D$16, 0))*$C$55, 0)</f>
        <v>0</v>
      </c>
      <c r="CV54" s="245">
        <f>+IFERROR(INDEX(Assumptions!$F$5:$F$16, MATCH(CV53, Assumptions!$D$5:$D$16, 0))*$C$55, 0)</f>
        <v>0</v>
      </c>
      <c r="CW54" s="245">
        <f>+IFERROR(INDEX(Assumptions!$F$5:$F$16, MATCH(CW53, Assumptions!$D$5:$D$16, 0))*$C$55, 0)</f>
        <v>0</v>
      </c>
      <c r="CX54" s="245">
        <f>+IFERROR(INDEX(Assumptions!$F$5:$F$16, MATCH(CX53, Assumptions!$D$5:$D$16, 0))*$C$55, 0)</f>
        <v>0</v>
      </c>
      <c r="CY54" s="245">
        <f>+IFERROR(INDEX(Assumptions!$F$5:$F$16, MATCH(CY53, Assumptions!$D$5:$D$16, 0))*$C$55, 0)</f>
        <v>0</v>
      </c>
      <c r="CZ54" s="245">
        <f>+IFERROR(INDEX(Assumptions!$F$5:$F$16, MATCH(CZ53, Assumptions!$D$5:$D$16, 0))*$C$55, 0)</f>
        <v>0</v>
      </c>
      <c r="DA54" s="245">
        <f>+IFERROR(INDEX(Assumptions!$F$5:$F$16, MATCH(DA53, Assumptions!$D$5:$D$16, 0))*$C$55, 0)</f>
        <v>0</v>
      </c>
      <c r="DB54" s="245">
        <f>+IFERROR(INDEX(Assumptions!$F$5:$F$16, MATCH(DB53, Assumptions!$D$5:$D$16, 0))*$C$55, 0)</f>
        <v>0</v>
      </c>
      <c r="DC54" s="245">
        <f>+IFERROR(INDEX(Assumptions!$F$5:$F$16, MATCH(DC53, Assumptions!$D$5:$D$16, 0))*$C$55, 0)</f>
        <v>0</v>
      </c>
      <c r="DD54" s="245">
        <f>+IFERROR(INDEX(Assumptions!$F$5:$F$16, MATCH(DD53, Assumptions!$D$5:$D$16, 0))*$C$55, 0)</f>
        <v>0</v>
      </c>
      <c r="DE54" s="245">
        <f>+IFERROR(INDEX(Assumptions!$F$5:$F$16, MATCH(DE53, Assumptions!$D$5:$D$16, 0))*$C$55, 0)</f>
        <v>0</v>
      </c>
      <c r="DF54" s="245">
        <f>+IFERROR(INDEX(Assumptions!$F$5:$F$16, MATCH(DF53, Assumptions!$D$5:$D$16, 0))*$C$55, 0)</f>
        <v>0</v>
      </c>
      <c r="DG54" s="245">
        <f>+IFERROR(INDEX(Assumptions!$F$5:$F$16, MATCH(DG53, Assumptions!$D$5:$D$16, 0))*$C$55, 0)</f>
        <v>0</v>
      </c>
      <c r="DH54" s="245">
        <f>+IFERROR(INDEX(Assumptions!$F$5:$F$16, MATCH(DH53, Assumptions!$D$5:$D$16, 0))*$C$55, 0)</f>
        <v>0</v>
      </c>
    </row>
    <row r="55" spans="2:112" x14ac:dyDescent="0.25">
      <c r="B55" t="s">
        <v>230</v>
      </c>
      <c r="C55" s="196">
        <v>4500000</v>
      </c>
      <c r="D55" t="s">
        <v>282</v>
      </c>
      <c r="E55" s="422"/>
      <c r="F55" s="422">
        <f t="shared" ref="F55" si="1367">+F54+E55</f>
        <v>0</v>
      </c>
      <c r="G55" s="422">
        <f t="shared" ref="G55" si="1368">+G54+F55</f>
        <v>0</v>
      </c>
      <c r="H55" s="422">
        <f t="shared" ref="H55" si="1369">+H54+G55</f>
        <v>0</v>
      </c>
      <c r="I55" s="422">
        <f t="shared" ref="I55" si="1370">+I54+H55</f>
        <v>0</v>
      </c>
      <c r="J55" s="422">
        <f t="shared" ref="J55" si="1371">+J54+I55</f>
        <v>0</v>
      </c>
      <c r="K55" s="422">
        <f t="shared" ref="K55" si="1372">+K54+J55</f>
        <v>0</v>
      </c>
      <c r="L55" s="422">
        <f t="shared" ref="L55" si="1373">+L54+K55</f>
        <v>0</v>
      </c>
      <c r="M55" s="422">
        <f t="shared" ref="M55" si="1374">+M54+L55</f>
        <v>0</v>
      </c>
      <c r="N55" s="422">
        <f t="shared" ref="N55" si="1375">+N54+M55</f>
        <v>0</v>
      </c>
      <c r="O55" s="422">
        <f t="shared" ref="O55" si="1376">+O54+N55</f>
        <v>0</v>
      </c>
      <c r="P55" s="422">
        <f t="shared" ref="P55" si="1377">+P54+O55</f>
        <v>0</v>
      </c>
      <c r="Q55" s="422">
        <f t="shared" ref="Q55" si="1378">+Q54+P55</f>
        <v>0</v>
      </c>
      <c r="R55" s="494">
        <f t="shared" ref="R55" si="1379">+R54+Q55</f>
        <v>0</v>
      </c>
      <c r="S55" s="422">
        <f t="shared" ref="S55" si="1380">+S54+R55</f>
        <v>0</v>
      </c>
      <c r="T55" s="422">
        <f t="shared" ref="T55" si="1381">+T54+S55</f>
        <v>0</v>
      </c>
      <c r="U55" s="422">
        <f t="shared" ref="U55" si="1382">+U54+T55</f>
        <v>0</v>
      </c>
      <c r="V55" s="494">
        <f t="shared" ref="V55" si="1383">+V54+U55</f>
        <v>0</v>
      </c>
      <c r="W55" s="146">
        <f t="shared" ref="W55:AK55" si="1384">+W54+V55</f>
        <v>0</v>
      </c>
      <c r="X55" s="146">
        <f t="shared" si="1384"/>
        <v>0</v>
      </c>
      <c r="Y55" s="146">
        <f t="shared" si="1384"/>
        <v>0</v>
      </c>
      <c r="Z55" s="146">
        <f t="shared" si="1384"/>
        <v>0</v>
      </c>
      <c r="AA55" s="146">
        <f t="shared" si="1384"/>
        <v>0</v>
      </c>
      <c r="AB55" s="146">
        <f t="shared" si="1384"/>
        <v>0</v>
      </c>
      <c r="AC55" s="146">
        <f t="shared" si="1384"/>
        <v>0</v>
      </c>
      <c r="AD55" s="146">
        <f t="shared" si="1384"/>
        <v>0</v>
      </c>
      <c r="AE55" s="146">
        <f t="shared" si="1384"/>
        <v>0</v>
      </c>
      <c r="AF55" s="245">
        <f t="shared" si="1384"/>
        <v>0</v>
      </c>
      <c r="AG55" s="146">
        <f t="shared" si="1384"/>
        <v>0</v>
      </c>
      <c r="AH55" s="245">
        <f t="shared" si="1384"/>
        <v>0</v>
      </c>
      <c r="AI55" s="245">
        <f t="shared" si="1384"/>
        <v>0</v>
      </c>
      <c r="AJ55" s="245">
        <f t="shared" si="1384"/>
        <v>0</v>
      </c>
      <c r="AK55" s="245">
        <f t="shared" si="1384"/>
        <v>0</v>
      </c>
      <c r="AL55" s="245">
        <f t="shared" ref="AL55" si="1385">+AL54+AK55</f>
        <v>0</v>
      </c>
      <c r="AM55" s="245">
        <f t="shared" ref="AM55" si="1386">+AM54+AL55</f>
        <v>0</v>
      </c>
      <c r="AN55" s="245">
        <f t="shared" ref="AN55" si="1387">+AN54+AM55</f>
        <v>0</v>
      </c>
      <c r="AO55" s="245">
        <f t="shared" ref="AO55" si="1388">+AO54+AN55</f>
        <v>0</v>
      </c>
      <c r="AP55" s="245">
        <f t="shared" ref="AP55" si="1389">+AP54+AO55</f>
        <v>0</v>
      </c>
      <c r="AQ55" s="245">
        <f t="shared" ref="AQ55" si="1390">+AQ54+AP55</f>
        <v>0</v>
      </c>
      <c r="AR55" s="245">
        <f t="shared" ref="AR55" si="1391">+AR54+AQ55</f>
        <v>0</v>
      </c>
      <c r="AS55" s="245">
        <f t="shared" ref="AS55" si="1392">+AS54+AR55</f>
        <v>0</v>
      </c>
      <c r="AT55" s="245">
        <f t="shared" ref="AT55" si="1393">+AT54+AS55</f>
        <v>0</v>
      </c>
      <c r="AU55" s="245">
        <f t="shared" ref="AU55" si="1394">+AU54+AT55</f>
        <v>0</v>
      </c>
      <c r="AV55" s="245">
        <f t="shared" ref="AV55" si="1395">+AV54+AU55</f>
        <v>0</v>
      </c>
      <c r="AW55" s="245">
        <f t="shared" ref="AW55" si="1396">+AW54+AV55</f>
        <v>0</v>
      </c>
      <c r="AX55" s="245">
        <f t="shared" ref="AX55" si="1397">+AX54+AW55</f>
        <v>0</v>
      </c>
      <c r="AY55" s="245">
        <f t="shared" ref="AY55" si="1398">+AY54+AX55</f>
        <v>0</v>
      </c>
      <c r="AZ55" s="245">
        <f t="shared" ref="AZ55" si="1399">+AZ54+AY55</f>
        <v>0</v>
      </c>
      <c r="BA55" s="245">
        <f t="shared" ref="BA55" si="1400">+BA54+AZ55</f>
        <v>0</v>
      </c>
      <c r="BB55" s="245">
        <f t="shared" ref="BB55" si="1401">+BB54+BA55</f>
        <v>0</v>
      </c>
      <c r="BC55" s="245">
        <f t="shared" ref="BC55" si="1402">+BC54+BB55</f>
        <v>0</v>
      </c>
      <c r="BD55" s="245">
        <f t="shared" ref="BD55" si="1403">+BD54+BC55</f>
        <v>0</v>
      </c>
      <c r="BE55" s="245">
        <f t="shared" ref="BE55" si="1404">+BE54+BD55</f>
        <v>0</v>
      </c>
      <c r="BF55" s="245">
        <f t="shared" ref="BF55" si="1405">+BF54+BE55</f>
        <v>0</v>
      </c>
      <c r="BG55" s="245">
        <f t="shared" ref="BG55" si="1406">+BG54+BF55</f>
        <v>0</v>
      </c>
      <c r="BH55" s="245">
        <f t="shared" ref="BH55" si="1407">+BH54+BG55</f>
        <v>0</v>
      </c>
      <c r="BI55" s="245">
        <f t="shared" ref="BI55" si="1408">+BI54+BH55</f>
        <v>0</v>
      </c>
      <c r="BJ55" s="245">
        <f t="shared" ref="BJ55" si="1409">+BJ54+BI55</f>
        <v>0</v>
      </c>
      <c r="BK55" s="245">
        <f t="shared" ref="BK55" si="1410">+BK54+BJ55</f>
        <v>0</v>
      </c>
      <c r="BL55" s="245">
        <f t="shared" ref="BL55" si="1411">+BL54+BK55</f>
        <v>0</v>
      </c>
      <c r="BM55" s="245">
        <f t="shared" ref="BM55" si="1412">+BM54+BL55</f>
        <v>0</v>
      </c>
      <c r="BN55" s="245">
        <f t="shared" ref="BN55" si="1413">+BN54+BM55</f>
        <v>0</v>
      </c>
      <c r="BO55" s="245">
        <f t="shared" ref="BO55" si="1414">+BO54+BN55</f>
        <v>0</v>
      </c>
      <c r="BP55" s="245">
        <f t="shared" ref="BP55" si="1415">+BP54+BO55</f>
        <v>0</v>
      </c>
      <c r="BQ55" s="245">
        <f t="shared" ref="BQ55" si="1416">+BQ54+BP55</f>
        <v>0</v>
      </c>
      <c r="BR55" s="245">
        <f t="shared" ref="BR55" si="1417">+BR54+BQ55</f>
        <v>0</v>
      </c>
      <c r="BS55" s="245">
        <f t="shared" ref="BS55" si="1418">+BS54+BR55</f>
        <v>0</v>
      </c>
      <c r="BT55" s="245">
        <f t="shared" ref="BT55" si="1419">+BT54+BS55</f>
        <v>0</v>
      </c>
      <c r="BU55" s="245">
        <f t="shared" ref="BU55" si="1420">+BU54+BT55</f>
        <v>0</v>
      </c>
      <c r="BV55" s="245">
        <f t="shared" ref="BV55" si="1421">+BV54+BU55</f>
        <v>0</v>
      </c>
      <c r="BW55" s="245">
        <f t="shared" ref="BW55" si="1422">+BW54+BV55</f>
        <v>0</v>
      </c>
      <c r="BX55" s="245">
        <f t="shared" ref="BX55" si="1423">+BX54+BW55</f>
        <v>0</v>
      </c>
      <c r="BY55" s="245">
        <f t="shared" ref="BY55" si="1424">+BY54+BX55</f>
        <v>0</v>
      </c>
      <c r="BZ55" s="245">
        <f t="shared" ref="BZ55" si="1425">+BZ54+BY55</f>
        <v>0</v>
      </c>
      <c r="CA55" s="245">
        <f t="shared" ref="CA55" si="1426">+CA54+BZ55</f>
        <v>0</v>
      </c>
      <c r="CB55" s="245">
        <f t="shared" ref="CB55" si="1427">+CB54+CA55</f>
        <v>0</v>
      </c>
      <c r="CC55" s="245">
        <f t="shared" ref="CC55" si="1428">+CC54+CB55</f>
        <v>0</v>
      </c>
      <c r="CD55" s="245">
        <f t="shared" ref="CD55" si="1429">+CD54+CC55</f>
        <v>0</v>
      </c>
      <c r="CE55" s="245">
        <f t="shared" ref="CE55" si="1430">+CE54+CD55</f>
        <v>0</v>
      </c>
      <c r="CF55" s="245">
        <f t="shared" ref="CF55" si="1431">+CF54+CE55</f>
        <v>0</v>
      </c>
      <c r="CG55" s="245">
        <f t="shared" ref="CG55" si="1432">+CG54+CF55</f>
        <v>0</v>
      </c>
      <c r="CH55" s="245">
        <f t="shared" ref="CH55" si="1433">+CH54+CG55</f>
        <v>0</v>
      </c>
      <c r="CI55" s="245">
        <f t="shared" ref="CI55" si="1434">+CI54+CH55</f>
        <v>0</v>
      </c>
      <c r="CJ55" s="245">
        <f t="shared" ref="CJ55" si="1435">+CJ54+CI55</f>
        <v>27121.379266602147</v>
      </c>
      <c r="CK55" s="245">
        <f t="shared" ref="CK55" si="1436">+CK54+CJ55</f>
        <v>31000.42291685778</v>
      </c>
      <c r="CL55" s="245">
        <f t="shared" ref="CL55" si="1437">+CL54+CK55</f>
        <v>191758.9265361279</v>
      </c>
      <c r="CM55" s="245">
        <f t="shared" ref="CM55" si="1438">+CM54+CL55</f>
        <v>206270.38094230645</v>
      </c>
      <c r="CN55" s="245">
        <f t="shared" ref="CN55" si="1439">+CN54+CM55</f>
        <v>862752.38526597677</v>
      </c>
      <c r="CO55" s="245">
        <f t="shared" ref="CO55" si="1440">+CO54+CN55</f>
        <v>2040047.0018770527</v>
      </c>
      <c r="CP55" s="245">
        <f t="shared" ref="CP55" si="1441">+CP54+CO55</f>
        <v>2833328.5089169051</v>
      </c>
      <c r="CQ55" s="245">
        <f t="shared" ref="CQ55" si="1442">+CQ54+CP55</f>
        <v>3356794.9138447912</v>
      </c>
      <c r="CR55" s="245">
        <f t="shared" ref="CR55" si="1443">+CR54+CQ55</f>
        <v>3466387.7941129208</v>
      </c>
      <c r="CS55" s="245">
        <f t="shared" ref="CS55" si="1444">+CS54+CR55</f>
        <v>4305650.7343152016</v>
      </c>
      <c r="CT55" s="245">
        <f t="shared" ref="CT55" si="1445">+CT54+CS55</f>
        <v>4500000</v>
      </c>
      <c r="CU55" s="245">
        <f t="shared" ref="CU55" si="1446">+CU54+CT55</f>
        <v>4500000</v>
      </c>
      <c r="CV55" s="245">
        <f t="shared" ref="CV55" si="1447">+CV54+CU55</f>
        <v>4500000</v>
      </c>
      <c r="CW55" s="245">
        <f t="shared" ref="CW55" si="1448">+CW54+CV55</f>
        <v>4500000</v>
      </c>
      <c r="CX55" s="245">
        <f t="shared" ref="CX55" si="1449">+CX54+CW55</f>
        <v>4500000</v>
      </c>
      <c r="CY55" s="245">
        <f t="shared" ref="CY55" si="1450">+CY54+CX55</f>
        <v>4500000</v>
      </c>
      <c r="CZ55" s="245">
        <f t="shared" ref="CZ55" si="1451">+CZ54+CY55</f>
        <v>4500000</v>
      </c>
      <c r="DA55" s="245">
        <f t="shared" ref="DA55" si="1452">+DA54+CZ55</f>
        <v>4500000</v>
      </c>
      <c r="DB55" s="245">
        <f t="shared" ref="DB55" si="1453">+DB54+DA55</f>
        <v>4500000</v>
      </c>
      <c r="DC55" s="245">
        <f t="shared" ref="DC55" si="1454">+DC54+DB55</f>
        <v>4500000</v>
      </c>
      <c r="DD55" s="245">
        <f t="shared" ref="DD55" si="1455">+DD54+DC55</f>
        <v>4500000</v>
      </c>
      <c r="DE55" s="245">
        <f t="shared" ref="DE55" si="1456">+DE54+DD55</f>
        <v>4500000</v>
      </c>
      <c r="DF55" s="245">
        <f t="shared" ref="DF55" si="1457">+DF54+DE55</f>
        <v>4500000</v>
      </c>
      <c r="DG55" s="245">
        <f t="shared" ref="DG55:DH55" si="1458">+DG54+DF55</f>
        <v>4500000</v>
      </c>
      <c r="DH55" s="245">
        <f t="shared" si="1458"/>
        <v>4500000</v>
      </c>
    </row>
    <row r="56" spans="2:112" x14ac:dyDescent="0.25">
      <c r="B56" t="s">
        <v>233</v>
      </c>
      <c r="C56" s="196">
        <v>1500000</v>
      </c>
      <c r="D56" t="s">
        <v>231</v>
      </c>
      <c r="E56" s="423"/>
      <c r="F56" s="422">
        <f>+IFERROR(INDEX(Assumptions!$E$18:$E$29, MATCH(F53, Assumptions!$D$18:$D$29, 0))*$C$56, 0)</f>
        <v>0</v>
      </c>
      <c r="G56" s="422">
        <f>+IFERROR(INDEX(Assumptions!$E$18:$E$29, MATCH(G53, Assumptions!$D$18:$D$29, 0))*$C$56, 0)</f>
        <v>0</v>
      </c>
      <c r="H56" s="422">
        <f>+IFERROR(INDEX(Assumptions!$E$18:$E$29, MATCH(H53, Assumptions!$D$18:$D$29, 0))*$C$56, 0)</f>
        <v>0</v>
      </c>
      <c r="I56" s="422">
        <f>+IFERROR(INDEX(Assumptions!$E$18:$E$29, MATCH(I53, Assumptions!$D$18:$D$29, 0))*$C$56, 0)</f>
        <v>0</v>
      </c>
      <c r="J56" s="422">
        <f>+IFERROR(INDEX(Assumptions!$E$18:$E$29, MATCH(J53, Assumptions!$D$18:$D$29, 0))*$C$56, 0)</f>
        <v>0</v>
      </c>
      <c r="K56" s="422">
        <f>+IFERROR(INDEX(Assumptions!$E$18:$E$29, MATCH(K53, Assumptions!$D$18:$D$29, 0))*$C$56, 0)</f>
        <v>0</v>
      </c>
      <c r="L56" s="422">
        <f>+IFERROR(INDEX(Assumptions!$E$18:$E$29, MATCH(L53, Assumptions!$D$18:$D$29, 0))*$C$56, 0)</f>
        <v>0</v>
      </c>
      <c r="M56" s="422">
        <f>+IFERROR(INDEX(Assumptions!$E$18:$E$29, MATCH(M53, Assumptions!$D$18:$D$29, 0))*$C$56, 0)</f>
        <v>0</v>
      </c>
      <c r="N56" s="422">
        <f>+IFERROR(INDEX(Assumptions!$E$18:$E$29, MATCH(N53, Assumptions!$D$18:$D$29, 0))*$C$56, 0)</f>
        <v>0</v>
      </c>
      <c r="O56" s="422">
        <f>+IFERROR(INDEX(Assumptions!$E$18:$E$29, MATCH(O53, Assumptions!$D$18:$D$29, 0))*$C$56, 0)</f>
        <v>0</v>
      </c>
      <c r="P56" s="422">
        <f>+IFERROR(INDEX(Assumptions!$E$18:$E$29, MATCH(P53, Assumptions!$D$18:$D$29, 0))*$C$56, 0)</f>
        <v>0</v>
      </c>
      <c r="Q56" s="422">
        <f>+IFERROR(INDEX(Assumptions!$E$18:$E$29, MATCH(Q53, Assumptions!$D$18:$D$29, 0))*$C$56, 0)</f>
        <v>0</v>
      </c>
      <c r="R56" s="494">
        <f>+IFERROR(INDEX(Assumptions!$E$18:$E$29, MATCH(R53, Assumptions!$D$18:$D$29, 0))*$C$56, 0)</f>
        <v>0</v>
      </c>
      <c r="S56" s="422">
        <f>+IFERROR(INDEX(Assumptions!$E$18:$E$29, MATCH(S53, Assumptions!$D$18:$D$29, 0))*$C$56, 0)</f>
        <v>0</v>
      </c>
      <c r="T56" s="422">
        <f>+IFERROR(INDEX(Assumptions!$E$18:$E$29, MATCH(T53, Assumptions!$D$18:$D$29, 0))*$C$56, 0)</f>
        <v>0</v>
      </c>
      <c r="U56" s="422">
        <f>+IFERROR(INDEX(Assumptions!$E$18:$E$29, MATCH(U53, Assumptions!$D$18:$D$29, 0))*$C$56, 0)</f>
        <v>0</v>
      </c>
      <c r="V56" s="422">
        <f>+IFERROR(INDEX(Assumptions!$E$18:$E$29, MATCH(V53, Assumptions!$D$18:$D$29, 0))*$C$56, 0)</f>
        <v>0</v>
      </c>
      <c r="W56" s="494">
        <f>+IFERROR(INDEX(Assumptions!$E$18:$E$29, MATCH(W53, Assumptions!$D$18:$D$29, 0))*$C$56, 0)</f>
        <v>0</v>
      </c>
      <c r="X56" s="494">
        <f>+IFERROR(INDEX(Assumptions!$E$18:$E$29, MATCH(X53, Assumptions!$D$18:$D$29, 0))*$C$56, 0)</f>
        <v>0</v>
      </c>
      <c r="Y56" s="494">
        <f>+IFERROR(INDEX(Assumptions!$E$18:$E$29, MATCH(Y53, Assumptions!$D$18:$D$29, 0))*$C$56, 0)</f>
        <v>0</v>
      </c>
      <c r="Z56" s="494">
        <f>+IFERROR(INDEX(Assumptions!$E$18:$E$29, MATCH(Z53, Assumptions!$D$18:$D$29, 0))*$C$56, 0)</f>
        <v>0</v>
      </c>
      <c r="AA56" s="494">
        <f>+IFERROR(INDEX(Assumptions!$E$18:$E$29, MATCH(AA53, Assumptions!$D$18:$D$29, 0))*$C$56, 0)</f>
        <v>0</v>
      </c>
      <c r="AB56" s="494">
        <f>+IFERROR(INDEX(Assumptions!$E$18:$E$29, MATCH(AB53, Assumptions!$D$18:$D$29, 0))*$C$56, 0)</f>
        <v>0</v>
      </c>
      <c r="AC56" s="494">
        <f>+IFERROR(INDEX(Assumptions!$E$18:$E$29, MATCH(AC53, Assumptions!$D$18:$D$29, 0))*$C$56, 0)</f>
        <v>0</v>
      </c>
      <c r="AD56" s="494">
        <f>+IFERROR(INDEX(Assumptions!$E$18:$E$29, MATCH(AD53, Assumptions!$D$18:$D$29, 0))*$C$56, 0)</f>
        <v>0</v>
      </c>
      <c r="AE56" s="494">
        <f>+IFERROR(INDEX(Assumptions!$E$18:$E$29, MATCH(AE53, Assumptions!$D$18:$D$29, 0))*$C$56, 0)</f>
        <v>0</v>
      </c>
      <c r="AF56" s="422">
        <f>+IFERROR(INDEX(Assumptions!$E$18:$E$29, MATCH(AF53, Assumptions!$D$18:$D$29, 0))*$C$56, 0)</f>
        <v>0</v>
      </c>
      <c r="AG56" s="494">
        <f>+IFERROR(INDEX(Assumptions!$E$18:$E$29, MATCH(AG53, Assumptions!$D$18:$D$29, 0))*$C$56, 0)</f>
        <v>0</v>
      </c>
      <c r="AH56" s="422">
        <f>+IFERROR(INDEX(Assumptions!$E$18:$E$29, MATCH(AH53, Assumptions!$D$18:$D$29, 0))*$C$56, 0)</f>
        <v>0</v>
      </c>
      <c r="AI56" s="422">
        <f>+IFERROR(INDEX(Assumptions!$E$18:$E$29, MATCH(AI53, Assumptions!$D$18:$D$29, 0))*$C$56, 0)</f>
        <v>0</v>
      </c>
      <c r="AJ56" s="422">
        <f>+IFERROR(INDEX(Assumptions!$E$18:$E$29, MATCH(AJ53, Assumptions!$D$18:$D$29, 0))*$C$56, 0)</f>
        <v>0</v>
      </c>
      <c r="AK56" s="422">
        <f>+IFERROR(INDEX(Assumptions!$E$18:$E$29, MATCH(AK53, Assumptions!$D$18:$D$29, 0))*$C$56, 0)</f>
        <v>0</v>
      </c>
      <c r="AL56" s="422">
        <f>+IFERROR(INDEX(Assumptions!$E$18:$E$29, MATCH(AL53, Assumptions!$D$18:$D$29, 0))*$C$56, 0)</f>
        <v>0</v>
      </c>
      <c r="AM56" s="422">
        <f>+IFERROR(INDEX(Assumptions!$E$18:$E$29, MATCH(AM53, Assumptions!$D$18:$D$29, 0))*$C$56, 0)</f>
        <v>0</v>
      </c>
      <c r="AN56" s="422">
        <f>+IFERROR(INDEX(Assumptions!$E$18:$E$29, MATCH(AN53, Assumptions!$D$18:$D$29, 0))*$C$56, 0)</f>
        <v>0</v>
      </c>
      <c r="AO56" s="422">
        <f>+IFERROR(INDEX(Assumptions!$E$18:$E$29, MATCH(AO53, Assumptions!$D$18:$D$29, 0))*$C$56, 0)</f>
        <v>0</v>
      </c>
      <c r="AP56" s="422">
        <f>+IFERROR(INDEX(Assumptions!$E$18:$E$29, MATCH(AP53, Assumptions!$D$18:$D$29, 0))*$C$56, 0)</f>
        <v>0</v>
      </c>
      <c r="AQ56" s="422">
        <f>+IFERROR(INDEX(Assumptions!$E$18:$E$29, MATCH(AQ53, Assumptions!$D$18:$D$29, 0))*$C$56, 0)</f>
        <v>0</v>
      </c>
      <c r="AR56" s="422">
        <f>+IFERROR(INDEX(Assumptions!$E$18:$E$29, MATCH(AR53, Assumptions!$D$18:$D$29, 0))*$C$56, 0)</f>
        <v>0</v>
      </c>
      <c r="AS56" s="422">
        <f>+IFERROR(INDEX(Assumptions!$E$18:$E$29, MATCH(AS53, Assumptions!$D$18:$D$29, 0))*$C$56, 0)</f>
        <v>0</v>
      </c>
      <c r="AT56" s="422">
        <f>+IFERROR(INDEX(Assumptions!$E$18:$E$29, MATCH(AT53, Assumptions!$D$18:$D$29, 0))*$C$56, 0)</f>
        <v>0</v>
      </c>
      <c r="AU56" s="422">
        <f>+IFERROR(INDEX(Assumptions!$E$18:$E$29, MATCH(AU53, Assumptions!$D$18:$D$29, 0))*$C$56, 0)</f>
        <v>0</v>
      </c>
      <c r="AV56" s="422">
        <f>+IFERROR(INDEX(Assumptions!$E$18:$E$29, MATCH(AV53, Assumptions!$D$18:$D$29, 0))*$C$56, 0)</f>
        <v>0</v>
      </c>
      <c r="AW56" s="422">
        <f>+IFERROR(INDEX(Assumptions!$E$18:$E$29, MATCH(AW53, Assumptions!$D$18:$D$29, 0))*$C$56, 0)</f>
        <v>0</v>
      </c>
      <c r="AX56" s="422">
        <f>+IFERROR(INDEX(Assumptions!$E$18:$E$29, MATCH(AX53, Assumptions!$D$18:$D$29, 0))*$C$56, 0)</f>
        <v>0</v>
      </c>
      <c r="AY56" s="422">
        <f>+IFERROR(INDEX(Assumptions!$E$18:$E$29, MATCH(AY53, Assumptions!$D$18:$D$29, 0))*$C$56, 0)</f>
        <v>0</v>
      </c>
      <c r="AZ56" s="422">
        <f>+IFERROR(INDEX(Assumptions!$E$18:$E$29, MATCH(AZ53, Assumptions!$D$18:$D$29, 0))*$C$56, 0)</f>
        <v>0</v>
      </c>
      <c r="BA56" s="422">
        <f>+IFERROR(INDEX(Assumptions!$E$18:$E$29, MATCH(BA53, Assumptions!$D$18:$D$29, 0))*$C$56, 0)</f>
        <v>0</v>
      </c>
      <c r="BB56" s="422">
        <f>+IFERROR(INDEX(Assumptions!$E$18:$E$29, MATCH(BB53, Assumptions!$D$18:$D$29, 0))*$C$56, 0)</f>
        <v>0</v>
      </c>
      <c r="BC56" s="422">
        <f>+IFERROR(INDEX(Assumptions!$E$18:$E$29, MATCH(BC53, Assumptions!$D$18:$D$29, 0))*$C$56, 0)</f>
        <v>0</v>
      </c>
      <c r="BD56" s="422">
        <f>+IFERROR(INDEX(Assumptions!$E$18:$E$29, MATCH(BD53, Assumptions!$D$18:$D$29, 0))*$C$56, 0)</f>
        <v>0</v>
      </c>
      <c r="BE56" s="422">
        <f>+IFERROR(INDEX(Assumptions!$E$18:$E$29, MATCH(BE53, Assumptions!$D$18:$D$29, 0))*$C$56, 0)</f>
        <v>0</v>
      </c>
      <c r="BF56" s="422">
        <f>+IFERROR(INDEX(Assumptions!$E$18:$E$29, MATCH(BF53, Assumptions!$D$18:$D$29, 0))*$C$56, 0)</f>
        <v>0</v>
      </c>
      <c r="BG56" s="422">
        <f>+IFERROR(INDEX(Assumptions!$E$18:$E$29, MATCH(BG53, Assumptions!$D$18:$D$29, 0))*$C$56, 0)</f>
        <v>0</v>
      </c>
      <c r="BH56" s="422">
        <f>+IFERROR(INDEX(Assumptions!$E$18:$E$29, MATCH(BH53, Assumptions!$D$18:$D$29, 0))*$C$56, 0)</f>
        <v>0</v>
      </c>
      <c r="BI56" s="422">
        <f>+IFERROR(INDEX(Assumptions!$E$18:$E$29, MATCH(BI53, Assumptions!$D$18:$D$29, 0))*$C$56, 0)</f>
        <v>0</v>
      </c>
      <c r="BJ56" s="422">
        <f>+IFERROR(INDEX(Assumptions!$E$18:$E$29, MATCH(BJ53, Assumptions!$D$18:$D$29, 0))*$C$56, 0)</f>
        <v>0</v>
      </c>
      <c r="BK56" s="422">
        <f>+IFERROR(INDEX(Assumptions!$E$18:$E$29, MATCH(BK53, Assumptions!$D$18:$D$29, 0))*$C$56, 0)</f>
        <v>0</v>
      </c>
      <c r="BL56" s="422">
        <f>+IFERROR(INDEX(Assumptions!$E$18:$E$29, MATCH(BL53, Assumptions!$D$18:$D$29, 0))*$C$56, 0)</f>
        <v>0</v>
      </c>
      <c r="BM56" s="422">
        <f>+IFERROR(INDEX(Assumptions!$E$18:$E$29, MATCH(BM53, Assumptions!$D$18:$D$29, 0))*$C$56, 0)</f>
        <v>0</v>
      </c>
      <c r="BN56" s="422">
        <f>+IFERROR(INDEX(Assumptions!$E$18:$E$29, MATCH(BN53, Assumptions!$D$18:$D$29, 0))*$C$56, 0)</f>
        <v>0</v>
      </c>
      <c r="BO56" s="422">
        <f>+IFERROR(INDEX(Assumptions!$E$18:$E$29, MATCH(BO53, Assumptions!$D$18:$D$29, 0))*$C$56, 0)</f>
        <v>0</v>
      </c>
      <c r="BP56" s="422">
        <f>+IFERROR(INDEX(Assumptions!$E$18:$E$29, MATCH(BP53, Assumptions!$D$18:$D$29, 0))*$C$56, 0)</f>
        <v>0</v>
      </c>
      <c r="BQ56" s="422">
        <f>+IFERROR(INDEX(Assumptions!$E$18:$E$29, MATCH(BQ53, Assumptions!$D$18:$D$29, 0))*$C$56, 0)</f>
        <v>0</v>
      </c>
      <c r="BR56" s="422">
        <f>+IFERROR(INDEX(Assumptions!$E$18:$E$29, MATCH(BR53, Assumptions!$D$18:$D$29, 0))*$C$56, 0)</f>
        <v>0</v>
      </c>
      <c r="BS56" s="422">
        <f>+IFERROR(INDEX(Assumptions!$E$18:$E$29, MATCH(BS53, Assumptions!$D$18:$D$29, 0))*$C$56, 0)</f>
        <v>0</v>
      </c>
      <c r="BT56" s="422">
        <f>+IFERROR(INDEX(Assumptions!$E$18:$E$29, MATCH(BT53, Assumptions!$D$18:$D$29, 0))*$C$56, 0)</f>
        <v>0</v>
      </c>
      <c r="BU56" s="422">
        <f>+IFERROR(INDEX(Assumptions!$E$18:$E$29, MATCH(BU53, Assumptions!$D$18:$D$29, 0))*$C$56, 0)</f>
        <v>0</v>
      </c>
      <c r="BV56" s="422">
        <f>+IFERROR(INDEX(Assumptions!$E$18:$E$29, MATCH(BV53, Assumptions!$D$18:$D$29, 0))*$C$56, 0)</f>
        <v>0</v>
      </c>
      <c r="BW56" s="422">
        <f>+IFERROR(INDEX(Assumptions!$E$18:$E$29, MATCH(BW53, Assumptions!$D$18:$D$29, 0))*$C$56, 0)</f>
        <v>0</v>
      </c>
      <c r="BX56" s="422">
        <f>+IFERROR(INDEX(Assumptions!$E$18:$E$29, MATCH(BX53, Assumptions!$D$18:$D$29, 0))*$C$56, 0)</f>
        <v>0</v>
      </c>
      <c r="BY56" s="422">
        <f>+IFERROR(INDEX(Assumptions!$E$18:$E$29, MATCH(BY53, Assumptions!$D$18:$D$29, 0))*$C$56, 0)</f>
        <v>0</v>
      </c>
      <c r="BZ56" s="422">
        <f>+IFERROR(INDEX(Assumptions!$E$18:$E$29, MATCH(BZ53, Assumptions!$D$18:$D$29, 0))*$C$56, 0)</f>
        <v>0</v>
      </c>
      <c r="CA56" s="422">
        <f>+IFERROR(INDEX(Assumptions!$E$18:$E$29, MATCH(CA53, Assumptions!$D$18:$D$29, 0))*$C$56, 0)</f>
        <v>0</v>
      </c>
      <c r="CB56" s="422">
        <f>+IFERROR(INDEX(Assumptions!$E$18:$E$29, MATCH(CB53, Assumptions!$D$18:$D$29, 0))*$C$56, 0)</f>
        <v>0</v>
      </c>
      <c r="CC56" s="422">
        <f>+IFERROR(INDEX(Assumptions!$E$18:$E$29, MATCH(CC53, Assumptions!$D$18:$D$29, 0))*$C$56, 0)</f>
        <v>0</v>
      </c>
      <c r="CD56" s="422">
        <f>+IFERROR(INDEX(Assumptions!$E$18:$E$29, MATCH(CD53, Assumptions!$D$18:$D$29, 0))*$C$56, 0)</f>
        <v>0</v>
      </c>
      <c r="CE56" s="422">
        <f>+IFERROR(INDEX(Assumptions!$E$18:$E$29, MATCH(CE53, Assumptions!$D$18:$D$29, 0))*$C$56, 0)</f>
        <v>0</v>
      </c>
      <c r="CF56" s="422">
        <f>+IFERROR(INDEX(Assumptions!$E$18:$E$29, MATCH(CF53, Assumptions!$D$18:$D$29, 0))*$C$56, 0)</f>
        <v>0</v>
      </c>
      <c r="CG56" s="422">
        <f>+IFERROR(INDEX(Assumptions!$E$18:$E$29, MATCH(CG53, Assumptions!$D$18:$D$29, 0))*$C$56, 0)</f>
        <v>0</v>
      </c>
      <c r="CH56" s="422">
        <f>+IFERROR(INDEX(Assumptions!$E$18:$E$29, MATCH(CH53, Assumptions!$D$18:$D$29, 0))*$C$56, 0)</f>
        <v>0</v>
      </c>
      <c r="CI56" s="422">
        <f>+IFERROR(INDEX(Assumptions!$E$18:$E$29, MATCH(CI53, Assumptions!$D$18:$D$29, 0))*$C$56, 0)</f>
        <v>0</v>
      </c>
      <c r="CJ56" s="422">
        <f>+IFERROR(INDEX(Assumptions!$E$18:$E$29, MATCH(CJ53, Assumptions!$D$18:$D$29, 0))*$C$56, 0)</f>
        <v>9040.4597555340497</v>
      </c>
      <c r="CK56" s="422">
        <f>+IFERROR(INDEX(Assumptions!$E$18:$E$29, MATCH(CK53, Assumptions!$D$18:$D$29, 0))*$C$56, 0)</f>
        <v>1293.0145500852113</v>
      </c>
      <c r="CL56" s="422">
        <f>+IFERROR(INDEX(Assumptions!$E$18:$E$29, MATCH(CL53, Assumptions!$D$18:$D$29, 0))*$C$56, 0)</f>
        <v>53586.167873090031</v>
      </c>
      <c r="CM56" s="422">
        <f>+IFERROR(INDEX(Assumptions!$E$18:$E$29, MATCH(CM53, Assumptions!$D$18:$D$29, 0))*$C$56, 0)</f>
        <v>4837.1514687261815</v>
      </c>
      <c r="CN56" s="422">
        <f>+IFERROR(INDEX(Assumptions!$E$18:$E$29, MATCH(CN53, Assumptions!$D$18:$D$29, 0))*$C$56, 0)</f>
        <v>218827.33477455677</v>
      </c>
      <c r="CO56" s="422">
        <f>+IFERROR(INDEX(Assumptions!$E$18:$E$29, MATCH(CO53, Assumptions!$D$18:$D$29, 0))*$C$56, 0)</f>
        <v>392431.53887035867</v>
      </c>
      <c r="CP56" s="422">
        <f>+IFERROR(INDEX(Assumptions!$E$18:$E$29, MATCH(CP53, Assumptions!$D$18:$D$29, 0))*$C$56, 0)</f>
        <v>264427.16901328409</v>
      </c>
      <c r="CQ56" s="422">
        <f>+IFERROR(INDEX(Assumptions!$E$18:$E$29, MATCH(CQ53, Assumptions!$D$18:$D$29, 0))*$C$56, 0)</f>
        <v>174488.80164262865</v>
      </c>
      <c r="CR56" s="422">
        <f>+IFERROR(INDEX(Assumptions!$E$18:$E$29, MATCH(CR53, Assumptions!$D$18:$D$29, 0))*$C$56, 0)</f>
        <v>36530.960089376575</v>
      </c>
      <c r="CS56" s="422">
        <f>+IFERROR(INDEX(Assumptions!$E$18:$E$29, MATCH(CS53, Assumptions!$D$18:$D$29, 0))*$C$56, 0)</f>
        <v>279754.31340076023</v>
      </c>
      <c r="CT56" s="422">
        <f>+IFERROR(INDEX(Assumptions!$E$18:$E$29, MATCH(CT53, Assumptions!$D$18:$D$29, 0))*$C$56, 0)</f>
        <v>64783.088561599536</v>
      </c>
      <c r="CU56" s="422">
        <f>+IFERROR(INDEX(Assumptions!$E$18:$E$29, MATCH(CU53, Assumptions!$D$18:$D$29, 0))*$C$56, 0)</f>
        <v>0</v>
      </c>
      <c r="CV56" s="422">
        <f>+IFERROR(INDEX(Assumptions!$E$18:$E$29, MATCH(CV53, Assumptions!$D$18:$D$29, 0))*$C$56, 0)</f>
        <v>0</v>
      </c>
      <c r="CW56" s="422">
        <f>+IFERROR(INDEX(Assumptions!$E$18:$E$29, MATCH(CW53, Assumptions!$D$18:$D$29, 0))*$C$56, 0)</f>
        <v>0</v>
      </c>
      <c r="CX56" s="422">
        <f>+IFERROR(INDEX(Assumptions!$E$18:$E$29, MATCH(CX53, Assumptions!$D$18:$D$29, 0))*$C$56, 0)</f>
        <v>0</v>
      </c>
      <c r="CY56" s="422">
        <f>+IFERROR(INDEX(Assumptions!$E$18:$E$29, MATCH(CY53, Assumptions!$D$18:$D$29, 0))*$C$56, 0)</f>
        <v>0</v>
      </c>
      <c r="CZ56" s="422">
        <f>+IFERROR(INDEX(Assumptions!$E$18:$E$29, MATCH(CZ53, Assumptions!$D$18:$D$29, 0))*$C$56, 0)</f>
        <v>0</v>
      </c>
      <c r="DA56" s="422">
        <f>+IFERROR(INDEX(Assumptions!$E$18:$E$29, MATCH(DA53, Assumptions!$D$18:$D$29, 0))*$C$56, 0)</f>
        <v>0</v>
      </c>
      <c r="DB56" s="422">
        <f>+IFERROR(INDEX(Assumptions!$E$18:$E$29, MATCH(DB53, Assumptions!$D$18:$D$29, 0))*$C$56, 0)</f>
        <v>0</v>
      </c>
      <c r="DC56" s="422">
        <f>+IFERROR(INDEX(Assumptions!$E$18:$E$29, MATCH(DC53, Assumptions!$D$18:$D$29, 0))*$C$56, 0)</f>
        <v>0</v>
      </c>
      <c r="DD56" s="422">
        <f>+IFERROR(INDEX(Assumptions!$E$18:$E$29, MATCH(DD53, Assumptions!$D$18:$D$29, 0))*$C$56, 0)</f>
        <v>0</v>
      </c>
      <c r="DE56" s="422">
        <f>+IFERROR(INDEX(Assumptions!$E$18:$E$29, MATCH(DE53, Assumptions!$D$18:$D$29, 0))*$C$56, 0)</f>
        <v>0</v>
      </c>
      <c r="DF56" s="422">
        <f>+IFERROR(INDEX(Assumptions!$E$18:$E$29, MATCH(DF53, Assumptions!$D$18:$D$29, 0))*$C$56, 0)</f>
        <v>0</v>
      </c>
      <c r="DG56" s="422">
        <f>+IFERROR(INDEX(Assumptions!$E$18:$E$29, MATCH(DG53, Assumptions!$D$18:$D$29, 0))*$C$56, 0)</f>
        <v>0</v>
      </c>
      <c r="DH56" s="422">
        <f>+IFERROR(INDEX(Assumptions!$E$18:$E$29, MATCH(DH53, Assumptions!$D$18:$D$29, 0))*$C$56, 0)</f>
        <v>0</v>
      </c>
    </row>
    <row r="57" spans="2:112" x14ac:dyDescent="0.25">
      <c r="B57" t="s">
        <v>455</v>
      </c>
      <c r="C57" s="628">
        <f>+EOMONTH(C49, 12)</f>
        <v>47452</v>
      </c>
      <c r="D57" t="s">
        <v>243</v>
      </c>
      <c r="F57" s="9">
        <f t="shared" ref="F57" si="1459">+F56+E57</f>
        <v>0</v>
      </c>
      <c r="G57" s="9">
        <f t="shared" ref="G57" si="1460">+G56+F57</f>
        <v>0</v>
      </c>
      <c r="H57" s="9">
        <f t="shared" ref="H57" si="1461">+H56+G57</f>
        <v>0</v>
      </c>
      <c r="I57" s="9">
        <f t="shared" ref="I57" si="1462">+I56+H57</f>
        <v>0</v>
      </c>
      <c r="J57" s="9">
        <f t="shared" ref="J57" si="1463">+J56+I57</f>
        <v>0</v>
      </c>
      <c r="K57" s="9">
        <f t="shared" ref="K57" si="1464">+K56+J57</f>
        <v>0</v>
      </c>
      <c r="L57" s="9">
        <f t="shared" ref="L57" si="1465">+L56+K57</f>
        <v>0</v>
      </c>
      <c r="M57" s="9">
        <f t="shared" ref="M57" si="1466">+M56+L57</f>
        <v>0</v>
      </c>
      <c r="N57" s="9">
        <f t="shared" ref="N57" si="1467">+N56+M57</f>
        <v>0</v>
      </c>
      <c r="O57" s="9">
        <f t="shared" ref="O57" si="1468">+O56+N57</f>
        <v>0</v>
      </c>
      <c r="P57" s="9">
        <f t="shared" ref="P57" si="1469">+P56+O57</f>
        <v>0</v>
      </c>
      <c r="Q57" s="9">
        <f t="shared" ref="Q57" si="1470">+Q56+P57</f>
        <v>0</v>
      </c>
      <c r="R57" s="9">
        <f t="shared" ref="R57" si="1471">+R56+Q57</f>
        <v>0</v>
      </c>
      <c r="S57" s="9">
        <f t="shared" ref="S57" si="1472">+S56+R57</f>
        <v>0</v>
      </c>
      <c r="T57" s="9">
        <f t="shared" ref="T57" si="1473">+T56+S57</f>
        <v>0</v>
      </c>
      <c r="U57" s="9">
        <f t="shared" ref="U57" si="1474">+U56+T57</f>
        <v>0</v>
      </c>
      <c r="V57" s="9">
        <f t="shared" ref="V57" si="1475">+V56+U57</f>
        <v>0</v>
      </c>
      <c r="W57" s="9">
        <f t="shared" ref="W57:AK57" si="1476">+W56+V57</f>
        <v>0</v>
      </c>
      <c r="X57" s="9">
        <f t="shared" si="1476"/>
        <v>0</v>
      </c>
      <c r="Y57" s="9">
        <f t="shared" si="1476"/>
        <v>0</v>
      </c>
      <c r="Z57" s="9">
        <f t="shared" si="1476"/>
        <v>0</v>
      </c>
      <c r="AA57" s="9">
        <f t="shared" si="1476"/>
        <v>0</v>
      </c>
      <c r="AB57" s="9">
        <f t="shared" si="1476"/>
        <v>0</v>
      </c>
      <c r="AC57" s="9">
        <f t="shared" si="1476"/>
        <v>0</v>
      </c>
      <c r="AD57" s="9">
        <f t="shared" si="1476"/>
        <v>0</v>
      </c>
      <c r="AE57" s="9">
        <f t="shared" si="1476"/>
        <v>0</v>
      </c>
      <c r="AF57" s="9">
        <f t="shared" si="1476"/>
        <v>0</v>
      </c>
      <c r="AG57" s="9">
        <f t="shared" si="1476"/>
        <v>0</v>
      </c>
      <c r="AH57" s="9">
        <f t="shared" si="1476"/>
        <v>0</v>
      </c>
      <c r="AI57" s="9">
        <f t="shared" si="1476"/>
        <v>0</v>
      </c>
      <c r="AJ57" s="9">
        <f t="shared" si="1476"/>
        <v>0</v>
      </c>
      <c r="AK57" s="9">
        <f t="shared" si="1476"/>
        <v>0</v>
      </c>
      <c r="AL57" s="9">
        <f t="shared" ref="AL57" si="1477">+AL56+AK57</f>
        <v>0</v>
      </c>
      <c r="AM57" s="9">
        <f t="shared" ref="AM57" si="1478">+AM56+AL57</f>
        <v>0</v>
      </c>
      <c r="AN57" s="9">
        <f t="shared" ref="AN57" si="1479">+AN56+AM57</f>
        <v>0</v>
      </c>
      <c r="AO57" s="9">
        <f t="shared" ref="AO57" si="1480">+AO56+AN57</f>
        <v>0</v>
      </c>
      <c r="AP57" s="9">
        <f t="shared" ref="AP57" si="1481">+AP56+AO57</f>
        <v>0</v>
      </c>
      <c r="AQ57" s="9">
        <f t="shared" ref="AQ57" si="1482">+AQ56+AP57</f>
        <v>0</v>
      </c>
      <c r="AR57" s="9">
        <f t="shared" ref="AR57" si="1483">+AR56+AQ57</f>
        <v>0</v>
      </c>
      <c r="AS57" s="9">
        <f t="shared" ref="AS57" si="1484">+AS56+AR57</f>
        <v>0</v>
      </c>
      <c r="AT57" s="9">
        <f t="shared" ref="AT57" si="1485">+AT56+AS57</f>
        <v>0</v>
      </c>
      <c r="AU57" s="9">
        <f t="shared" ref="AU57" si="1486">+AU56+AT57</f>
        <v>0</v>
      </c>
      <c r="AV57" s="9">
        <f t="shared" ref="AV57" si="1487">+AV56+AU57</f>
        <v>0</v>
      </c>
      <c r="AW57" s="9">
        <f t="shared" ref="AW57" si="1488">+AW56+AV57</f>
        <v>0</v>
      </c>
      <c r="AX57" s="9">
        <f t="shared" ref="AX57" si="1489">+AX56+AW57</f>
        <v>0</v>
      </c>
      <c r="AY57" s="9">
        <f t="shared" ref="AY57" si="1490">+AY56+AX57</f>
        <v>0</v>
      </c>
      <c r="AZ57" s="9">
        <f t="shared" ref="AZ57" si="1491">+AZ56+AY57</f>
        <v>0</v>
      </c>
      <c r="BA57" s="9">
        <f t="shared" ref="BA57" si="1492">+BA56+AZ57</f>
        <v>0</v>
      </c>
      <c r="BB57" s="9">
        <f t="shared" ref="BB57" si="1493">+BB56+BA57</f>
        <v>0</v>
      </c>
      <c r="BC57" s="9">
        <f t="shared" ref="BC57" si="1494">+BC56+BB57</f>
        <v>0</v>
      </c>
      <c r="BD57" s="9">
        <f t="shared" ref="BD57" si="1495">+BD56+BC57</f>
        <v>0</v>
      </c>
      <c r="BE57" s="9">
        <f t="shared" ref="BE57" si="1496">+BE56+BD57</f>
        <v>0</v>
      </c>
      <c r="BF57" s="9">
        <f t="shared" ref="BF57" si="1497">+BF56+BE57</f>
        <v>0</v>
      </c>
      <c r="BG57" s="9">
        <f t="shared" ref="BG57" si="1498">+BG56+BF57</f>
        <v>0</v>
      </c>
      <c r="BH57" s="9">
        <f t="shared" ref="BH57" si="1499">+BH56+BG57</f>
        <v>0</v>
      </c>
      <c r="BI57" s="9">
        <f t="shared" ref="BI57" si="1500">+BI56+BH57</f>
        <v>0</v>
      </c>
      <c r="BJ57" s="9">
        <f t="shared" ref="BJ57" si="1501">+BJ56+BI57</f>
        <v>0</v>
      </c>
      <c r="BK57" s="9">
        <f t="shared" ref="BK57" si="1502">+BK56+BJ57</f>
        <v>0</v>
      </c>
      <c r="BL57" s="9">
        <f t="shared" ref="BL57" si="1503">+BL56+BK57</f>
        <v>0</v>
      </c>
      <c r="BM57" s="9">
        <f t="shared" ref="BM57" si="1504">+BM56+BL57</f>
        <v>0</v>
      </c>
      <c r="BN57" s="9">
        <f t="shared" ref="BN57" si="1505">+BN56+BM57</f>
        <v>0</v>
      </c>
      <c r="BO57" s="9">
        <f t="shared" ref="BO57" si="1506">+BO56+BN57</f>
        <v>0</v>
      </c>
      <c r="BP57" s="9">
        <f t="shared" ref="BP57" si="1507">+BP56+BO57</f>
        <v>0</v>
      </c>
      <c r="BQ57" s="9">
        <f t="shared" ref="BQ57" si="1508">+BQ56+BP57</f>
        <v>0</v>
      </c>
      <c r="BR57" s="9">
        <f t="shared" ref="BR57" si="1509">+BR56+BQ57</f>
        <v>0</v>
      </c>
      <c r="BS57" s="9">
        <f t="shared" ref="BS57" si="1510">+BS56+BR57</f>
        <v>0</v>
      </c>
      <c r="BT57" s="9">
        <f t="shared" ref="BT57" si="1511">+BT56+BS57</f>
        <v>0</v>
      </c>
      <c r="BU57" s="9">
        <f t="shared" ref="BU57" si="1512">+BU56+BT57</f>
        <v>0</v>
      </c>
      <c r="BV57" s="9">
        <f t="shared" ref="BV57" si="1513">+BV56+BU57</f>
        <v>0</v>
      </c>
      <c r="BW57" s="9">
        <f t="shared" ref="BW57" si="1514">+BW56+BV57</f>
        <v>0</v>
      </c>
      <c r="BX57" s="9">
        <f t="shared" ref="BX57" si="1515">+BX56+BW57</f>
        <v>0</v>
      </c>
      <c r="BY57" s="9">
        <f t="shared" ref="BY57" si="1516">+BY56+BX57</f>
        <v>0</v>
      </c>
      <c r="BZ57" s="9">
        <f t="shared" ref="BZ57" si="1517">+BZ56+BY57</f>
        <v>0</v>
      </c>
      <c r="CA57" s="9">
        <f t="shared" ref="CA57" si="1518">+CA56+BZ57</f>
        <v>0</v>
      </c>
      <c r="CB57" s="9">
        <f t="shared" ref="CB57" si="1519">+CB56+CA57</f>
        <v>0</v>
      </c>
      <c r="CC57" s="9">
        <f t="shared" ref="CC57" si="1520">+CC56+CB57</f>
        <v>0</v>
      </c>
      <c r="CD57" s="9">
        <f t="shared" ref="CD57" si="1521">+CD56+CC57</f>
        <v>0</v>
      </c>
      <c r="CE57" s="9">
        <f t="shared" ref="CE57" si="1522">+CE56+CD57</f>
        <v>0</v>
      </c>
      <c r="CF57" s="9">
        <f t="shared" ref="CF57" si="1523">+CF56+CE57</f>
        <v>0</v>
      </c>
      <c r="CG57" s="9">
        <f t="shared" ref="CG57" si="1524">+CG56+CF57</f>
        <v>0</v>
      </c>
      <c r="CH57" s="9">
        <f t="shared" ref="CH57" si="1525">+CH56+CG57</f>
        <v>0</v>
      </c>
      <c r="CI57" s="9">
        <f t="shared" ref="CI57" si="1526">+CI56+CH57</f>
        <v>0</v>
      </c>
      <c r="CJ57" s="9">
        <f t="shared" ref="CJ57" si="1527">+CJ56+CI57</f>
        <v>9040.4597555340497</v>
      </c>
      <c r="CK57" s="9">
        <f t="shared" ref="CK57" si="1528">+CK56+CJ57</f>
        <v>10333.47430561926</v>
      </c>
      <c r="CL57" s="9">
        <f t="shared" ref="CL57" si="1529">+CL56+CK57</f>
        <v>63919.642178709291</v>
      </c>
      <c r="CM57" s="9">
        <f t="shared" ref="CM57" si="1530">+CM56+CL57</f>
        <v>68756.793647435479</v>
      </c>
      <c r="CN57" s="9">
        <f t="shared" ref="CN57" si="1531">+CN56+CM57</f>
        <v>287584.12842199224</v>
      </c>
      <c r="CO57" s="9">
        <f t="shared" ref="CO57" si="1532">+CO56+CN57</f>
        <v>680015.6672923509</v>
      </c>
      <c r="CP57" s="9">
        <f t="shared" ref="CP57" si="1533">+CP56+CO57</f>
        <v>944442.83630563505</v>
      </c>
      <c r="CQ57" s="9">
        <f t="shared" ref="CQ57" si="1534">+CQ56+CP57</f>
        <v>1118931.6379482637</v>
      </c>
      <c r="CR57" s="9">
        <f t="shared" ref="CR57" si="1535">+CR56+CQ57</f>
        <v>1155462.5980376403</v>
      </c>
      <c r="CS57" s="9">
        <f t="shared" ref="CS57" si="1536">+CS56+CR57</f>
        <v>1435216.9114384006</v>
      </c>
      <c r="CT57" s="9">
        <f t="shared" ref="CT57" si="1537">+CT56+CS57</f>
        <v>1500000.0000000002</v>
      </c>
      <c r="CU57" s="9">
        <f t="shared" ref="CU57" si="1538">+CU56+CT57</f>
        <v>1500000.0000000002</v>
      </c>
      <c r="CV57" s="9">
        <f t="shared" ref="CV57" si="1539">+CV56+CU57</f>
        <v>1500000.0000000002</v>
      </c>
      <c r="CW57" s="9">
        <f t="shared" ref="CW57" si="1540">+CW56+CV57</f>
        <v>1500000.0000000002</v>
      </c>
      <c r="CX57" s="9">
        <f t="shared" ref="CX57" si="1541">+CX56+CW57</f>
        <v>1500000.0000000002</v>
      </c>
      <c r="CY57" s="9">
        <f t="shared" ref="CY57" si="1542">+CY56+CX57</f>
        <v>1500000.0000000002</v>
      </c>
      <c r="CZ57" s="9">
        <f t="shared" ref="CZ57" si="1543">+CZ56+CY57</f>
        <v>1500000.0000000002</v>
      </c>
      <c r="DA57" s="9">
        <f t="shared" ref="DA57" si="1544">+DA56+CZ57</f>
        <v>1500000.0000000002</v>
      </c>
      <c r="DB57" s="9">
        <f t="shared" ref="DB57" si="1545">+DB56+DA57</f>
        <v>1500000.0000000002</v>
      </c>
      <c r="DC57" s="9">
        <f t="shared" ref="DC57" si="1546">+DC56+DB57</f>
        <v>1500000.0000000002</v>
      </c>
      <c r="DD57" s="9">
        <f t="shared" ref="DD57" si="1547">+DD56+DC57</f>
        <v>1500000.0000000002</v>
      </c>
      <c r="DE57" s="9">
        <f t="shared" ref="DE57" si="1548">+DE56+DD57</f>
        <v>1500000.0000000002</v>
      </c>
      <c r="DF57" s="9">
        <f t="shared" ref="DF57" si="1549">+DF56+DE57</f>
        <v>1500000.0000000002</v>
      </c>
      <c r="DG57" s="9">
        <f t="shared" ref="DG57:DH57" si="1550">+DG56+DF57</f>
        <v>1500000.0000000002</v>
      </c>
      <c r="DH57" s="9">
        <f t="shared" si="1550"/>
        <v>1500000.0000000002</v>
      </c>
    </row>
    <row r="58" spans="2:112" x14ac:dyDescent="0.25">
      <c r="B58" t="s">
        <v>473</v>
      </c>
      <c r="C58" s="473">
        <f>+EOMONTH(C57,12)</f>
        <v>47817</v>
      </c>
      <c r="D58" t="s">
        <v>278</v>
      </c>
      <c r="F58" s="422">
        <f>+IFERROR(INDEX(Assumptions!$F$31:$F$42, MATCH(F53, Assumptions!$D$31:$D$42, 0))*$C$55, 0)</f>
        <v>0</v>
      </c>
      <c r="G58" s="9">
        <f>+IFERROR(INDEX(Assumptions!$F$31:$F$42, MATCH(G53, Assumptions!$D$31:$D$42, 0))*$C$55, 0)</f>
        <v>0</v>
      </c>
      <c r="H58" s="9">
        <f>+IFERROR(INDEX(Assumptions!$F$31:$F$42, MATCH(H53, Assumptions!$D$31:$D$42, 0))*$C$55, 0)</f>
        <v>0</v>
      </c>
      <c r="I58" s="9">
        <f>+IFERROR(INDEX(Assumptions!$F$31:$F$42, MATCH(I53, Assumptions!$D$31:$D$42, 0))*$C$55, 0)</f>
        <v>0</v>
      </c>
      <c r="J58" s="9">
        <f>+IFERROR(INDEX(Assumptions!$F$31:$F$42, MATCH(J53, Assumptions!$D$31:$D$42, 0))*$C$55, 0)</f>
        <v>0</v>
      </c>
      <c r="K58" s="9">
        <f>+IFERROR(INDEX(Assumptions!$F$31:$F$42, MATCH(K53, Assumptions!$D$31:$D$42, 0))*$C$55, 0)</f>
        <v>0</v>
      </c>
      <c r="L58" s="9">
        <f>+IFERROR(INDEX(Assumptions!$F$31:$F$42, MATCH(L53, Assumptions!$D$31:$D$42, 0))*$C$55, 0)</f>
        <v>0</v>
      </c>
      <c r="M58" s="9">
        <f>+IFERROR(INDEX(Assumptions!$F$31:$F$42, MATCH(M53, Assumptions!$D$31:$D$42, 0))*$C$55, 0)</f>
        <v>0</v>
      </c>
      <c r="N58" s="9">
        <f>+IFERROR(INDEX(Assumptions!$F$31:$F$42, MATCH(N53, Assumptions!$D$31:$D$42, 0))*$C$55, 0)</f>
        <v>0</v>
      </c>
      <c r="O58" s="9">
        <f>+IFERROR(INDEX(Assumptions!$F$31:$F$42, MATCH(O53, Assumptions!$D$31:$D$42, 0))*$C$55, 0)</f>
        <v>0</v>
      </c>
      <c r="P58" s="9">
        <f>+IFERROR(INDEX(Assumptions!$F$31:$F$42, MATCH(P53, Assumptions!$D$31:$D$42, 0))*$C$55, 0)</f>
        <v>0</v>
      </c>
      <c r="Q58" s="9">
        <f>+IFERROR(INDEX(Assumptions!$F$31:$F$42, MATCH(Q53, Assumptions!$D$31:$D$42, 0))*$C$55, 0)</f>
        <v>0</v>
      </c>
      <c r="R58" s="9">
        <f>+IFERROR(INDEX(Assumptions!$F$31:$F$42, MATCH(R53, Assumptions!$D$31:$D$42, 0))*$C$55, 0)</f>
        <v>0</v>
      </c>
      <c r="S58" s="9">
        <f>+IFERROR(INDEX(Assumptions!$F$31:$F$42, MATCH(S53, Assumptions!$D$31:$D$42, 0))*$C$55, 0)</f>
        <v>0</v>
      </c>
      <c r="T58" s="9">
        <f>+IFERROR(INDEX(Assumptions!$F$31:$F$42, MATCH(T53, Assumptions!$D$31:$D$42, 0))*$C$55, 0)</f>
        <v>0</v>
      </c>
      <c r="U58" s="9">
        <f>+IFERROR(INDEX(Assumptions!$F$31:$F$42, MATCH(U53, Assumptions!$D$31:$D$42, 0))*$C$55, 0)</f>
        <v>0</v>
      </c>
      <c r="V58" s="9">
        <f>+IFERROR(INDEX(Assumptions!$F$31:$F$42, MATCH(V53, Assumptions!$D$31:$D$42, 0))*$C$55, 0)</f>
        <v>0</v>
      </c>
      <c r="W58" s="9">
        <f>+IFERROR(INDEX(Assumptions!$F$31:$F$42, MATCH(W53, Assumptions!$D$31:$D$42, 0))*$C$55, 0)</f>
        <v>0</v>
      </c>
      <c r="X58" s="9">
        <f>+IFERROR(INDEX(Assumptions!$F$31:$F$42, MATCH(X53, Assumptions!$D$31:$D$42, 0))*$C$55, 0)</f>
        <v>0</v>
      </c>
      <c r="Y58" s="9">
        <f>+IFERROR(INDEX(Assumptions!$F$31:$F$42, MATCH(Y53, Assumptions!$D$31:$D$42, 0))*$C$55, 0)</f>
        <v>0</v>
      </c>
      <c r="Z58" s="9">
        <f>+IFERROR(INDEX(Assumptions!$F$31:$F$42, MATCH(Z53, Assumptions!$D$31:$D$42, 0))*$C$55, 0)</f>
        <v>0</v>
      </c>
      <c r="AA58" s="9">
        <f>+IFERROR(INDEX(Assumptions!$F$31:$F$42, MATCH(AA53, Assumptions!$D$31:$D$42, 0))*$C$55, 0)</f>
        <v>0</v>
      </c>
      <c r="AB58" s="9">
        <f>+IFERROR(INDEX(Assumptions!$F$31:$F$42, MATCH(AB53, Assumptions!$D$31:$D$42, 0))*$C$55, 0)</f>
        <v>0</v>
      </c>
      <c r="AC58" s="9">
        <f>+IFERROR(INDEX(Assumptions!$F$31:$F$42, MATCH(AC53, Assumptions!$D$31:$D$42, 0))*$C$55, 0)</f>
        <v>0</v>
      </c>
      <c r="AD58" s="9">
        <f>+IFERROR(INDEX(Assumptions!$F$31:$F$42, MATCH(AD53, Assumptions!$D$31:$D$42, 0))*$C$55, 0)</f>
        <v>0</v>
      </c>
      <c r="AE58" s="9">
        <f>+IFERROR(INDEX(Assumptions!$F$31:$F$42, MATCH(AE53, Assumptions!$D$31:$D$42, 0))*$C$55, 0)</f>
        <v>0</v>
      </c>
      <c r="AF58" s="9">
        <f>+IFERROR(INDEX(Assumptions!$F$31:$F$42, MATCH(AF53, Assumptions!$D$31:$D$42, 0))*$C$55, 0)</f>
        <v>0</v>
      </c>
      <c r="AG58" s="9">
        <f>+IFERROR(INDEX(Assumptions!$F$31:$F$42, MATCH(AG53, Assumptions!$D$31:$D$42, 0))*$C$55, 0)</f>
        <v>0</v>
      </c>
      <c r="AH58" s="9">
        <f>+IFERROR(INDEX(Assumptions!$F$31:$F$42, MATCH(AH53, Assumptions!$D$31:$D$42, 0))*$C$55, 0)</f>
        <v>0</v>
      </c>
      <c r="AI58" s="9">
        <f>+IFERROR(INDEX(Assumptions!$F$31:$F$42, MATCH(AI53, Assumptions!$D$31:$D$42, 0))*$C$55, 0)</f>
        <v>0</v>
      </c>
      <c r="AJ58" s="9">
        <f>+IFERROR(INDEX(Assumptions!$F$31:$F$42, MATCH(AJ53, Assumptions!$D$31:$D$42, 0))*$C$55, 0)</f>
        <v>0</v>
      </c>
      <c r="AK58" s="9">
        <f>+IFERROR(INDEX(Assumptions!$F$31:$F$42, MATCH(AK53, Assumptions!$D$31:$D$42, 0))*$C$55, 0)</f>
        <v>0</v>
      </c>
      <c r="AL58" s="9">
        <f>+IFERROR(INDEX(Assumptions!$F$31:$F$42, MATCH(AL53, Assumptions!$D$31:$D$42, 0))*$C$55, 0)</f>
        <v>0</v>
      </c>
      <c r="AM58" s="9">
        <f>+IFERROR(INDEX(Assumptions!$F$31:$F$42, MATCH(AM53, Assumptions!$D$31:$D$42, 0))*$C$55, 0)</f>
        <v>0</v>
      </c>
      <c r="AN58" s="9">
        <f>+IFERROR(INDEX(Assumptions!$F$31:$F$42, MATCH(AN53, Assumptions!$D$31:$D$42, 0))*$C$55, 0)</f>
        <v>0</v>
      </c>
      <c r="AO58" s="9">
        <f>+IFERROR(INDEX(Assumptions!$F$31:$F$42, MATCH(AO53, Assumptions!$D$31:$D$42, 0))*$C$55, 0)</f>
        <v>0</v>
      </c>
      <c r="AP58" s="9">
        <f>+IFERROR(INDEX(Assumptions!$F$31:$F$42, MATCH(AP53, Assumptions!$D$31:$D$42, 0))*$C$55, 0)</f>
        <v>0</v>
      </c>
      <c r="AQ58" s="9">
        <f>+IFERROR(INDEX(Assumptions!$F$31:$F$42, MATCH(AQ53, Assumptions!$D$31:$D$42, 0))*$C$55, 0)</f>
        <v>0</v>
      </c>
      <c r="AR58" s="9">
        <f>+IFERROR(INDEX(Assumptions!$F$31:$F$42, MATCH(AR53, Assumptions!$D$31:$D$42, 0))*$C$55, 0)</f>
        <v>0</v>
      </c>
      <c r="AS58" s="9">
        <f>+IFERROR(INDEX(Assumptions!$F$31:$F$42, MATCH(AS53, Assumptions!$D$31:$D$42, 0))*$C$55, 0)</f>
        <v>0</v>
      </c>
      <c r="AT58" s="9">
        <f>+IFERROR(INDEX(Assumptions!$F$31:$F$42, MATCH(AT53, Assumptions!$D$31:$D$42, 0))*$C$55, 0)</f>
        <v>0</v>
      </c>
      <c r="AU58" s="9">
        <f>+IFERROR(INDEX(Assumptions!$F$31:$F$42, MATCH(AU53, Assumptions!$D$31:$D$42, 0))*$C$55, 0)</f>
        <v>0</v>
      </c>
      <c r="AV58" s="9">
        <f>+IFERROR(INDEX(Assumptions!$F$31:$F$42, MATCH(AV53, Assumptions!$D$31:$D$42, 0))*$C$55, 0)</f>
        <v>0</v>
      </c>
      <c r="AW58" s="9">
        <f>+IFERROR(INDEX(Assumptions!$F$31:$F$42, MATCH(AW53, Assumptions!$D$31:$D$42, 0))*$C$55, 0)</f>
        <v>0</v>
      </c>
      <c r="AX58" s="9">
        <f>+IFERROR(INDEX(Assumptions!$F$31:$F$42, MATCH(AX53, Assumptions!$D$31:$D$42, 0))*$C$55, 0)</f>
        <v>0</v>
      </c>
      <c r="AY58" s="9">
        <f>+IFERROR(INDEX(Assumptions!$F$31:$F$42, MATCH(AY53, Assumptions!$D$31:$D$42, 0))*$C$55, 0)</f>
        <v>0</v>
      </c>
      <c r="AZ58" s="9">
        <f>+IFERROR(INDEX(Assumptions!$F$31:$F$42, MATCH(AZ53, Assumptions!$D$31:$D$42, 0))*$C$55, 0)</f>
        <v>0</v>
      </c>
      <c r="BA58" s="9">
        <f>+IFERROR(INDEX(Assumptions!$F$31:$F$42, MATCH(BA53, Assumptions!$D$31:$D$42, 0))*$C$55, 0)</f>
        <v>0</v>
      </c>
      <c r="BB58" s="9">
        <f>+IFERROR(INDEX(Assumptions!$F$31:$F$42, MATCH(BB53, Assumptions!$D$31:$D$42, 0))*$C$55, 0)</f>
        <v>0</v>
      </c>
      <c r="BC58" s="9">
        <f>+IFERROR(INDEX(Assumptions!$F$31:$F$42, MATCH(BC53, Assumptions!$D$31:$D$42, 0))*$C$55, 0)</f>
        <v>0</v>
      </c>
      <c r="BD58" s="9">
        <f>+IFERROR(INDEX(Assumptions!$F$31:$F$42, MATCH(BD53, Assumptions!$D$31:$D$42, 0))*$C$55, 0)</f>
        <v>0</v>
      </c>
      <c r="BE58" s="9">
        <f>+IFERROR(INDEX(Assumptions!$F$31:$F$42, MATCH(BE53, Assumptions!$D$31:$D$42, 0))*$C$55, 0)</f>
        <v>0</v>
      </c>
      <c r="BF58" s="9">
        <f>+IFERROR(INDEX(Assumptions!$F$31:$F$42, MATCH(BF53, Assumptions!$D$31:$D$42, 0))*$C$55, 0)</f>
        <v>0</v>
      </c>
      <c r="BG58" s="9">
        <f>+IFERROR(INDEX(Assumptions!$F$31:$F$42, MATCH(BG53, Assumptions!$D$31:$D$42, 0))*$C$55, 0)</f>
        <v>0</v>
      </c>
      <c r="BH58" s="9">
        <f>+IFERROR(INDEX(Assumptions!$F$31:$F$42, MATCH(BH53, Assumptions!$D$31:$D$42, 0))*$C$55, 0)</f>
        <v>0</v>
      </c>
      <c r="BI58" s="9">
        <f>+IFERROR(INDEX(Assumptions!$F$31:$F$42, MATCH(BI53, Assumptions!$D$31:$D$42, 0))*$C$55, 0)</f>
        <v>0</v>
      </c>
      <c r="BJ58" s="9">
        <f>+IFERROR(INDEX(Assumptions!$F$31:$F$42, MATCH(BJ53, Assumptions!$D$31:$D$42, 0))*$C$55, 0)</f>
        <v>0</v>
      </c>
      <c r="BK58" s="9">
        <f>+IFERROR(INDEX(Assumptions!$F$31:$F$42, MATCH(BK53, Assumptions!$D$31:$D$42, 0))*$C$55, 0)</f>
        <v>0</v>
      </c>
      <c r="BL58" s="9">
        <f>+IFERROR(INDEX(Assumptions!$F$31:$F$42, MATCH(BL53, Assumptions!$D$31:$D$42, 0))*$C$55, 0)</f>
        <v>0</v>
      </c>
      <c r="BM58" s="9">
        <f>+IFERROR(INDEX(Assumptions!$F$31:$F$42, MATCH(BM53, Assumptions!$D$31:$D$42, 0))*$C$55, 0)</f>
        <v>0</v>
      </c>
      <c r="BN58" s="9">
        <f>+IFERROR(INDEX(Assumptions!$F$31:$F$42, MATCH(BN53, Assumptions!$D$31:$D$42, 0))*$C$55, 0)</f>
        <v>0</v>
      </c>
      <c r="BO58" s="9">
        <f>+IFERROR(INDEX(Assumptions!$F$31:$F$42, MATCH(BO53, Assumptions!$D$31:$D$42, 0))*$C$55, 0)</f>
        <v>0</v>
      </c>
      <c r="BP58" s="9">
        <f>+IFERROR(INDEX(Assumptions!$F$31:$F$42, MATCH(BP53, Assumptions!$D$31:$D$42, 0))*$C$55, 0)</f>
        <v>0</v>
      </c>
      <c r="BQ58" s="9">
        <f>+IFERROR(INDEX(Assumptions!$F$31:$F$42, MATCH(BQ53, Assumptions!$D$31:$D$42, 0))*$C$55, 0)</f>
        <v>0</v>
      </c>
      <c r="BR58" s="9">
        <f>+IFERROR(INDEX(Assumptions!$F$31:$F$42, MATCH(BR53, Assumptions!$D$31:$D$42, 0))*$C$55, 0)</f>
        <v>0</v>
      </c>
      <c r="BS58" s="9">
        <f>+IFERROR(INDEX(Assumptions!$F$31:$F$42, MATCH(BS53, Assumptions!$D$31:$D$42, 0))*$C$55, 0)</f>
        <v>0</v>
      </c>
      <c r="BT58" s="9">
        <f>+IFERROR(INDEX(Assumptions!$F$31:$F$42, MATCH(BT53, Assumptions!$D$31:$D$42, 0))*$C$55, 0)</f>
        <v>0</v>
      </c>
      <c r="BU58" s="9">
        <f>+IFERROR(INDEX(Assumptions!$F$31:$F$42, MATCH(BU53, Assumptions!$D$31:$D$42, 0))*$C$55, 0)</f>
        <v>0</v>
      </c>
      <c r="BV58" s="9">
        <f>+IFERROR(INDEX(Assumptions!$F$31:$F$42, MATCH(BV53, Assumptions!$D$31:$D$42, 0))*$C$55, 0)</f>
        <v>0</v>
      </c>
      <c r="BW58" s="9">
        <f>+IFERROR(INDEX(Assumptions!$F$31:$F$42, MATCH(BW53, Assumptions!$D$31:$D$42, 0))*$C$55, 0)</f>
        <v>0</v>
      </c>
      <c r="BX58" s="9">
        <f>+IFERROR(INDEX(Assumptions!$F$31:$F$42, MATCH(BX53, Assumptions!$D$31:$D$42, 0))*$C$55, 0)</f>
        <v>0</v>
      </c>
      <c r="BY58" s="9">
        <f>+IFERROR(INDEX(Assumptions!$F$31:$F$42, MATCH(BY53, Assumptions!$D$31:$D$42, 0))*$C$55, 0)</f>
        <v>0</v>
      </c>
      <c r="BZ58" s="9">
        <f>+IFERROR(INDEX(Assumptions!$F$31:$F$42, MATCH(BZ53, Assumptions!$D$31:$D$42, 0))*$C$55, 0)</f>
        <v>0</v>
      </c>
      <c r="CA58" s="9">
        <f>+IFERROR(INDEX(Assumptions!$F$31:$F$42, MATCH(CA53, Assumptions!$D$31:$D$42, 0))*$C$55, 0)</f>
        <v>0</v>
      </c>
      <c r="CB58" s="9">
        <f>+IFERROR(INDEX(Assumptions!$F$31:$F$42, MATCH(CB53, Assumptions!$D$31:$D$42, 0))*$C$55, 0)</f>
        <v>0</v>
      </c>
      <c r="CC58" s="9">
        <f>+IFERROR(INDEX(Assumptions!$F$31:$F$42, MATCH(CC53, Assumptions!$D$31:$D$42, 0))*$C$55, 0)</f>
        <v>0</v>
      </c>
      <c r="CD58" s="9">
        <f>+IFERROR(INDEX(Assumptions!$F$31:$F$42, MATCH(CD53, Assumptions!$D$31:$D$42, 0))*$C$55, 0)</f>
        <v>0</v>
      </c>
      <c r="CE58" s="9">
        <f>+IFERROR(INDEX(Assumptions!$F$31:$F$42, MATCH(CE53, Assumptions!$D$31:$D$42, 0))*$C$55, 0)</f>
        <v>0</v>
      </c>
      <c r="CF58" s="9">
        <f>+IFERROR(INDEX(Assumptions!$F$31:$F$42, MATCH(CF53, Assumptions!$D$31:$D$42, 0))*$C$55, 0)</f>
        <v>0</v>
      </c>
      <c r="CG58" s="9">
        <f>+IFERROR(INDEX(Assumptions!$F$31:$F$42, MATCH(CG53, Assumptions!$D$31:$D$42, 0))*$C$55, 0)</f>
        <v>0</v>
      </c>
      <c r="CH58" s="9">
        <f>+IFERROR(INDEX(Assumptions!$F$31:$F$42, MATCH(CH53, Assumptions!$D$31:$D$42, 0))*$C$55, 0)</f>
        <v>0</v>
      </c>
      <c r="CI58" s="9">
        <f>+IFERROR(INDEX(Assumptions!$F$31:$F$42, MATCH(CI53, Assumptions!$D$31:$D$42, 0))*$C$55, 0)</f>
        <v>450000</v>
      </c>
      <c r="CJ58" s="9">
        <f>+IFERROR(INDEX(Assumptions!$F$31:$F$42, MATCH(CJ53, Assumptions!$D$31:$D$42, 0))*$C$55, 0)</f>
        <v>0</v>
      </c>
      <c r="CK58" s="9">
        <f>+IFERROR(INDEX(Assumptions!$F$31:$F$42, MATCH(CK53, Assumptions!$D$31:$D$42, 0))*$C$55, 0)</f>
        <v>0</v>
      </c>
      <c r="CL58" s="9">
        <f>+IFERROR(INDEX(Assumptions!$F$31:$F$42, MATCH(CL53, Assumptions!$D$31:$D$42, 0))*$C$55, 0)</f>
        <v>0</v>
      </c>
      <c r="CM58" s="9">
        <f>+IFERROR(INDEX(Assumptions!$F$31:$F$42, MATCH(CM53, Assumptions!$D$31:$D$42, 0))*$C$55, 0)</f>
        <v>900000</v>
      </c>
      <c r="CN58" s="9">
        <f>+IFERROR(INDEX(Assumptions!$F$31:$F$42, MATCH(CN53, Assumptions!$D$31:$D$42, 0))*$C$55, 0)</f>
        <v>1125000</v>
      </c>
      <c r="CO58" s="9">
        <f>+IFERROR(INDEX(Assumptions!$F$31:$F$42, MATCH(CO53, Assumptions!$D$31:$D$42, 0))*$C$55, 0)</f>
        <v>675000</v>
      </c>
      <c r="CP58" s="9">
        <f>+IFERROR(INDEX(Assumptions!$F$31:$F$42, MATCH(CP53, Assumptions!$D$31:$D$42, 0))*$C$55, 0)</f>
        <v>0</v>
      </c>
      <c r="CQ58" s="9">
        <f>+IFERROR(INDEX(Assumptions!$F$31:$F$42, MATCH(CQ53, Assumptions!$D$31:$D$42, 0))*$C$55, 0)</f>
        <v>675000</v>
      </c>
      <c r="CR58" s="9">
        <f>+IFERROR(INDEX(Assumptions!$F$31:$F$42, MATCH(CR53, Assumptions!$D$31:$D$42, 0))*$C$55, 0)</f>
        <v>0</v>
      </c>
      <c r="CS58" s="9">
        <f>+IFERROR(INDEX(Assumptions!$F$31:$F$42, MATCH(CS53, Assumptions!$D$31:$D$42, 0))*$C$55, 0)</f>
        <v>675000</v>
      </c>
      <c r="CT58" s="9">
        <f>+IFERROR(INDEX(Assumptions!$F$31:$F$42, MATCH(CT53, Assumptions!$D$31:$D$42, 0))*$C$55, 0)</f>
        <v>0</v>
      </c>
      <c r="CU58" s="9">
        <f>+IFERROR(INDEX(Assumptions!$F$31:$F$42, MATCH(CU53, Assumptions!$D$31:$D$42, 0))*$C$55, 0)</f>
        <v>0</v>
      </c>
      <c r="CV58" s="9">
        <f>+IFERROR(INDEX(Assumptions!$F$31:$F$42, MATCH(CV53, Assumptions!$D$31:$D$42, 0))*$C$55, 0)</f>
        <v>0</v>
      </c>
      <c r="CW58" s="9">
        <f>+IFERROR(INDEX(Assumptions!$F$31:$F$42, MATCH(CW53, Assumptions!$D$31:$D$42, 0))*$C$55, 0)</f>
        <v>0</v>
      </c>
      <c r="CX58" s="9">
        <f>+IFERROR(INDEX(Assumptions!$F$31:$F$42, MATCH(CX53, Assumptions!$D$31:$D$42, 0))*$C$55, 0)</f>
        <v>0</v>
      </c>
      <c r="CY58" s="9">
        <f>+IFERROR(INDEX(Assumptions!$F$31:$F$42, MATCH(CY53, Assumptions!$D$31:$D$42, 0))*$C$55, 0)</f>
        <v>0</v>
      </c>
      <c r="CZ58" s="9">
        <f>+IFERROR(INDEX(Assumptions!$F$31:$F$42, MATCH(CZ53, Assumptions!$D$31:$D$42, 0))*$C$55, 0)</f>
        <v>0</v>
      </c>
      <c r="DA58" s="9">
        <f>+IFERROR(INDEX(Assumptions!$F$31:$F$42, MATCH(DA53, Assumptions!$D$31:$D$42, 0))*$C$55, 0)</f>
        <v>0</v>
      </c>
      <c r="DB58" s="9">
        <f>+IFERROR(INDEX(Assumptions!$F$31:$F$42, MATCH(DB53, Assumptions!$D$31:$D$42, 0))*$C$55, 0)</f>
        <v>0</v>
      </c>
      <c r="DC58" s="9">
        <f>+IFERROR(INDEX(Assumptions!$F$31:$F$42, MATCH(DC53, Assumptions!$D$31:$D$42, 0))*$C$55, 0)</f>
        <v>0</v>
      </c>
      <c r="DD58" s="9">
        <f>+IFERROR(INDEX(Assumptions!$F$31:$F$42, MATCH(DD53, Assumptions!$D$31:$D$42, 0))*$C$55, 0)</f>
        <v>0</v>
      </c>
      <c r="DE58" s="9">
        <f>+IFERROR(INDEX(Assumptions!$F$31:$F$42, MATCH(DE53, Assumptions!$D$31:$D$42, 0))*$C$55, 0)</f>
        <v>0</v>
      </c>
      <c r="DF58" s="9">
        <f>+IFERROR(INDEX(Assumptions!$F$31:$F$42, MATCH(DF53, Assumptions!$D$31:$D$42, 0))*$C$55, 0)</f>
        <v>0</v>
      </c>
      <c r="DG58" s="9">
        <f>+IFERROR(INDEX(Assumptions!$F$31:$F$42, MATCH(DG53, Assumptions!$D$31:$D$42, 0))*$C$55, 0)</f>
        <v>0</v>
      </c>
      <c r="DH58" s="9">
        <f>+IFERROR(INDEX(Assumptions!$F$31:$F$42, MATCH(DH53, Assumptions!$D$31:$D$42, 0))*$C$55, 0)</f>
        <v>0</v>
      </c>
    </row>
    <row r="59" spans="2:112" x14ac:dyDescent="0.25">
      <c r="D59" t="s">
        <v>277</v>
      </c>
      <c r="F59" s="9">
        <f t="shared" ref="F59" si="1551">+F58+E59</f>
        <v>0</v>
      </c>
      <c r="G59" s="9">
        <f t="shared" ref="G59" si="1552">+G58+F59</f>
        <v>0</v>
      </c>
      <c r="H59" s="9">
        <f t="shared" ref="H59" si="1553">+H58+G59</f>
        <v>0</v>
      </c>
      <c r="I59" s="9">
        <f t="shared" ref="I59" si="1554">+I58+H59</f>
        <v>0</v>
      </c>
      <c r="J59" s="9">
        <f t="shared" ref="J59" si="1555">+J58+I59</f>
        <v>0</v>
      </c>
      <c r="K59" s="9">
        <f t="shared" ref="K59" si="1556">+K58+J59</f>
        <v>0</v>
      </c>
      <c r="L59" s="9">
        <f t="shared" ref="L59" si="1557">+L58+K59</f>
        <v>0</v>
      </c>
      <c r="M59" s="9">
        <f t="shared" ref="M59" si="1558">+M58+L59</f>
        <v>0</v>
      </c>
      <c r="N59" s="9">
        <f t="shared" ref="N59" si="1559">+N58+M59</f>
        <v>0</v>
      </c>
      <c r="O59" s="9">
        <f t="shared" ref="O59" si="1560">+O58+N59</f>
        <v>0</v>
      </c>
      <c r="P59" s="9">
        <f t="shared" ref="P59" si="1561">+P58+O59</f>
        <v>0</v>
      </c>
      <c r="Q59" s="9">
        <f t="shared" ref="Q59" si="1562">+Q58+P59</f>
        <v>0</v>
      </c>
      <c r="R59" s="9">
        <f t="shared" ref="R59" si="1563">+R58+Q59</f>
        <v>0</v>
      </c>
      <c r="S59" s="9">
        <f t="shared" ref="S59" si="1564">+S58+R59</f>
        <v>0</v>
      </c>
      <c r="T59" s="9">
        <f t="shared" ref="T59" si="1565">+T58+S59</f>
        <v>0</v>
      </c>
      <c r="U59" s="9">
        <f t="shared" ref="U59" si="1566">+U58+T59</f>
        <v>0</v>
      </c>
      <c r="V59" s="9">
        <f t="shared" ref="V59" si="1567">+V58+U59</f>
        <v>0</v>
      </c>
      <c r="W59" s="9">
        <f>+W58+V59</f>
        <v>0</v>
      </c>
      <c r="X59" s="9">
        <f t="shared" ref="X59" si="1568">+X58+W59</f>
        <v>0</v>
      </c>
      <c r="Y59" s="9">
        <f t="shared" ref="Y59" si="1569">+Y58+X59</f>
        <v>0</v>
      </c>
      <c r="Z59" s="9">
        <f t="shared" ref="Z59" si="1570">+Z58+Y59</f>
        <v>0</v>
      </c>
      <c r="AA59" s="9">
        <f t="shared" ref="AA59" si="1571">+AA58+Z59</f>
        <v>0</v>
      </c>
      <c r="AB59" s="9">
        <f t="shared" ref="AB59" si="1572">+AB58+AA59</f>
        <v>0</v>
      </c>
      <c r="AC59" s="9">
        <f t="shared" ref="AC59" si="1573">+AC58+AB59</f>
        <v>0</v>
      </c>
      <c r="AD59" s="9">
        <f t="shared" ref="AD59" si="1574">+AD58+AC59</f>
        <v>0</v>
      </c>
      <c r="AE59" s="9">
        <f t="shared" ref="AE59" si="1575">+AE58+AD59</f>
        <v>0</v>
      </c>
      <c r="AF59" s="9">
        <f t="shared" ref="AF59" si="1576">+AF58+AE59</f>
        <v>0</v>
      </c>
      <c r="AG59" s="9">
        <f t="shared" ref="AG59" si="1577">+AG58+AF59</f>
        <v>0</v>
      </c>
      <c r="AH59" s="9">
        <f t="shared" ref="AH59" si="1578">+AH58+AG59</f>
        <v>0</v>
      </c>
      <c r="AI59" s="9">
        <f t="shared" ref="AI59" si="1579">+AI58+AH59</f>
        <v>0</v>
      </c>
      <c r="AJ59" s="9">
        <f t="shared" ref="AJ59" si="1580">+AJ58+AI59</f>
        <v>0</v>
      </c>
      <c r="AK59" s="9">
        <f t="shared" ref="AK59" si="1581">+AK58+AJ59</f>
        <v>0</v>
      </c>
      <c r="AL59" s="9">
        <f t="shared" ref="AL59" si="1582">+AL58+AK59</f>
        <v>0</v>
      </c>
      <c r="AM59" s="9">
        <f t="shared" ref="AM59" si="1583">+AM58+AL59</f>
        <v>0</v>
      </c>
      <c r="AN59" s="9">
        <f t="shared" ref="AN59" si="1584">+AN58+AM59</f>
        <v>0</v>
      </c>
      <c r="AO59" s="9">
        <f t="shared" ref="AO59" si="1585">+AO58+AN59</f>
        <v>0</v>
      </c>
      <c r="AP59" s="9">
        <f t="shared" ref="AP59" si="1586">+AP58+AO59</f>
        <v>0</v>
      </c>
      <c r="AQ59" s="9">
        <f t="shared" ref="AQ59" si="1587">+AQ58+AP59</f>
        <v>0</v>
      </c>
      <c r="AR59" s="9">
        <f t="shared" ref="AR59" si="1588">+AR58+AQ59</f>
        <v>0</v>
      </c>
      <c r="AS59" s="9">
        <f t="shared" ref="AS59" si="1589">+AS58+AR59</f>
        <v>0</v>
      </c>
      <c r="AT59" s="9">
        <f t="shared" ref="AT59" si="1590">+AT58+AS59</f>
        <v>0</v>
      </c>
      <c r="AU59" s="9">
        <f t="shared" ref="AU59" si="1591">+AU58+AT59</f>
        <v>0</v>
      </c>
      <c r="AV59" s="9">
        <f t="shared" ref="AV59" si="1592">+AV58+AU59</f>
        <v>0</v>
      </c>
      <c r="AW59" s="9">
        <f t="shared" ref="AW59" si="1593">+AW58+AV59</f>
        <v>0</v>
      </c>
      <c r="AX59" s="9">
        <f t="shared" ref="AX59" si="1594">+AX58+AW59</f>
        <v>0</v>
      </c>
      <c r="AY59" s="9">
        <f t="shared" ref="AY59" si="1595">+AY58+AX59</f>
        <v>0</v>
      </c>
      <c r="AZ59" s="9">
        <f t="shared" ref="AZ59" si="1596">+AZ58+AY59</f>
        <v>0</v>
      </c>
      <c r="BA59" s="9">
        <f t="shared" ref="BA59" si="1597">+BA58+AZ59</f>
        <v>0</v>
      </c>
      <c r="BB59" s="9">
        <f t="shared" ref="BB59" si="1598">+BB58+BA59</f>
        <v>0</v>
      </c>
      <c r="BC59" s="9">
        <f t="shared" ref="BC59" si="1599">+BC58+BB59</f>
        <v>0</v>
      </c>
      <c r="BD59" s="9">
        <f t="shared" ref="BD59" si="1600">+BD58+BC59</f>
        <v>0</v>
      </c>
      <c r="BE59" s="9">
        <f t="shared" ref="BE59" si="1601">+BE58+BD59</f>
        <v>0</v>
      </c>
      <c r="BF59" s="9">
        <f t="shared" ref="BF59" si="1602">+BF58+BE59</f>
        <v>0</v>
      </c>
      <c r="BG59" s="9">
        <f t="shared" ref="BG59" si="1603">+BG58+BF59</f>
        <v>0</v>
      </c>
      <c r="BH59" s="9">
        <f t="shared" ref="BH59" si="1604">+BH58+BG59</f>
        <v>0</v>
      </c>
      <c r="BI59" s="9">
        <f t="shared" ref="BI59" si="1605">+BI58+BH59</f>
        <v>0</v>
      </c>
      <c r="BJ59" s="9">
        <f t="shared" ref="BJ59" si="1606">+BJ58+BI59</f>
        <v>0</v>
      </c>
      <c r="BK59" s="9">
        <f t="shared" ref="BK59" si="1607">+BK58+BJ59</f>
        <v>0</v>
      </c>
      <c r="BL59" s="9">
        <f t="shared" ref="BL59" si="1608">+BL58+BK59</f>
        <v>0</v>
      </c>
      <c r="BM59" s="9">
        <f t="shared" ref="BM59" si="1609">+BM58+BL59</f>
        <v>0</v>
      </c>
      <c r="BN59" s="9">
        <f t="shared" ref="BN59" si="1610">+BN58+BM59</f>
        <v>0</v>
      </c>
      <c r="BO59" s="9">
        <f t="shared" ref="BO59" si="1611">+BO58+BN59</f>
        <v>0</v>
      </c>
      <c r="BP59" s="9">
        <f t="shared" ref="BP59" si="1612">+BP58+BO59</f>
        <v>0</v>
      </c>
      <c r="BQ59" s="9">
        <f t="shared" ref="BQ59" si="1613">+BQ58+BP59</f>
        <v>0</v>
      </c>
      <c r="BR59" s="9">
        <f t="shared" ref="BR59" si="1614">+BR58+BQ59</f>
        <v>0</v>
      </c>
      <c r="BS59" s="9">
        <f t="shared" ref="BS59" si="1615">+BS58+BR59</f>
        <v>0</v>
      </c>
      <c r="BT59" s="9">
        <f t="shared" ref="BT59" si="1616">+BT58+BS59</f>
        <v>0</v>
      </c>
      <c r="BU59" s="9">
        <f t="shared" ref="BU59" si="1617">+BU58+BT59</f>
        <v>0</v>
      </c>
      <c r="BV59" s="9">
        <f t="shared" ref="BV59" si="1618">+BV58+BU59</f>
        <v>0</v>
      </c>
      <c r="BW59" s="9">
        <f t="shared" ref="BW59" si="1619">+BW58+BV59</f>
        <v>0</v>
      </c>
      <c r="BX59" s="9">
        <f t="shared" ref="BX59" si="1620">+BX58+BW59</f>
        <v>0</v>
      </c>
      <c r="BY59" s="9">
        <f t="shared" ref="BY59" si="1621">+BY58+BX59</f>
        <v>0</v>
      </c>
      <c r="BZ59" s="9">
        <f t="shared" ref="BZ59" si="1622">+BZ58+BY59</f>
        <v>0</v>
      </c>
      <c r="CA59" s="9">
        <f t="shared" ref="CA59" si="1623">+CA58+BZ59</f>
        <v>0</v>
      </c>
      <c r="CB59" s="9">
        <f t="shared" ref="CB59" si="1624">+CB58+CA59</f>
        <v>0</v>
      </c>
      <c r="CC59" s="9">
        <f t="shared" ref="CC59" si="1625">+CC58+CB59</f>
        <v>0</v>
      </c>
      <c r="CD59" s="9">
        <f t="shared" ref="CD59" si="1626">+CD58+CC59</f>
        <v>0</v>
      </c>
      <c r="CE59" s="9">
        <f t="shared" ref="CE59" si="1627">+CE58+CD59</f>
        <v>0</v>
      </c>
      <c r="CF59" s="9">
        <f t="shared" ref="CF59" si="1628">+CF58+CE59</f>
        <v>0</v>
      </c>
      <c r="CG59" s="9">
        <f t="shared" ref="CG59" si="1629">+CG58+CF59</f>
        <v>0</v>
      </c>
      <c r="CH59" s="9">
        <f t="shared" ref="CH59" si="1630">+CH58+CG59</f>
        <v>0</v>
      </c>
      <c r="CI59" s="9">
        <f t="shared" ref="CI59" si="1631">+CI58+CH59</f>
        <v>450000</v>
      </c>
      <c r="CJ59" s="9">
        <f t="shared" ref="CJ59" si="1632">+CJ58+CI59</f>
        <v>450000</v>
      </c>
      <c r="CK59" s="9">
        <f t="shared" ref="CK59" si="1633">+CK58+CJ59</f>
        <v>450000</v>
      </c>
      <c r="CL59" s="9">
        <f t="shared" ref="CL59" si="1634">+CL58+CK59</f>
        <v>450000</v>
      </c>
      <c r="CM59" s="9">
        <f t="shared" ref="CM59" si="1635">+CM58+CL59</f>
        <v>1350000</v>
      </c>
      <c r="CN59" s="9">
        <f t="shared" ref="CN59" si="1636">+CN58+CM59</f>
        <v>2475000</v>
      </c>
      <c r="CO59" s="9">
        <f t="shared" ref="CO59" si="1637">+CO58+CN59</f>
        <v>3150000</v>
      </c>
      <c r="CP59" s="9">
        <f t="shared" ref="CP59" si="1638">+CP58+CO59</f>
        <v>3150000</v>
      </c>
      <c r="CQ59" s="9">
        <f t="shared" ref="CQ59" si="1639">+CQ58+CP59</f>
        <v>3825000</v>
      </c>
      <c r="CR59" s="9">
        <f t="shared" ref="CR59" si="1640">+CR58+CQ59</f>
        <v>3825000</v>
      </c>
      <c r="CS59" s="9">
        <f t="shared" ref="CS59" si="1641">+CS58+CR59</f>
        <v>4500000</v>
      </c>
      <c r="CT59" s="9">
        <f t="shared" ref="CT59" si="1642">+CT58+CS59</f>
        <v>4500000</v>
      </c>
      <c r="CU59" s="9">
        <f t="shared" ref="CU59" si="1643">+CU58+CT59</f>
        <v>4500000</v>
      </c>
      <c r="CV59" s="9">
        <f t="shared" ref="CV59" si="1644">+CV58+CU59</f>
        <v>4500000</v>
      </c>
      <c r="CW59" s="9">
        <f t="shared" ref="CW59" si="1645">+CW58+CV59</f>
        <v>4500000</v>
      </c>
      <c r="CX59" s="9">
        <f t="shared" ref="CX59" si="1646">+CX58+CW59</f>
        <v>4500000</v>
      </c>
      <c r="CY59" s="9">
        <f t="shared" ref="CY59" si="1647">+CY58+CX59</f>
        <v>4500000</v>
      </c>
      <c r="CZ59" s="9">
        <f t="shared" ref="CZ59" si="1648">+CZ58+CY59</f>
        <v>4500000</v>
      </c>
      <c r="DA59" s="9">
        <f t="shared" ref="DA59" si="1649">+DA58+CZ59</f>
        <v>4500000</v>
      </c>
      <c r="DB59" s="9">
        <f t="shared" ref="DB59" si="1650">+DB58+DA59</f>
        <v>4500000</v>
      </c>
      <c r="DC59" s="9">
        <f t="shared" ref="DC59" si="1651">+DC58+DB59</f>
        <v>4500000</v>
      </c>
      <c r="DD59" s="9">
        <f t="shared" ref="DD59" si="1652">+DD58+DC59</f>
        <v>4500000</v>
      </c>
      <c r="DE59" s="9">
        <f t="shared" ref="DE59" si="1653">+DE58+DD59</f>
        <v>4500000</v>
      </c>
      <c r="DF59" s="9">
        <f t="shared" ref="DF59" si="1654">+DF58+DE59</f>
        <v>4500000</v>
      </c>
      <c r="DG59" s="9">
        <f t="shared" ref="DG59:DH59" si="1655">+DG58+DF59</f>
        <v>4500000</v>
      </c>
      <c r="DH59" s="9">
        <f t="shared" si="1655"/>
        <v>4500000</v>
      </c>
    </row>
    <row r="60" spans="2:112" x14ac:dyDescent="0.25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</row>
    <row r="61" spans="2:112" x14ac:dyDescent="0.25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</row>
    <row r="62" spans="2:112" x14ac:dyDescent="0.25">
      <c r="F62" s="472">
        <f>+IF(F$3&lt;$C$66,0,IF(AND(F$3&gt;=$C$66,E62&lt;12, $C$67&gt;=F$3),E62+1,0))</f>
        <v>0</v>
      </c>
      <c r="G62" s="472">
        <f t="shared" ref="G62:BR62" si="1656">+IF(G$3&lt;$C$66,0,IF(AND(G$3&gt;=$C$66,F62&lt;12, $C$67&gt;=G$3),F62+1,0))</f>
        <v>0</v>
      </c>
      <c r="H62" s="472">
        <f t="shared" si="1656"/>
        <v>0</v>
      </c>
      <c r="I62" s="472">
        <f t="shared" si="1656"/>
        <v>0</v>
      </c>
      <c r="J62" s="472">
        <f t="shared" si="1656"/>
        <v>0</v>
      </c>
      <c r="K62" s="472">
        <f t="shared" si="1656"/>
        <v>0</v>
      </c>
      <c r="L62" s="472">
        <f t="shared" si="1656"/>
        <v>0</v>
      </c>
      <c r="M62" s="472">
        <f t="shared" si="1656"/>
        <v>0</v>
      </c>
      <c r="N62" s="472">
        <f t="shared" si="1656"/>
        <v>0</v>
      </c>
      <c r="O62" s="472">
        <f t="shared" si="1656"/>
        <v>0</v>
      </c>
      <c r="P62" s="472">
        <f t="shared" si="1656"/>
        <v>0</v>
      </c>
      <c r="Q62" s="472">
        <f t="shared" si="1656"/>
        <v>0</v>
      </c>
      <c r="R62" s="82">
        <f t="shared" si="1656"/>
        <v>0</v>
      </c>
      <c r="S62" s="472">
        <f t="shared" si="1656"/>
        <v>0</v>
      </c>
      <c r="T62" s="472">
        <f t="shared" si="1656"/>
        <v>0</v>
      </c>
      <c r="U62" s="472">
        <f t="shared" si="1656"/>
        <v>0</v>
      </c>
      <c r="V62" s="82">
        <f t="shared" si="1656"/>
        <v>0</v>
      </c>
      <c r="W62" s="82">
        <f t="shared" si="1656"/>
        <v>0</v>
      </c>
      <c r="X62" s="82">
        <f t="shared" si="1656"/>
        <v>0</v>
      </c>
      <c r="Y62" s="82">
        <f t="shared" si="1656"/>
        <v>0</v>
      </c>
      <c r="Z62" s="82">
        <f t="shared" si="1656"/>
        <v>0</v>
      </c>
      <c r="AA62" s="82">
        <f t="shared" si="1656"/>
        <v>0</v>
      </c>
      <c r="AB62" s="82">
        <f t="shared" si="1656"/>
        <v>0</v>
      </c>
      <c r="AC62" s="82">
        <f t="shared" si="1656"/>
        <v>0</v>
      </c>
      <c r="AD62" s="82">
        <f t="shared" si="1656"/>
        <v>0</v>
      </c>
      <c r="AE62" s="82">
        <f t="shared" si="1656"/>
        <v>0</v>
      </c>
      <c r="AF62" s="472">
        <f t="shared" si="1656"/>
        <v>0</v>
      </c>
      <c r="AG62" s="82">
        <f t="shared" si="1656"/>
        <v>0</v>
      </c>
      <c r="AH62" s="472">
        <f t="shared" si="1656"/>
        <v>0</v>
      </c>
      <c r="AI62" s="472">
        <f t="shared" si="1656"/>
        <v>0</v>
      </c>
      <c r="AJ62" s="472">
        <f t="shared" si="1656"/>
        <v>0</v>
      </c>
      <c r="AK62" s="472">
        <f t="shared" si="1656"/>
        <v>0</v>
      </c>
      <c r="AL62" s="472">
        <f t="shared" si="1656"/>
        <v>0</v>
      </c>
      <c r="AM62" s="472">
        <f t="shared" si="1656"/>
        <v>0</v>
      </c>
      <c r="AN62" s="472">
        <f t="shared" si="1656"/>
        <v>0</v>
      </c>
      <c r="AO62" s="472">
        <f t="shared" si="1656"/>
        <v>0</v>
      </c>
      <c r="AP62" s="472">
        <f t="shared" si="1656"/>
        <v>0</v>
      </c>
      <c r="AQ62" s="472">
        <f t="shared" si="1656"/>
        <v>0</v>
      </c>
      <c r="AR62" s="472">
        <f t="shared" si="1656"/>
        <v>0</v>
      </c>
      <c r="AS62" s="472">
        <f t="shared" si="1656"/>
        <v>0</v>
      </c>
      <c r="AT62" s="472">
        <f t="shared" si="1656"/>
        <v>0</v>
      </c>
      <c r="AU62" s="472">
        <f t="shared" si="1656"/>
        <v>0</v>
      </c>
      <c r="AV62" s="472">
        <f t="shared" si="1656"/>
        <v>0</v>
      </c>
      <c r="AW62" s="472">
        <f t="shared" si="1656"/>
        <v>0</v>
      </c>
      <c r="AX62" s="472">
        <f t="shared" si="1656"/>
        <v>0</v>
      </c>
      <c r="AY62" s="472">
        <f t="shared" si="1656"/>
        <v>0</v>
      </c>
      <c r="AZ62" s="472">
        <f t="shared" si="1656"/>
        <v>0</v>
      </c>
      <c r="BA62" s="472">
        <f t="shared" si="1656"/>
        <v>0</v>
      </c>
      <c r="BB62" s="472">
        <f t="shared" si="1656"/>
        <v>0</v>
      </c>
      <c r="BC62" s="472">
        <f t="shared" si="1656"/>
        <v>0</v>
      </c>
      <c r="BD62" s="472">
        <f t="shared" si="1656"/>
        <v>0</v>
      </c>
      <c r="BE62" s="472">
        <f t="shared" si="1656"/>
        <v>0</v>
      </c>
      <c r="BF62" s="472">
        <f t="shared" si="1656"/>
        <v>0</v>
      </c>
      <c r="BG62" s="472">
        <f t="shared" si="1656"/>
        <v>0</v>
      </c>
      <c r="BH62" s="472">
        <f t="shared" si="1656"/>
        <v>0</v>
      </c>
      <c r="BI62" s="472">
        <f t="shared" si="1656"/>
        <v>0</v>
      </c>
      <c r="BJ62" s="472">
        <f t="shared" si="1656"/>
        <v>0</v>
      </c>
      <c r="BK62" s="472">
        <f t="shared" si="1656"/>
        <v>0</v>
      </c>
      <c r="BL62" s="472">
        <f t="shared" si="1656"/>
        <v>0</v>
      </c>
      <c r="BM62" s="472">
        <f t="shared" si="1656"/>
        <v>0</v>
      </c>
      <c r="BN62" s="472">
        <f t="shared" si="1656"/>
        <v>0</v>
      </c>
      <c r="BO62" s="472">
        <f t="shared" si="1656"/>
        <v>0</v>
      </c>
      <c r="BP62" s="472">
        <f t="shared" si="1656"/>
        <v>0</v>
      </c>
      <c r="BQ62" s="472">
        <f t="shared" si="1656"/>
        <v>0</v>
      </c>
      <c r="BR62" s="472">
        <f t="shared" si="1656"/>
        <v>0</v>
      </c>
      <c r="BS62" s="472">
        <f t="shared" ref="BS62:CV62" si="1657">+IF(BS$3&lt;$C$66,0,IF(AND(BS$3&gt;=$C$66,BR62&lt;12, $C$67&gt;=BS$3),BR62+1,0))</f>
        <v>0</v>
      </c>
      <c r="BT62" s="472">
        <f t="shared" si="1657"/>
        <v>0</v>
      </c>
      <c r="BU62" s="472">
        <f t="shared" si="1657"/>
        <v>0</v>
      </c>
      <c r="BV62" s="472">
        <f t="shared" si="1657"/>
        <v>0</v>
      </c>
      <c r="BW62" s="472">
        <f t="shared" si="1657"/>
        <v>0</v>
      </c>
      <c r="BX62" s="472">
        <f t="shared" si="1657"/>
        <v>0</v>
      </c>
      <c r="BY62" s="472">
        <f t="shared" si="1657"/>
        <v>0</v>
      </c>
      <c r="BZ62" s="472">
        <f t="shared" si="1657"/>
        <v>0</v>
      </c>
      <c r="CA62" s="472">
        <f t="shared" si="1657"/>
        <v>0</v>
      </c>
      <c r="CB62" s="472">
        <f t="shared" si="1657"/>
        <v>0</v>
      </c>
      <c r="CC62" s="472">
        <f t="shared" si="1657"/>
        <v>0</v>
      </c>
      <c r="CD62" s="472">
        <f t="shared" si="1657"/>
        <v>0</v>
      </c>
      <c r="CE62" s="472">
        <f t="shared" si="1657"/>
        <v>0</v>
      </c>
      <c r="CF62" s="472">
        <f t="shared" si="1657"/>
        <v>0</v>
      </c>
      <c r="CG62" s="472">
        <f t="shared" si="1657"/>
        <v>0</v>
      </c>
      <c r="CH62" s="472">
        <f t="shared" si="1657"/>
        <v>0</v>
      </c>
      <c r="CI62" s="472">
        <f t="shared" si="1657"/>
        <v>0</v>
      </c>
      <c r="CJ62" s="472">
        <f t="shared" si="1657"/>
        <v>0</v>
      </c>
      <c r="CK62" s="472">
        <f t="shared" si="1657"/>
        <v>0</v>
      </c>
      <c r="CL62" s="472">
        <f t="shared" si="1657"/>
        <v>0</v>
      </c>
      <c r="CM62" s="472">
        <f t="shared" si="1657"/>
        <v>0</v>
      </c>
      <c r="CN62" s="472">
        <f t="shared" si="1657"/>
        <v>0</v>
      </c>
      <c r="CO62" s="472">
        <f t="shared" si="1657"/>
        <v>0</v>
      </c>
      <c r="CP62" s="472">
        <f t="shared" si="1657"/>
        <v>0</v>
      </c>
      <c r="CQ62" s="472">
        <f t="shared" si="1657"/>
        <v>0</v>
      </c>
      <c r="CR62" s="472">
        <f t="shared" si="1657"/>
        <v>0</v>
      </c>
      <c r="CS62" s="472">
        <f t="shared" si="1657"/>
        <v>0</v>
      </c>
      <c r="CT62" s="472">
        <f t="shared" si="1657"/>
        <v>0</v>
      </c>
      <c r="CU62" s="472">
        <f t="shared" si="1657"/>
        <v>1</v>
      </c>
      <c r="CV62" s="472">
        <f t="shared" si="1657"/>
        <v>2</v>
      </c>
      <c r="CW62" s="472">
        <f t="shared" ref="CW62:DG62" si="1658">+IF(CW$3&lt;$C$66,0,IF(AND(CW$3&gt;=$C$66,CV62&lt;12, $C$67&gt;=CW$3),CV62+1,0))</f>
        <v>3</v>
      </c>
      <c r="CX62" s="472">
        <f t="shared" si="1658"/>
        <v>4</v>
      </c>
      <c r="CY62" s="472">
        <f t="shared" si="1658"/>
        <v>5</v>
      </c>
      <c r="CZ62" s="472">
        <f t="shared" si="1658"/>
        <v>6</v>
      </c>
      <c r="DA62" s="472">
        <f t="shared" si="1658"/>
        <v>7</v>
      </c>
      <c r="DB62" s="472">
        <f t="shared" si="1658"/>
        <v>8</v>
      </c>
      <c r="DC62" s="472">
        <f t="shared" si="1658"/>
        <v>9</v>
      </c>
      <c r="DD62" s="472">
        <f t="shared" si="1658"/>
        <v>10</v>
      </c>
      <c r="DE62" s="472">
        <f t="shared" si="1658"/>
        <v>11</v>
      </c>
      <c r="DF62" s="472">
        <f t="shared" si="1658"/>
        <v>12</v>
      </c>
      <c r="DG62" s="472">
        <f t="shared" si="1658"/>
        <v>0</v>
      </c>
      <c r="DH62" s="472">
        <f t="shared" ref="DH62" si="1659">+IF(DH$3&lt;$C$66,0,IF(AND(DH$3&gt;=$C$66,DG62&lt;12, $C$67&gt;=DH$3),DG62+1,0))</f>
        <v>1</v>
      </c>
    </row>
    <row r="63" spans="2:112" x14ac:dyDescent="0.25">
      <c r="B63" t="s">
        <v>474</v>
      </c>
      <c r="D63" t="s">
        <v>232</v>
      </c>
      <c r="E63" s="422"/>
      <c r="F63" s="422">
        <f>+IFERROR(INDEX(Assumptions!$F$5:$F$16, MATCH(F62, Assumptions!$D$5:$D$16, 0))*$C$64, 0)</f>
        <v>0</v>
      </c>
      <c r="G63" s="422">
        <f>+IFERROR(INDEX(Assumptions!$F$5:$F$16, MATCH(G62, Assumptions!$D$5:$D$16, 0))*$C$64, 0)</f>
        <v>0</v>
      </c>
      <c r="H63" s="422">
        <f>+IFERROR(INDEX(Assumptions!$F$5:$F$16, MATCH(H62, Assumptions!$D$5:$D$16, 0))*$C$64, 0)</f>
        <v>0</v>
      </c>
      <c r="I63" s="422">
        <f>+IFERROR(INDEX(Assumptions!$F$5:$F$16, MATCH(I62, Assumptions!$D$5:$D$16, 0))*$C$64, 0)</f>
        <v>0</v>
      </c>
      <c r="J63" s="422">
        <f>+IFERROR(INDEX(Assumptions!$F$5:$F$16, MATCH(J62, Assumptions!$D$5:$D$16, 0))*$C$64, 0)</f>
        <v>0</v>
      </c>
      <c r="K63" s="422">
        <f>+IFERROR(INDEX(Assumptions!$F$5:$F$16, MATCH(K62, Assumptions!$D$5:$D$16, 0))*$C$64, 0)</f>
        <v>0</v>
      </c>
      <c r="L63" s="422">
        <f>+IFERROR(INDEX(Assumptions!$F$5:$F$16, MATCH(L62, Assumptions!$D$5:$D$16, 0))*$C$64, 0)</f>
        <v>0</v>
      </c>
      <c r="M63" s="422">
        <f>+IFERROR(INDEX(Assumptions!$F$5:$F$16, MATCH(M62, Assumptions!$D$5:$D$16, 0))*$C$64, 0)</f>
        <v>0</v>
      </c>
      <c r="N63" s="422">
        <f>+IFERROR(INDEX(Assumptions!$F$5:$F$16, MATCH(N62, Assumptions!$D$5:$D$16, 0))*$C$64, 0)</f>
        <v>0</v>
      </c>
      <c r="O63" s="422">
        <f>+IFERROR(INDEX(Assumptions!$F$5:$F$16, MATCH(O62, Assumptions!$D$5:$D$16, 0))*$C$64, 0)</f>
        <v>0</v>
      </c>
      <c r="P63" s="422">
        <f>+IFERROR(INDEX(Assumptions!$F$5:$F$16, MATCH(P62, Assumptions!$D$5:$D$16, 0))*$C$64, 0)</f>
        <v>0</v>
      </c>
      <c r="Q63" s="470">
        <f>+IFERROR(INDEX(Assumptions!$F$5:$F$16, MATCH(Q62, Assumptions!$D$5:$D$16, 0))*$C$64, 0)</f>
        <v>0</v>
      </c>
      <c r="R63" s="494">
        <f>+IFERROR(INDEX(Assumptions!$F$5:$F$16, MATCH(R62, Assumptions!$D$5:$D$16, 0))*$C$64, 0)</f>
        <v>0</v>
      </c>
      <c r="S63" s="422">
        <f>+IFERROR(INDEX(Assumptions!$F$5:$F$16, MATCH(S62, Assumptions!$D$5:$D$16, 0))*$C$64, 0)</f>
        <v>0</v>
      </c>
      <c r="T63" s="422">
        <f>+IFERROR(INDEX(Assumptions!$F$5:$F$16, MATCH(T62, Assumptions!$D$5:$D$16, 0))*$C$64, 0)</f>
        <v>0</v>
      </c>
      <c r="U63" s="422">
        <f>+IFERROR(INDEX(Assumptions!$F$5:$F$16, MATCH(U62, Assumptions!$D$5:$D$16, 0))*$C$64, 0)</f>
        <v>0</v>
      </c>
      <c r="V63" s="494">
        <f>+IFERROR(INDEX(Assumptions!$F$5:$F$16, MATCH(V62, Assumptions!$D$5:$D$16, 0))*$C$64, 0)</f>
        <v>0</v>
      </c>
      <c r="W63" s="146">
        <f>+IFERROR(INDEX(Assumptions!$F$5:$F$16, MATCH(W62, Assumptions!$D$5:$D$16, 0))*$C$64, 0)</f>
        <v>0</v>
      </c>
      <c r="X63" s="146">
        <f>+IFERROR(INDEX(Assumptions!$F$5:$F$16, MATCH(X62, Assumptions!$D$5:$D$16, 0))*$C$64, 0)</f>
        <v>0</v>
      </c>
      <c r="Y63" s="146">
        <f>+IFERROR(INDEX(Assumptions!$F$5:$F$16, MATCH(Y62, Assumptions!$D$5:$D$16, 0))*$C$64, 0)</f>
        <v>0</v>
      </c>
      <c r="Z63" s="146">
        <f>+IFERROR(INDEX(Assumptions!$F$5:$F$16, MATCH(Z62, Assumptions!$D$5:$D$16, 0))*$C$64, 0)</f>
        <v>0</v>
      </c>
      <c r="AA63" s="146">
        <f>+IFERROR(INDEX(Assumptions!$F$5:$F$16, MATCH(AA62, Assumptions!$D$5:$D$16, 0))*$C$64, 0)</f>
        <v>0</v>
      </c>
      <c r="AB63" s="146">
        <f>+IFERROR(INDEX(Assumptions!$F$5:$F$16, MATCH(AB62, Assumptions!$D$5:$D$16, 0))*$C$64, 0)</f>
        <v>0</v>
      </c>
      <c r="AC63" s="146">
        <f>+IFERROR(INDEX(Assumptions!$F$5:$F$16, MATCH(AC62, Assumptions!$D$5:$D$16, 0))*$C$64, 0)</f>
        <v>0</v>
      </c>
      <c r="AD63" s="146">
        <f>+IFERROR(INDEX(Assumptions!$F$5:$F$16, MATCH(AD62, Assumptions!$D$5:$D$16, 0))*$C$64, 0)</f>
        <v>0</v>
      </c>
      <c r="AE63" s="146">
        <f>+IFERROR(INDEX(Assumptions!$F$5:$F$16, MATCH(AE62, Assumptions!$D$5:$D$16, 0))*$C$64, 0)</f>
        <v>0</v>
      </c>
      <c r="AF63" s="245">
        <f>+IFERROR(INDEX(Assumptions!$F$5:$F$16, MATCH(AF62, Assumptions!$D$5:$D$16, 0))*$C$64, 0)</f>
        <v>0</v>
      </c>
      <c r="AG63" s="146">
        <f>+IFERROR(INDEX(Assumptions!$F$5:$F$16, MATCH(AG62, Assumptions!$D$5:$D$16, 0))*$C$64, 0)</f>
        <v>0</v>
      </c>
      <c r="AH63" s="245">
        <f>+IFERROR(INDEX(Assumptions!$F$5:$F$16, MATCH(AH62, Assumptions!$D$5:$D$16, 0))*$C$64, 0)</f>
        <v>0</v>
      </c>
      <c r="AI63" s="245">
        <f>+IFERROR(INDEX(Assumptions!$F$5:$F$16, MATCH(AI62, Assumptions!$D$5:$D$16, 0))*$C$64, 0)</f>
        <v>0</v>
      </c>
      <c r="AJ63" s="245">
        <f>+IFERROR(INDEX(Assumptions!$F$5:$F$16, MATCH(AJ62, Assumptions!$D$5:$D$16, 0))*$C$64, 0)</f>
        <v>0</v>
      </c>
      <c r="AK63" s="245">
        <f>+IFERROR(INDEX(Assumptions!$F$5:$F$16, MATCH(AK62, Assumptions!$D$5:$D$16, 0))*$C$64, 0)</f>
        <v>0</v>
      </c>
      <c r="AL63" s="245">
        <f>+IFERROR(INDEX(Assumptions!$F$5:$F$16, MATCH(AL62, Assumptions!$D$5:$D$16, 0))*$C$64, 0)</f>
        <v>0</v>
      </c>
      <c r="AM63" s="245">
        <f>+IFERROR(INDEX(Assumptions!$F$5:$F$16, MATCH(AM62, Assumptions!$D$5:$D$16, 0))*$C$64, 0)</f>
        <v>0</v>
      </c>
      <c r="AN63" s="245">
        <f>+IFERROR(INDEX(Assumptions!$F$5:$F$16, MATCH(AN62, Assumptions!$D$5:$D$16, 0))*$C$64, 0)</f>
        <v>0</v>
      </c>
      <c r="AO63" s="245">
        <f>+IFERROR(INDEX(Assumptions!$F$5:$F$16, MATCH(AO62, Assumptions!$D$5:$D$16, 0))*$C$64, 0)</f>
        <v>0</v>
      </c>
      <c r="AP63" s="245">
        <f>+IFERROR(INDEX(Assumptions!$F$5:$F$16, MATCH(AP62, Assumptions!$D$5:$D$16, 0))*$C$64, 0)</f>
        <v>0</v>
      </c>
      <c r="AQ63" s="245">
        <f>+IFERROR(INDEX(Assumptions!$F$5:$F$16, MATCH(AQ62, Assumptions!$D$5:$D$16, 0))*$C$64, 0)</f>
        <v>0</v>
      </c>
      <c r="AR63" s="245">
        <f>+IFERROR(INDEX(Assumptions!$F$5:$F$16, MATCH(AR62, Assumptions!$D$5:$D$16, 0))*$C$64, 0)</f>
        <v>0</v>
      </c>
      <c r="AS63" s="245">
        <f>+IFERROR(INDEX(Assumptions!$F$5:$F$16, MATCH(AS62, Assumptions!$D$5:$D$16, 0))*$C$64, 0)</f>
        <v>0</v>
      </c>
      <c r="AT63" s="245">
        <f>+IFERROR(INDEX(Assumptions!$F$5:$F$16, MATCH(AT62, Assumptions!$D$5:$D$16, 0))*$C$64, 0)</f>
        <v>0</v>
      </c>
      <c r="AU63" s="245">
        <f>+IFERROR(INDEX(Assumptions!$F$5:$F$16, MATCH(AU62, Assumptions!$D$5:$D$16, 0))*$C$64, 0)</f>
        <v>0</v>
      </c>
      <c r="AV63" s="245">
        <f>+IFERROR(INDEX(Assumptions!$F$5:$F$16, MATCH(AV62, Assumptions!$D$5:$D$16, 0))*$C$64, 0)</f>
        <v>0</v>
      </c>
      <c r="AW63" s="245">
        <f>+IFERROR(INDEX(Assumptions!$F$5:$F$16, MATCH(AW62, Assumptions!$D$5:$D$16, 0))*$C$64, 0)</f>
        <v>0</v>
      </c>
      <c r="AX63" s="245">
        <f>+IFERROR(INDEX(Assumptions!$F$5:$F$16, MATCH(AX62, Assumptions!$D$5:$D$16, 0))*$C$64, 0)</f>
        <v>0</v>
      </c>
      <c r="AY63" s="245">
        <f>+IFERROR(INDEX(Assumptions!$F$5:$F$16, MATCH(AY62, Assumptions!$D$5:$D$16, 0))*$C$64, 0)</f>
        <v>0</v>
      </c>
      <c r="AZ63" s="245">
        <f>+IFERROR(INDEX(Assumptions!$F$5:$F$16, MATCH(AZ62, Assumptions!$D$5:$D$16, 0))*$C$64, 0)</f>
        <v>0</v>
      </c>
      <c r="BA63" s="245">
        <f>+IFERROR(INDEX(Assumptions!$F$5:$F$16, MATCH(BA62, Assumptions!$D$5:$D$16, 0))*$C$64, 0)</f>
        <v>0</v>
      </c>
      <c r="BB63" s="245">
        <f>+IFERROR(INDEX(Assumptions!$F$5:$F$16, MATCH(BB62, Assumptions!$D$5:$D$16, 0))*$C$64, 0)</f>
        <v>0</v>
      </c>
      <c r="BC63" s="245">
        <f>+IFERROR(INDEX(Assumptions!$F$5:$F$16, MATCH(BC62, Assumptions!$D$5:$D$16, 0))*$C$64, 0)</f>
        <v>0</v>
      </c>
      <c r="BD63" s="245">
        <f>+IFERROR(INDEX(Assumptions!$F$5:$F$16, MATCH(BD62, Assumptions!$D$5:$D$16, 0))*$C$64, 0)</f>
        <v>0</v>
      </c>
      <c r="BE63" s="245">
        <f>+IFERROR(INDEX(Assumptions!$F$5:$F$16, MATCH(BE62, Assumptions!$D$5:$D$16, 0))*$C$64, 0)</f>
        <v>0</v>
      </c>
      <c r="BF63" s="245">
        <f>+IFERROR(INDEX(Assumptions!$F$5:$F$16, MATCH(BF62, Assumptions!$D$5:$D$16, 0))*$C$64, 0)</f>
        <v>0</v>
      </c>
      <c r="BG63" s="245">
        <f>+IFERROR(INDEX(Assumptions!$F$5:$F$16, MATCH(BG62, Assumptions!$D$5:$D$16, 0))*$C$64, 0)</f>
        <v>0</v>
      </c>
      <c r="BH63" s="245">
        <f>+IFERROR(INDEX(Assumptions!$F$5:$F$16, MATCH(BH62, Assumptions!$D$5:$D$16, 0))*$C$64, 0)</f>
        <v>0</v>
      </c>
      <c r="BI63" s="245">
        <f>+IFERROR(INDEX(Assumptions!$F$5:$F$16, MATCH(BI62, Assumptions!$D$5:$D$16, 0))*$C$64, 0)</f>
        <v>0</v>
      </c>
      <c r="BJ63" s="245">
        <f>+IFERROR(INDEX(Assumptions!$F$5:$F$16, MATCH(BJ62, Assumptions!$D$5:$D$16, 0))*$C$64, 0)</f>
        <v>0</v>
      </c>
      <c r="BK63" s="245">
        <f>+IFERROR(INDEX(Assumptions!$F$5:$F$16, MATCH(BK62, Assumptions!$D$5:$D$16, 0))*$C$64, 0)</f>
        <v>0</v>
      </c>
      <c r="BL63" s="245">
        <f>+IFERROR(INDEX(Assumptions!$F$5:$F$16, MATCH(BL62, Assumptions!$D$5:$D$16, 0))*$C$64, 0)</f>
        <v>0</v>
      </c>
      <c r="BM63" s="245">
        <f>+IFERROR(INDEX(Assumptions!$F$5:$F$16, MATCH(BM62, Assumptions!$D$5:$D$16, 0))*$C$64, 0)</f>
        <v>0</v>
      </c>
      <c r="BN63" s="245">
        <f>+IFERROR(INDEX(Assumptions!$F$5:$F$16, MATCH(BN62, Assumptions!$D$5:$D$16, 0))*$C$64, 0)</f>
        <v>0</v>
      </c>
      <c r="BO63" s="245">
        <f>+IFERROR(INDEX(Assumptions!$F$5:$F$16, MATCH(BO62, Assumptions!$D$5:$D$16, 0))*$C$64, 0)</f>
        <v>0</v>
      </c>
      <c r="BP63" s="245">
        <f>+IFERROR(INDEX(Assumptions!$F$5:$F$16, MATCH(BP62, Assumptions!$D$5:$D$16, 0))*$C$64, 0)</f>
        <v>0</v>
      </c>
      <c r="BQ63" s="245">
        <f>+IFERROR(INDEX(Assumptions!$F$5:$F$16, MATCH(BQ62, Assumptions!$D$5:$D$16, 0))*$C$64, 0)</f>
        <v>0</v>
      </c>
      <c r="BR63" s="245">
        <f>+IFERROR(INDEX(Assumptions!$F$5:$F$16, MATCH(BR62, Assumptions!$D$5:$D$16, 0))*$C$64, 0)</f>
        <v>0</v>
      </c>
      <c r="BS63" s="245">
        <f>+IFERROR(INDEX(Assumptions!$F$5:$F$16, MATCH(BS62, Assumptions!$D$5:$D$16, 0))*$C$64, 0)</f>
        <v>0</v>
      </c>
      <c r="BT63" s="245">
        <f>+IFERROR(INDEX(Assumptions!$F$5:$F$16, MATCH(BT62, Assumptions!$D$5:$D$16, 0))*$C$64, 0)</f>
        <v>0</v>
      </c>
      <c r="BU63" s="245">
        <f>+IFERROR(INDEX(Assumptions!$F$5:$F$16, MATCH(BU62, Assumptions!$D$5:$D$16, 0))*$C$64, 0)</f>
        <v>0</v>
      </c>
      <c r="BV63" s="245">
        <f>+IFERROR(INDEX(Assumptions!$F$5:$F$16, MATCH(BV62, Assumptions!$D$5:$D$16, 0))*$C$64, 0)</f>
        <v>0</v>
      </c>
      <c r="BW63" s="245">
        <f>+IFERROR(INDEX(Assumptions!$F$5:$F$16, MATCH(BW62, Assumptions!$D$5:$D$16, 0))*$C$64, 0)</f>
        <v>0</v>
      </c>
      <c r="BX63" s="245">
        <f>+IFERROR(INDEX(Assumptions!$F$5:$F$16, MATCH(BX62, Assumptions!$D$5:$D$16, 0))*$C$64, 0)</f>
        <v>0</v>
      </c>
      <c r="BY63" s="245">
        <f>+IFERROR(INDEX(Assumptions!$F$5:$F$16, MATCH(BY62, Assumptions!$D$5:$D$16, 0))*$C$64, 0)</f>
        <v>0</v>
      </c>
      <c r="BZ63" s="245">
        <f>+IFERROR(INDEX(Assumptions!$F$5:$F$16, MATCH(BZ62, Assumptions!$D$5:$D$16, 0))*$C$64, 0)</f>
        <v>0</v>
      </c>
      <c r="CA63" s="245">
        <f>+IFERROR(INDEX(Assumptions!$F$5:$F$16, MATCH(CA62, Assumptions!$D$5:$D$16, 0))*$C$64, 0)</f>
        <v>0</v>
      </c>
      <c r="CB63" s="245">
        <f>+IFERROR(INDEX(Assumptions!$F$5:$F$16, MATCH(CB62, Assumptions!$D$5:$D$16, 0))*$C$64, 0)</f>
        <v>0</v>
      </c>
      <c r="CC63" s="245">
        <f>+IFERROR(INDEX(Assumptions!$F$5:$F$16, MATCH(CC62, Assumptions!$D$5:$D$16, 0))*$C$64, 0)</f>
        <v>0</v>
      </c>
      <c r="CD63" s="245">
        <f>+IFERROR(INDEX(Assumptions!$F$5:$F$16, MATCH(CD62, Assumptions!$D$5:$D$16, 0))*$C$64, 0)</f>
        <v>0</v>
      </c>
      <c r="CE63" s="245">
        <f>+IFERROR(INDEX(Assumptions!$F$5:$F$16, MATCH(CE62, Assumptions!$D$5:$D$16, 0))*$C$64, 0)</f>
        <v>0</v>
      </c>
      <c r="CF63" s="245">
        <f>+IFERROR(INDEX(Assumptions!$F$5:$F$16, MATCH(CF62, Assumptions!$D$5:$D$16, 0))*$C$64, 0)</f>
        <v>0</v>
      </c>
      <c r="CG63" s="245">
        <f>+IFERROR(INDEX(Assumptions!$F$5:$F$16, MATCH(CG62, Assumptions!$D$5:$D$16, 0))*$C$64, 0)</f>
        <v>0</v>
      </c>
      <c r="CH63" s="245">
        <f>+IFERROR(INDEX(Assumptions!$F$5:$F$16, MATCH(CH62, Assumptions!$D$5:$D$16, 0))*$C$64, 0)</f>
        <v>0</v>
      </c>
      <c r="CI63" s="245">
        <f>+IFERROR(INDEX(Assumptions!$F$5:$F$16, MATCH(CI62, Assumptions!$D$5:$D$16, 0))*$C$64, 0)</f>
        <v>0</v>
      </c>
      <c r="CJ63" s="245">
        <f>+IFERROR(INDEX(Assumptions!$F$5:$F$16, MATCH(CJ62, Assumptions!$D$5:$D$16, 0))*$C$64, 0)</f>
        <v>0</v>
      </c>
      <c r="CK63" s="245">
        <f>+IFERROR(INDEX(Assumptions!$F$5:$F$16, MATCH(CK62, Assumptions!$D$5:$D$16, 0))*$C$64, 0)</f>
        <v>0</v>
      </c>
      <c r="CL63" s="245">
        <f>+IFERROR(INDEX(Assumptions!$F$5:$F$16, MATCH(CL62, Assumptions!$D$5:$D$16, 0))*$C$64, 0)</f>
        <v>0</v>
      </c>
      <c r="CM63" s="245">
        <f>+IFERROR(INDEX(Assumptions!$F$5:$F$16, MATCH(CM62, Assumptions!$D$5:$D$16, 0))*$C$64, 0)</f>
        <v>0</v>
      </c>
      <c r="CN63" s="245">
        <f>+IFERROR(INDEX(Assumptions!$F$5:$F$16, MATCH(CN62, Assumptions!$D$5:$D$16, 0))*$C$64, 0)</f>
        <v>0</v>
      </c>
      <c r="CO63" s="245">
        <f>+IFERROR(INDEX(Assumptions!$F$5:$F$16, MATCH(CO62, Assumptions!$D$5:$D$16, 0))*$C$64, 0)</f>
        <v>0</v>
      </c>
      <c r="CP63" s="245">
        <f>+IFERROR(INDEX(Assumptions!$F$5:$F$16, MATCH(CP62, Assumptions!$D$5:$D$16, 0))*$C$64, 0)</f>
        <v>0</v>
      </c>
      <c r="CQ63" s="245">
        <f>+IFERROR(INDEX(Assumptions!$F$5:$F$16, MATCH(CQ62, Assumptions!$D$5:$D$16, 0))*$C$64, 0)</f>
        <v>0</v>
      </c>
      <c r="CR63" s="245">
        <f>+IFERROR(INDEX(Assumptions!$F$5:$F$16, MATCH(CR62, Assumptions!$D$5:$D$16, 0))*$C$64, 0)</f>
        <v>0</v>
      </c>
      <c r="CS63" s="245">
        <f>+IFERROR(INDEX(Assumptions!$F$5:$F$16, MATCH(CS62, Assumptions!$D$5:$D$16, 0))*$C$64, 0)</f>
        <v>0</v>
      </c>
      <c r="CT63" s="245">
        <f>+IFERROR(INDEX(Assumptions!$F$5:$F$16, MATCH(CT62, Assumptions!$D$5:$D$16, 0))*$C$64, 0)</f>
        <v>0</v>
      </c>
      <c r="CU63" s="245">
        <f>+IFERROR(INDEX(Assumptions!$F$5:$F$16, MATCH(CU62, Assumptions!$D$5:$D$16, 0))*$C$64, 0)</f>
        <v>0</v>
      </c>
      <c r="CV63" s="245">
        <f>+IFERROR(INDEX(Assumptions!$F$5:$F$16, MATCH(CV62, Assumptions!$D$5:$D$16, 0))*$C$64, 0)</f>
        <v>29532.16853474456</v>
      </c>
      <c r="CW63" s="245">
        <f>+IFERROR(INDEX(Assumptions!$F$5:$F$16, MATCH(CW62, Assumptions!$D$5:$D$16, 0))*$C$64, 0)</f>
        <v>4223.8475302783572</v>
      </c>
      <c r="CX63" s="245">
        <f>+IFERROR(INDEX(Assumptions!$F$5:$F$16, MATCH(CX62, Assumptions!$D$5:$D$16, 0))*$C$64, 0)</f>
        <v>175048.14838542743</v>
      </c>
      <c r="CY63" s="245">
        <f>+IFERROR(INDEX(Assumptions!$F$5:$F$16, MATCH(CY62, Assumptions!$D$5:$D$16, 0))*$C$64, 0)</f>
        <v>15801.361464505526</v>
      </c>
      <c r="CZ63" s="245">
        <f>+IFERROR(INDEX(Assumptions!$F$5:$F$16, MATCH(CZ62, Assumptions!$D$5:$D$16, 0))*$C$64, 0)</f>
        <v>714835.96026355214</v>
      </c>
      <c r="DA63" s="245">
        <f>+IFERROR(INDEX(Assumptions!$F$5:$F$16, MATCH(DA62, Assumptions!$D$5:$D$16, 0))*$C$64, 0)</f>
        <v>1281943.0269765051</v>
      </c>
      <c r="DB63" s="245">
        <f>+IFERROR(INDEX(Assumptions!$F$5:$F$16, MATCH(DB62, Assumptions!$D$5:$D$16, 0))*$C$64, 0)</f>
        <v>863795.41877672798</v>
      </c>
      <c r="DC63" s="245">
        <f>+IFERROR(INDEX(Assumptions!$F$5:$F$16, MATCH(DC62, Assumptions!$D$5:$D$16, 0))*$C$64, 0)</f>
        <v>569996.75203258696</v>
      </c>
      <c r="DD63" s="245">
        <f>+IFERROR(INDEX(Assumptions!$F$5:$F$16, MATCH(DD62, Assumptions!$D$5:$D$16, 0))*$C$64, 0)</f>
        <v>119334.46962529681</v>
      </c>
      <c r="DE63" s="245">
        <f>+IFERROR(INDEX(Assumptions!$F$5:$F$16, MATCH(DE62, Assumptions!$D$5:$D$16, 0))*$C$64, 0)</f>
        <v>913864.09044248343</v>
      </c>
      <c r="DF63" s="245">
        <f>+IFERROR(INDEX(Assumptions!$F$5:$F$16, MATCH(DF62, Assumptions!$D$5:$D$16, 0))*$C$64, 0)</f>
        <v>211624.7559678918</v>
      </c>
      <c r="DG63" s="245">
        <f>+IFERROR(INDEX(Assumptions!$F$5:$F$16, MATCH(DG62, Assumptions!$D$5:$D$16, 0))*$C$64, 0)</f>
        <v>0</v>
      </c>
      <c r="DH63" s="245">
        <f>+IFERROR(INDEX(Assumptions!$F$5:$F$16, MATCH(DH62, Assumptions!$D$5:$D$16, 0))*$C$64, 0)</f>
        <v>0</v>
      </c>
    </row>
    <row r="64" spans="2:112" x14ac:dyDescent="0.25">
      <c r="B64" t="s">
        <v>230</v>
      </c>
      <c r="C64" s="196">
        <v>4900000</v>
      </c>
      <c r="D64" t="s">
        <v>282</v>
      </c>
      <c r="E64" s="422"/>
      <c r="F64" s="422">
        <f t="shared" ref="F64" si="1660">+F63+E64</f>
        <v>0</v>
      </c>
      <c r="G64" s="422">
        <f t="shared" ref="G64" si="1661">+G63+F64</f>
        <v>0</v>
      </c>
      <c r="H64" s="422">
        <f t="shared" ref="H64" si="1662">+H63+G64</f>
        <v>0</v>
      </c>
      <c r="I64" s="422">
        <f t="shared" ref="I64" si="1663">+I63+H64</f>
        <v>0</v>
      </c>
      <c r="J64" s="422">
        <f t="shared" ref="J64" si="1664">+J63+I64</f>
        <v>0</v>
      </c>
      <c r="K64" s="422">
        <f t="shared" ref="K64" si="1665">+K63+J64</f>
        <v>0</v>
      </c>
      <c r="L64" s="422">
        <f t="shared" ref="L64" si="1666">+L63+K64</f>
        <v>0</v>
      </c>
      <c r="M64" s="422">
        <f t="shared" ref="M64" si="1667">+M63+L64</f>
        <v>0</v>
      </c>
      <c r="N64" s="422">
        <f t="shared" ref="N64" si="1668">+N63+M64</f>
        <v>0</v>
      </c>
      <c r="O64" s="422">
        <f t="shared" ref="O64" si="1669">+O63+N64</f>
        <v>0</v>
      </c>
      <c r="P64" s="422">
        <f t="shared" ref="P64" si="1670">+P63+O64</f>
        <v>0</v>
      </c>
      <c r="Q64" s="422">
        <f t="shared" ref="Q64" si="1671">+Q63+P64</f>
        <v>0</v>
      </c>
      <c r="R64" s="494">
        <f t="shared" ref="R64" si="1672">+R63+Q64</f>
        <v>0</v>
      </c>
      <c r="S64" s="422">
        <f t="shared" ref="S64" si="1673">+S63+R64</f>
        <v>0</v>
      </c>
      <c r="T64" s="422">
        <f t="shared" ref="T64" si="1674">+T63+S64</f>
        <v>0</v>
      </c>
      <c r="U64" s="422">
        <f t="shared" ref="U64" si="1675">+U63+T64</f>
        <v>0</v>
      </c>
      <c r="V64" s="494">
        <f t="shared" ref="V64" si="1676">+V63+U64</f>
        <v>0</v>
      </c>
      <c r="W64" s="146">
        <f t="shared" ref="W64" si="1677">+W63+V64</f>
        <v>0</v>
      </c>
      <c r="X64" s="146">
        <f t="shared" ref="X64" si="1678">+X63+W64</f>
        <v>0</v>
      </c>
      <c r="Y64" s="146">
        <f t="shared" ref="Y64" si="1679">+Y63+X64</f>
        <v>0</v>
      </c>
      <c r="Z64" s="146">
        <f t="shared" ref="Z64" si="1680">+Z63+Y64</f>
        <v>0</v>
      </c>
      <c r="AA64" s="146">
        <f t="shared" ref="AA64" si="1681">+AA63+Z64</f>
        <v>0</v>
      </c>
      <c r="AB64" s="146">
        <f t="shared" ref="AB64" si="1682">+AB63+AA64</f>
        <v>0</v>
      </c>
      <c r="AC64" s="146">
        <f t="shared" ref="AC64" si="1683">+AC63+AB64</f>
        <v>0</v>
      </c>
      <c r="AD64" s="146">
        <f t="shared" ref="AD64" si="1684">+AD63+AC64</f>
        <v>0</v>
      </c>
      <c r="AE64" s="146">
        <f t="shared" ref="AE64" si="1685">+AE63+AD64</f>
        <v>0</v>
      </c>
      <c r="AF64" s="245">
        <f t="shared" ref="AF64" si="1686">+AF63+AE64</f>
        <v>0</v>
      </c>
      <c r="AG64" s="146">
        <f t="shared" ref="AG64" si="1687">+AG63+AF64</f>
        <v>0</v>
      </c>
      <c r="AH64" s="245">
        <f t="shared" ref="AH64" si="1688">+AH63+AG64</f>
        <v>0</v>
      </c>
      <c r="AI64" s="245">
        <f t="shared" ref="AI64" si="1689">+AI63+AH64</f>
        <v>0</v>
      </c>
      <c r="AJ64" s="245">
        <f t="shared" ref="AJ64" si="1690">+AJ63+AI64</f>
        <v>0</v>
      </c>
      <c r="AK64" s="245">
        <f t="shared" ref="AK64" si="1691">+AK63+AJ64</f>
        <v>0</v>
      </c>
      <c r="AL64" s="245">
        <f t="shared" ref="AL64" si="1692">+AL63+AK64</f>
        <v>0</v>
      </c>
      <c r="AM64" s="245">
        <f t="shared" ref="AM64" si="1693">+AM63+AL64</f>
        <v>0</v>
      </c>
      <c r="AN64" s="245">
        <f t="shared" ref="AN64" si="1694">+AN63+AM64</f>
        <v>0</v>
      </c>
      <c r="AO64" s="245">
        <f t="shared" ref="AO64" si="1695">+AO63+AN64</f>
        <v>0</v>
      </c>
      <c r="AP64" s="245">
        <f t="shared" ref="AP64" si="1696">+AP63+AO64</f>
        <v>0</v>
      </c>
      <c r="AQ64" s="245">
        <f t="shared" ref="AQ64" si="1697">+AQ63+AP64</f>
        <v>0</v>
      </c>
      <c r="AR64" s="245">
        <f t="shared" ref="AR64" si="1698">+AR63+AQ64</f>
        <v>0</v>
      </c>
      <c r="AS64" s="245">
        <f t="shared" ref="AS64" si="1699">+AS63+AR64</f>
        <v>0</v>
      </c>
      <c r="AT64" s="245">
        <f t="shared" ref="AT64" si="1700">+AT63+AS64</f>
        <v>0</v>
      </c>
      <c r="AU64" s="245">
        <f t="shared" ref="AU64" si="1701">+AU63+AT64</f>
        <v>0</v>
      </c>
      <c r="AV64" s="245">
        <f t="shared" ref="AV64" si="1702">+AV63+AU64</f>
        <v>0</v>
      </c>
      <c r="AW64" s="245">
        <f t="shared" ref="AW64" si="1703">+AW63+AV64</f>
        <v>0</v>
      </c>
      <c r="AX64" s="245">
        <f t="shared" ref="AX64" si="1704">+AX63+AW64</f>
        <v>0</v>
      </c>
      <c r="AY64" s="245">
        <f t="shared" ref="AY64" si="1705">+AY63+AX64</f>
        <v>0</v>
      </c>
      <c r="AZ64" s="245">
        <f t="shared" ref="AZ64" si="1706">+AZ63+AY64</f>
        <v>0</v>
      </c>
      <c r="BA64" s="245">
        <f t="shared" ref="BA64" si="1707">+BA63+AZ64</f>
        <v>0</v>
      </c>
      <c r="BB64" s="245">
        <f t="shared" ref="BB64" si="1708">+BB63+BA64</f>
        <v>0</v>
      </c>
      <c r="BC64" s="245">
        <f t="shared" ref="BC64" si="1709">+BC63+BB64</f>
        <v>0</v>
      </c>
      <c r="BD64" s="245">
        <f t="shared" ref="BD64" si="1710">+BD63+BC64</f>
        <v>0</v>
      </c>
      <c r="BE64" s="245">
        <f t="shared" ref="BE64" si="1711">+BE63+BD64</f>
        <v>0</v>
      </c>
      <c r="BF64" s="245">
        <f t="shared" ref="BF64" si="1712">+BF63+BE64</f>
        <v>0</v>
      </c>
      <c r="BG64" s="245">
        <f t="shared" ref="BG64" si="1713">+BG63+BF64</f>
        <v>0</v>
      </c>
      <c r="BH64" s="245">
        <f t="shared" ref="BH64" si="1714">+BH63+BG64</f>
        <v>0</v>
      </c>
      <c r="BI64" s="245">
        <f t="shared" ref="BI64" si="1715">+BI63+BH64</f>
        <v>0</v>
      </c>
      <c r="BJ64" s="245">
        <f t="shared" ref="BJ64" si="1716">+BJ63+BI64</f>
        <v>0</v>
      </c>
      <c r="BK64" s="245">
        <f t="shared" ref="BK64" si="1717">+BK63+BJ64</f>
        <v>0</v>
      </c>
      <c r="BL64" s="245">
        <f t="shared" ref="BL64" si="1718">+BL63+BK64</f>
        <v>0</v>
      </c>
      <c r="BM64" s="245">
        <f t="shared" ref="BM64" si="1719">+BM63+BL64</f>
        <v>0</v>
      </c>
      <c r="BN64" s="245">
        <f t="shared" ref="BN64" si="1720">+BN63+BM64</f>
        <v>0</v>
      </c>
      <c r="BO64" s="245">
        <f t="shared" ref="BO64" si="1721">+BO63+BN64</f>
        <v>0</v>
      </c>
      <c r="BP64" s="245">
        <f t="shared" ref="BP64" si="1722">+BP63+BO64</f>
        <v>0</v>
      </c>
      <c r="BQ64" s="245">
        <f t="shared" ref="BQ64" si="1723">+BQ63+BP64</f>
        <v>0</v>
      </c>
      <c r="BR64" s="245">
        <f t="shared" ref="BR64" si="1724">+BR63+BQ64</f>
        <v>0</v>
      </c>
      <c r="BS64" s="245">
        <f t="shared" ref="BS64" si="1725">+BS63+BR64</f>
        <v>0</v>
      </c>
      <c r="BT64" s="245">
        <f t="shared" ref="BT64" si="1726">+BT63+BS64</f>
        <v>0</v>
      </c>
      <c r="BU64" s="245">
        <f t="shared" ref="BU64" si="1727">+BU63+BT64</f>
        <v>0</v>
      </c>
      <c r="BV64" s="245">
        <f t="shared" ref="BV64" si="1728">+BV63+BU64</f>
        <v>0</v>
      </c>
      <c r="BW64" s="245">
        <f t="shared" ref="BW64" si="1729">+BW63+BV64</f>
        <v>0</v>
      </c>
      <c r="BX64" s="245">
        <f t="shared" ref="BX64" si="1730">+BX63+BW64</f>
        <v>0</v>
      </c>
      <c r="BY64" s="245">
        <f t="shared" ref="BY64" si="1731">+BY63+BX64</f>
        <v>0</v>
      </c>
      <c r="BZ64" s="245">
        <f t="shared" ref="BZ64" si="1732">+BZ63+BY64</f>
        <v>0</v>
      </c>
      <c r="CA64" s="245">
        <f t="shared" ref="CA64" si="1733">+CA63+BZ64</f>
        <v>0</v>
      </c>
      <c r="CB64" s="245">
        <f t="shared" ref="CB64" si="1734">+CB63+CA64</f>
        <v>0</v>
      </c>
      <c r="CC64" s="245">
        <f t="shared" ref="CC64" si="1735">+CC63+CB64</f>
        <v>0</v>
      </c>
      <c r="CD64" s="245">
        <f t="shared" ref="CD64" si="1736">+CD63+CC64</f>
        <v>0</v>
      </c>
      <c r="CE64" s="245">
        <f t="shared" ref="CE64" si="1737">+CE63+CD64</f>
        <v>0</v>
      </c>
      <c r="CF64" s="245">
        <f t="shared" ref="CF64" si="1738">+CF63+CE64</f>
        <v>0</v>
      </c>
      <c r="CG64" s="245">
        <f t="shared" ref="CG64" si="1739">+CG63+CF64</f>
        <v>0</v>
      </c>
      <c r="CH64" s="245">
        <f t="shared" ref="CH64" si="1740">+CH63+CG64</f>
        <v>0</v>
      </c>
      <c r="CI64" s="245">
        <f t="shared" ref="CI64" si="1741">+CI63+CH64</f>
        <v>0</v>
      </c>
      <c r="CJ64" s="245">
        <f t="shared" ref="CJ64" si="1742">+CJ63+CI64</f>
        <v>0</v>
      </c>
      <c r="CK64" s="245">
        <f t="shared" ref="CK64" si="1743">+CK63+CJ64</f>
        <v>0</v>
      </c>
      <c r="CL64" s="245">
        <f t="shared" ref="CL64" si="1744">+CL63+CK64</f>
        <v>0</v>
      </c>
      <c r="CM64" s="245">
        <f t="shared" ref="CM64" si="1745">+CM63+CL64</f>
        <v>0</v>
      </c>
      <c r="CN64" s="245">
        <f t="shared" ref="CN64" si="1746">+CN63+CM64</f>
        <v>0</v>
      </c>
      <c r="CO64" s="245">
        <f t="shared" ref="CO64" si="1747">+CO63+CN64</f>
        <v>0</v>
      </c>
      <c r="CP64" s="245">
        <f t="shared" ref="CP64" si="1748">+CP63+CO64</f>
        <v>0</v>
      </c>
      <c r="CQ64" s="245">
        <f t="shared" ref="CQ64" si="1749">+CQ63+CP64</f>
        <v>0</v>
      </c>
      <c r="CR64" s="245">
        <f t="shared" ref="CR64" si="1750">+CR63+CQ64</f>
        <v>0</v>
      </c>
      <c r="CS64" s="245">
        <f t="shared" ref="CS64" si="1751">+CS63+CR64</f>
        <v>0</v>
      </c>
      <c r="CT64" s="245">
        <f t="shared" ref="CT64" si="1752">+CT63+CS64</f>
        <v>0</v>
      </c>
      <c r="CU64" s="245">
        <f t="shared" ref="CU64" si="1753">+CU63+CT64</f>
        <v>0</v>
      </c>
      <c r="CV64" s="245">
        <f t="shared" ref="CV64" si="1754">+CV63+CU64</f>
        <v>29532.16853474456</v>
      </c>
      <c r="CW64" s="245">
        <f t="shared" ref="CW64" si="1755">+CW63+CV64</f>
        <v>33756.016065022915</v>
      </c>
      <c r="CX64" s="245">
        <f t="shared" ref="CX64" si="1756">+CX63+CW64</f>
        <v>208804.16445045033</v>
      </c>
      <c r="CY64" s="245">
        <f t="shared" ref="CY64" si="1757">+CY63+CX64</f>
        <v>224605.52591495586</v>
      </c>
      <c r="CZ64" s="245">
        <f t="shared" ref="CZ64" si="1758">+CZ63+CY64</f>
        <v>939441.48617850803</v>
      </c>
      <c r="DA64" s="245">
        <f t="shared" ref="DA64" si="1759">+DA63+CZ64</f>
        <v>2221384.5131550133</v>
      </c>
      <c r="DB64" s="245">
        <f t="shared" ref="DB64" si="1760">+DB63+DA64</f>
        <v>3085179.9319317415</v>
      </c>
      <c r="DC64" s="245">
        <f t="shared" ref="DC64" si="1761">+DC63+DB64</f>
        <v>3655176.6839643284</v>
      </c>
      <c r="DD64" s="245">
        <f t="shared" ref="DD64" si="1762">+DD63+DC64</f>
        <v>3774511.1535896254</v>
      </c>
      <c r="DE64" s="245">
        <f t="shared" ref="DE64" si="1763">+DE63+DD64</f>
        <v>4688375.2440321092</v>
      </c>
      <c r="DF64" s="245">
        <f t="shared" ref="DF64" si="1764">+DF63+DE64</f>
        <v>4900000.0000000009</v>
      </c>
      <c r="DG64" s="245">
        <f t="shared" ref="DG64:DH64" si="1765">+DG63+DF64</f>
        <v>4900000.0000000009</v>
      </c>
      <c r="DH64" s="245">
        <f t="shared" si="1765"/>
        <v>4900000.0000000009</v>
      </c>
    </row>
    <row r="65" spans="2:112" x14ac:dyDescent="0.25">
      <c r="B65" t="s">
        <v>233</v>
      </c>
      <c r="C65" s="196">
        <v>1800000</v>
      </c>
      <c r="D65" t="s">
        <v>231</v>
      </c>
      <c r="E65" s="423"/>
      <c r="F65" s="422">
        <f>+IFERROR(INDEX(Assumptions!$E$18:$E$29, MATCH(F62, Assumptions!$D$18:$D$29, 0))*$C$65, 0)</f>
        <v>0</v>
      </c>
      <c r="G65" s="422">
        <f>+IFERROR(INDEX(Assumptions!$E$18:$E$29, MATCH(G62, Assumptions!$D$18:$D$29, 0))*$C$65, 0)</f>
        <v>0</v>
      </c>
      <c r="H65" s="422">
        <f>+IFERROR(INDEX(Assumptions!$E$18:$E$29, MATCH(H62, Assumptions!$D$18:$D$29, 0))*$C$65, 0)</f>
        <v>0</v>
      </c>
      <c r="I65" s="422">
        <f>+IFERROR(INDEX(Assumptions!$E$18:$E$29, MATCH(I62, Assumptions!$D$18:$D$29, 0))*$C$65, 0)</f>
        <v>0</v>
      </c>
      <c r="J65" s="422">
        <f>+IFERROR(INDEX(Assumptions!$E$18:$E$29, MATCH(J62, Assumptions!$D$18:$D$29, 0))*$C$65, 0)</f>
        <v>0</v>
      </c>
      <c r="K65" s="422">
        <f>+IFERROR(INDEX(Assumptions!$E$18:$E$29, MATCH(K62, Assumptions!$D$18:$D$29, 0))*$C$65, 0)</f>
        <v>0</v>
      </c>
      <c r="L65" s="422">
        <f>+IFERROR(INDEX(Assumptions!$E$18:$E$29, MATCH(L62, Assumptions!$D$18:$D$29, 0))*$C$65, 0)</f>
        <v>0</v>
      </c>
      <c r="M65" s="422">
        <f>+IFERROR(INDEX(Assumptions!$E$18:$E$29, MATCH(M62, Assumptions!$D$18:$D$29, 0))*$C$65, 0)</f>
        <v>0</v>
      </c>
      <c r="N65" s="422">
        <f>+IFERROR(INDEX(Assumptions!$E$18:$E$29, MATCH(N62, Assumptions!$D$18:$D$29, 0))*$C$65, 0)</f>
        <v>0</v>
      </c>
      <c r="O65" s="422">
        <f>+IFERROR(INDEX(Assumptions!$E$18:$E$29, MATCH(O62, Assumptions!$D$18:$D$29, 0))*$C$65, 0)</f>
        <v>0</v>
      </c>
      <c r="P65" s="422">
        <f>+IFERROR(INDEX(Assumptions!$E$18:$E$29, MATCH(P62, Assumptions!$D$18:$D$29, 0))*$C$65, 0)</f>
        <v>0</v>
      </c>
      <c r="Q65" s="422">
        <f>+IFERROR(INDEX(Assumptions!$E$18:$E$29, MATCH(Q62, Assumptions!$D$18:$D$29, 0))*$C$65, 0)</f>
        <v>0</v>
      </c>
      <c r="R65" s="494">
        <f>+IFERROR(INDEX(Assumptions!$E$18:$E$29, MATCH(R62, Assumptions!$D$18:$D$29, 0))*$C$65, 0)</f>
        <v>0</v>
      </c>
      <c r="S65" s="422">
        <f>+IFERROR(INDEX(Assumptions!$E$18:$E$29, MATCH(S62, Assumptions!$D$18:$D$29, 0))*$C$65, 0)</f>
        <v>0</v>
      </c>
      <c r="T65" s="422">
        <f>+IFERROR(INDEX(Assumptions!$E$18:$E$29, MATCH(T62, Assumptions!$D$18:$D$29, 0))*$C$65, 0)</f>
        <v>0</v>
      </c>
      <c r="U65" s="422">
        <f>+IFERROR(INDEX(Assumptions!$E$18:$E$29, MATCH(U62, Assumptions!$D$18:$D$29, 0))*$C$65, 0)</f>
        <v>0</v>
      </c>
      <c r="V65" s="422">
        <f>+IFERROR(INDEX(Assumptions!$E$18:$E$29, MATCH(V62, Assumptions!$D$18:$D$29, 0))*$C$65, 0)</f>
        <v>0</v>
      </c>
      <c r="W65" s="494">
        <f>+IFERROR(INDEX(Assumptions!$E$18:$E$29, MATCH(W62, Assumptions!$D$18:$D$29, 0))*$C$65, 0)</f>
        <v>0</v>
      </c>
      <c r="X65" s="494">
        <f>+IFERROR(INDEX(Assumptions!$E$18:$E$29, MATCH(X62, Assumptions!$D$18:$D$29, 0))*$C$65, 0)</f>
        <v>0</v>
      </c>
      <c r="Y65" s="494">
        <f>+IFERROR(INDEX(Assumptions!$E$18:$E$29, MATCH(Y62, Assumptions!$D$18:$D$29, 0))*$C$65, 0)</f>
        <v>0</v>
      </c>
      <c r="Z65" s="494">
        <f>+IFERROR(INDEX(Assumptions!$E$18:$E$29, MATCH(Z62, Assumptions!$D$18:$D$29, 0))*$C$65, 0)</f>
        <v>0</v>
      </c>
      <c r="AA65" s="494">
        <f>+IFERROR(INDEX(Assumptions!$E$18:$E$29, MATCH(AA62, Assumptions!$D$18:$D$29, 0))*$C$65, 0)</f>
        <v>0</v>
      </c>
      <c r="AB65" s="494">
        <f>+IFERROR(INDEX(Assumptions!$E$18:$E$29, MATCH(AB62, Assumptions!$D$18:$D$29, 0))*$C$65, 0)</f>
        <v>0</v>
      </c>
      <c r="AC65" s="494">
        <f>+IFERROR(INDEX(Assumptions!$E$18:$E$29, MATCH(AC62, Assumptions!$D$18:$D$29, 0))*$C$65, 0)</f>
        <v>0</v>
      </c>
      <c r="AD65" s="494">
        <f>+IFERROR(INDEX(Assumptions!$E$18:$E$29, MATCH(AD62, Assumptions!$D$18:$D$29, 0))*$C$65, 0)</f>
        <v>0</v>
      </c>
      <c r="AE65" s="494">
        <f>+IFERROR(INDEX(Assumptions!$E$18:$E$29, MATCH(AE62, Assumptions!$D$18:$D$29, 0))*$C$65, 0)</f>
        <v>0</v>
      </c>
      <c r="AF65" s="422">
        <f>+IFERROR(INDEX(Assumptions!$E$18:$E$29, MATCH(AF62, Assumptions!$D$18:$D$29, 0))*$C$65, 0)</f>
        <v>0</v>
      </c>
      <c r="AG65" s="494">
        <f>+IFERROR(INDEX(Assumptions!$E$18:$E$29, MATCH(AG62, Assumptions!$D$18:$D$29, 0))*$C$65, 0)</f>
        <v>0</v>
      </c>
      <c r="AH65" s="422">
        <f>+IFERROR(INDEX(Assumptions!$E$18:$E$29, MATCH(AH62, Assumptions!$D$18:$D$29, 0))*$C$65, 0)</f>
        <v>0</v>
      </c>
      <c r="AI65" s="422">
        <f>+IFERROR(INDEX(Assumptions!$E$18:$E$29, MATCH(AI62, Assumptions!$D$18:$D$29, 0))*$C$65, 0)</f>
        <v>0</v>
      </c>
      <c r="AJ65" s="422">
        <f>+IFERROR(INDEX(Assumptions!$E$18:$E$29, MATCH(AJ62, Assumptions!$D$18:$D$29, 0))*$C$65, 0)</f>
        <v>0</v>
      </c>
      <c r="AK65" s="422">
        <f>+IFERROR(INDEX(Assumptions!$E$18:$E$29, MATCH(AK62, Assumptions!$D$18:$D$29, 0))*$C$65, 0)</f>
        <v>0</v>
      </c>
      <c r="AL65" s="422">
        <f>+IFERROR(INDEX(Assumptions!$E$18:$E$29, MATCH(AL62, Assumptions!$D$18:$D$29, 0))*$C$65, 0)</f>
        <v>0</v>
      </c>
      <c r="AM65" s="422">
        <f>+IFERROR(INDEX(Assumptions!$E$18:$E$29, MATCH(AM62, Assumptions!$D$18:$D$29, 0))*$C$65, 0)</f>
        <v>0</v>
      </c>
      <c r="AN65" s="422">
        <f>+IFERROR(INDEX(Assumptions!$E$18:$E$29, MATCH(AN62, Assumptions!$D$18:$D$29, 0))*$C$65, 0)</f>
        <v>0</v>
      </c>
      <c r="AO65" s="422">
        <f>+IFERROR(INDEX(Assumptions!$E$18:$E$29, MATCH(AO62, Assumptions!$D$18:$D$29, 0))*$C$65, 0)</f>
        <v>0</v>
      </c>
      <c r="AP65" s="422">
        <f>+IFERROR(INDEX(Assumptions!$E$18:$E$29, MATCH(AP62, Assumptions!$D$18:$D$29, 0))*$C$65, 0)</f>
        <v>0</v>
      </c>
      <c r="AQ65" s="422">
        <f>+IFERROR(INDEX(Assumptions!$E$18:$E$29, MATCH(AQ62, Assumptions!$D$18:$D$29, 0))*$C$65, 0)</f>
        <v>0</v>
      </c>
      <c r="AR65" s="422">
        <f>+IFERROR(INDEX(Assumptions!$E$18:$E$29, MATCH(AR62, Assumptions!$D$18:$D$29, 0))*$C$65, 0)</f>
        <v>0</v>
      </c>
      <c r="AS65" s="422">
        <f>+IFERROR(INDEX(Assumptions!$E$18:$E$29, MATCH(AS62, Assumptions!$D$18:$D$29, 0))*$C$65, 0)</f>
        <v>0</v>
      </c>
      <c r="AT65" s="422">
        <f>+IFERROR(INDEX(Assumptions!$E$18:$E$29, MATCH(AT62, Assumptions!$D$18:$D$29, 0))*$C$65, 0)</f>
        <v>0</v>
      </c>
      <c r="AU65" s="422">
        <f>+IFERROR(INDEX(Assumptions!$E$18:$E$29, MATCH(AU62, Assumptions!$D$18:$D$29, 0))*$C$65, 0)</f>
        <v>0</v>
      </c>
      <c r="AV65" s="422">
        <f>+IFERROR(INDEX(Assumptions!$E$18:$E$29, MATCH(AV62, Assumptions!$D$18:$D$29, 0))*$C$65, 0)</f>
        <v>0</v>
      </c>
      <c r="AW65" s="422">
        <f>+IFERROR(INDEX(Assumptions!$E$18:$E$29, MATCH(AW62, Assumptions!$D$18:$D$29, 0))*$C$65, 0)</f>
        <v>0</v>
      </c>
      <c r="AX65" s="422">
        <f>+IFERROR(INDEX(Assumptions!$E$18:$E$29, MATCH(AX62, Assumptions!$D$18:$D$29, 0))*$C$65, 0)</f>
        <v>0</v>
      </c>
      <c r="AY65" s="422">
        <f>+IFERROR(INDEX(Assumptions!$E$18:$E$29, MATCH(AY62, Assumptions!$D$18:$D$29, 0))*$C$65, 0)</f>
        <v>0</v>
      </c>
      <c r="AZ65" s="422">
        <f>+IFERROR(INDEX(Assumptions!$E$18:$E$29, MATCH(AZ62, Assumptions!$D$18:$D$29, 0))*$C$65, 0)</f>
        <v>0</v>
      </c>
      <c r="BA65" s="422">
        <f>+IFERROR(INDEX(Assumptions!$E$18:$E$29, MATCH(BA62, Assumptions!$D$18:$D$29, 0))*$C$65, 0)</f>
        <v>0</v>
      </c>
      <c r="BB65" s="422">
        <f>+IFERROR(INDEX(Assumptions!$E$18:$E$29, MATCH(BB62, Assumptions!$D$18:$D$29, 0))*$C$65, 0)</f>
        <v>0</v>
      </c>
      <c r="BC65" s="422">
        <f>+IFERROR(INDEX(Assumptions!$E$18:$E$29, MATCH(BC62, Assumptions!$D$18:$D$29, 0))*$C$65, 0)</f>
        <v>0</v>
      </c>
      <c r="BD65" s="422">
        <f>+IFERROR(INDEX(Assumptions!$E$18:$E$29, MATCH(BD62, Assumptions!$D$18:$D$29, 0))*$C$65, 0)</f>
        <v>0</v>
      </c>
      <c r="BE65" s="422">
        <f>+IFERROR(INDEX(Assumptions!$E$18:$E$29, MATCH(BE62, Assumptions!$D$18:$D$29, 0))*$C$65, 0)</f>
        <v>0</v>
      </c>
      <c r="BF65" s="422">
        <f>+IFERROR(INDEX(Assumptions!$E$18:$E$29, MATCH(BF62, Assumptions!$D$18:$D$29, 0))*$C$65, 0)</f>
        <v>0</v>
      </c>
      <c r="BG65" s="422">
        <f>+IFERROR(INDEX(Assumptions!$E$18:$E$29, MATCH(BG62, Assumptions!$D$18:$D$29, 0))*$C$65, 0)</f>
        <v>0</v>
      </c>
      <c r="BH65" s="422">
        <f>+IFERROR(INDEX(Assumptions!$E$18:$E$29, MATCH(BH62, Assumptions!$D$18:$D$29, 0))*$C$65, 0)</f>
        <v>0</v>
      </c>
      <c r="BI65" s="422">
        <f>+IFERROR(INDEX(Assumptions!$E$18:$E$29, MATCH(BI62, Assumptions!$D$18:$D$29, 0))*$C$65, 0)</f>
        <v>0</v>
      </c>
      <c r="BJ65" s="422">
        <f>+IFERROR(INDEX(Assumptions!$E$18:$E$29, MATCH(BJ62, Assumptions!$D$18:$D$29, 0))*$C$65, 0)</f>
        <v>0</v>
      </c>
      <c r="BK65" s="422">
        <f>+IFERROR(INDEX(Assumptions!$E$18:$E$29, MATCH(BK62, Assumptions!$D$18:$D$29, 0))*$C$65, 0)</f>
        <v>0</v>
      </c>
      <c r="BL65" s="422">
        <f>+IFERROR(INDEX(Assumptions!$E$18:$E$29, MATCH(BL62, Assumptions!$D$18:$D$29, 0))*$C$65, 0)</f>
        <v>0</v>
      </c>
      <c r="BM65" s="422">
        <f>+IFERROR(INDEX(Assumptions!$E$18:$E$29, MATCH(BM62, Assumptions!$D$18:$D$29, 0))*$C$65, 0)</f>
        <v>0</v>
      </c>
      <c r="BN65" s="422">
        <f>+IFERROR(INDEX(Assumptions!$E$18:$E$29, MATCH(BN62, Assumptions!$D$18:$D$29, 0))*$C$65, 0)</f>
        <v>0</v>
      </c>
      <c r="BO65" s="422">
        <f>+IFERROR(INDEX(Assumptions!$E$18:$E$29, MATCH(BO62, Assumptions!$D$18:$D$29, 0))*$C$65, 0)</f>
        <v>0</v>
      </c>
      <c r="BP65" s="422">
        <f>+IFERROR(INDEX(Assumptions!$E$18:$E$29, MATCH(BP62, Assumptions!$D$18:$D$29, 0))*$C$65, 0)</f>
        <v>0</v>
      </c>
      <c r="BQ65" s="422">
        <f>+IFERROR(INDEX(Assumptions!$E$18:$E$29, MATCH(BQ62, Assumptions!$D$18:$D$29, 0))*$C$65, 0)</f>
        <v>0</v>
      </c>
      <c r="BR65" s="422">
        <f>+IFERROR(INDEX(Assumptions!$E$18:$E$29, MATCH(BR62, Assumptions!$D$18:$D$29, 0))*$C$65, 0)</f>
        <v>0</v>
      </c>
      <c r="BS65" s="422">
        <f>+IFERROR(INDEX(Assumptions!$E$18:$E$29, MATCH(BS62, Assumptions!$D$18:$D$29, 0))*$C$65, 0)</f>
        <v>0</v>
      </c>
      <c r="BT65" s="422">
        <f>+IFERROR(INDEX(Assumptions!$E$18:$E$29, MATCH(BT62, Assumptions!$D$18:$D$29, 0))*$C$65, 0)</f>
        <v>0</v>
      </c>
      <c r="BU65" s="422">
        <f>+IFERROR(INDEX(Assumptions!$E$18:$E$29, MATCH(BU62, Assumptions!$D$18:$D$29, 0))*$C$65, 0)</f>
        <v>0</v>
      </c>
      <c r="BV65" s="422">
        <f>+IFERROR(INDEX(Assumptions!$E$18:$E$29, MATCH(BV62, Assumptions!$D$18:$D$29, 0))*$C$65, 0)</f>
        <v>0</v>
      </c>
      <c r="BW65" s="422">
        <f>+IFERROR(INDEX(Assumptions!$E$18:$E$29, MATCH(BW62, Assumptions!$D$18:$D$29, 0))*$C$65, 0)</f>
        <v>0</v>
      </c>
      <c r="BX65" s="422">
        <f>+IFERROR(INDEX(Assumptions!$E$18:$E$29, MATCH(BX62, Assumptions!$D$18:$D$29, 0))*$C$65, 0)</f>
        <v>0</v>
      </c>
      <c r="BY65" s="422">
        <f>+IFERROR(INDEX(Assumptions!$E$18:$E$29, MATCH(BY62, Assumptions!$D$18:$D$29, 0))*$C$65, 0)</f>
        <v>0</v>
      </c>
      <c r="BZ65" s="422">
        <f>+IFERROR(INDEX(Assumptions!$E$18:$E$29, MATCH(BZ62, Assumptions!$D$18:$D$29, 0))*$C$65, 0)</f>
        <v>0</v>
      </c>
      <c r="CA65" s="422">
        <f>+IFERROR(INDEX(Assumptions!$E$18:$E$29, MATCH(CA62, Assumptions!$D$18:$D$29, 0))*$C$65, 0)</f>
        <v>0</v>
      </c>
      <c r="CB65" s="422">
        <f>+IFERROR(INDEX(Assumptions!$E$18:$E$29, MATCH(CB62, Assumptions!$D$18:$D$29, 0))*$C$65, 0)</f>
        <v>0</v>
      </c>
      <c r="CC65" s="422">
        <f>+IFERROR(INDEX(Assumptions!$E$18:$E$29, MATCH(CC62, Assumptions!$D$18:$D$29, 0))*$C$65, 0)</f>
        <v>0</v>
      </c>
      <c r="CD65" s="422">
        <f>+IFERROR(INDEX(Assumptions!$E$18:$E$29, MATCH(CD62, Assumptions!$D$18:$D$29, 0))*$C$65, 0)</f>
        <v>0</v>
      </c>
      <c r="CE65" s="422">
        <f>+IFERROR(INDEX(Assumptions!$E$18:$E$29, MATCH(CE62, Assumptions!$D$18:$D$29, 0))*$C$65, 0)</f>
        <v>0</v>
      </c>
      <c r="CF65" s="422">
        <f>+IFERROR(INDEX(Assumptions!$E$18:$E$29, MATCH(CF62, Assumptions!$D$18:$D$29, 0))*$C$65, 0)</f>
        <v>0</v>
      </c>
      <c r="CG65" s="422">
        <f>+IFERROR(INDEX(Assumptions!$E$18:$E$29, MATCH(CG62, Assumptions!$D$18:$D$29, 0))*$C$65, 0)</f>
        <v>0</v>
      </c>
      <c r="CH65" s="422">
        <f>+IFERROR(INDEX(Assumptions!$E$18:$E$29, MATCH(CH62, Assumptions!$D$18:$D$29, 0))*$C$65, 0)</f>
        <v>0</v>
      </c>
      <c r="CI65" s="422">
        <f>+IFERROR(INDEX(Assumptions!$E$18:$E$29, MATCH(CI62, Assumptions!$D$18:$D$29, 0))*$C$65, 0)</f>
        <v>0</v>
      </c>
      <c r="CJ65" s="422">
        <f>+IFERROR(INDEX(Assumptions!$E$18:$E$29, MATCH(CJ62, Assumptions!$D$18:$D$29, 0))*$C$65, 0)</f>
        <v>0</v>
      </c>
      <c r="CK65" s="422">
        <f>+IFERROR(INDEX(Assumptions!$E$18:$E$29, MATCH(CK62, Assumptions!$D$18:$D$29, 0))*$C$65, 0)</f>
        <v>0</v>
      </c>
      <c r="CL65" s="422">
        <f>+IFERROR(INDEX(Assumptions!$E$18:$E$29, MATCH(CL62, Assumptions!$D$18:$D$29, 0))*$C$65, 0)</f>
        <v>0</v>
      </c>
      <c r="CM65" s="422">
        <f>+IFERROR(INDEX(Assumptions!$E$18:$E$29, MATCH(CM62, Assumptions!$D$18:$D$29, 0))*$C$65, 0)</f>
        <v>0</v>
      </c>
      <c r="CN65" s="422">
        <f>+IFERROR(INDEX(Assumptions!$E$18:$E$29, MATCH(CN62, Assumptions!$D$18:$D$29, 0))*$C$65, 0)</f>
        <v>0</v>
      </c>
      <c r="CO65" s="422">
        <f>+IFERROR(INDEX(Assumptions!$E$18:$E$29, MATCH(CO62, Assumptions!$D$18:$D$29, 0))*$C$65, 0)</f>
        <v>0</v>
      </c>
      <c r="CP65" s="422">
        <f>+IFERROR(INDEX(Assumptions!$E$18:$E$29, MATCH(CP62, Assumptions!$D$18:$D$29, 0))*$C$65, 0)</f>
        <v>0</v>
      </c>
      <c r="CQ65" s="422">
        <f>+IFERROR(INDEX(Assumptions!$E$18:$E$29, MATCH(CQ62, Assumptions!$D$18:$D$29, 0))*$C$65, 0)</f>
        <v>0</v>
      </c>
      <c r="CR65" s="422">
        <f>+IFERROR(INDEX(Assumptions!$E$18:$E$29, MATCH(CR62, Assumptions!$D$18:$D$29, 0))*$C$65, 0)</f>
        <v>0</v>
      </c>
      <c r="CS65" s="422">
        <f>+IFERROR(INDEX(Assumptions!$E$18:$E$29, MATCH(CS62, Assumptions!$D$18:$D$29, 0))*$C$65, 0)</f>
        <v>0</v>
      </c>
      <c r="CT65" s="422">
        <f>+IFERROR(INDEX(Assumptions!$E$18:$E$29, MATCH(CT62, Assumptions!$D$18:$D$29, 0))*$C$65, 0)</f>
        <v>0</v>
      </c>
      <c r="CU65" s="422">
        <f>+IFERROR(INDEX(Assumptions!$E$18:$E$29, MATCH(CU62, Assumptions!$D$18:$D$29, 0))*$C$65, 0)</f>
        <v>0</v>
      </c>
      <c r="CV65" s="422">
        <f>+IFERROR(INDEX(Assumptions!$E$18:$E$29, MATCH(CV62, Assumptions!$D$18:$D$29, 0))*$C$65, 0)</f>
        <v>10848.551706640859</v>
      </c>
      <c r="CW65" s="422">
        <f>+IFERROR(INDEX(Assumptions!$E$18:$E$29, MATCH(CW62, Assumptions!$D$18:$D$29, 0))*$C$65, 0)</f>
        <v>1551.6174601022535</v>
      </c>
      <c r="CX65" s="422">
        <f>+IFERROR(INDEX(Assumptions!$E$18:$E$29, MATCH(CX62, Assumptions!$D$18:$D$29, 0))*$C$65, 0)</f>
        <v>64303.401447708035</v>
      </c>
      <c r="CY65" s="422">
        <f>+IFERROR(INDEX(Assumptions!$E$18:$E$29, MATCH(CY62, Assumptions!$D$18:$D$29, 0))*$C$65, 0)</f>
        <v>5804.5817624714173</v>
      </c>
      <c r="CZ65" s="422">
        <f>+IFERROR(INDEX(Assumptions!$E$18:$E$29, MATCH(CZ62, Assumptions!$D$18:$D$29, 0))*$C$65, 0)</f>
        <v>262592.8017294681</v>
      </c>
      <c r="DA65" s="422">
        <f>+IFERROR(INDEX(Assumptions!$E$18:$E$29, MATCH(DA62, Assumptions!$D$18:$D$29, 0))*$C$65, 0)</f>
        <v>470917.84664443042</v>
      </c>
      <c r="DB65" s="422">
        <f>+IFERROR(INDEX(Assumptions!$E$18:$E$29, MATCH(DB62, Assumptions!$D$18:$D$29, 0))*$C$65, 0)</f>
        <v>317312.60281594092</v>
      </c>
      <c r="DC65" s="422">
        <f>+IFERROR(INDEX(Assumptions!$E$18:$E$29, MATCH(DC62, Assumptions!$D$18:$D$29, 0))*$C$65, 0)</f>
        <v>209386.56197115438</v>
      </c>
      <c r="DD65" s="422">
        <f>+IFERROR(INDEX(Assumptions!$E$18:$E$29, MATCH(DD62, Assumptions!$D$18:$D$29, 0))*$C$65, 0)</f>
        <v>43837.152107251888</v>
      </c>
      <c r="DE65" s="422">
        <f>+IFERROR(INDEX(Assumptions!$E$18:$E$29, MATCH(DE62, Assumptions!$D$18:$D$29, 0))*$C$65, 0)</f>
        <v>335705.17608091229</v>
      </c>
      <c r="DF65" s="422">
        <f>+IFERROR(INDEX(Assumptions!$E$18:$E$29, MATCH(DF62, Assumptions!$D$18:$D$29, 0))*$C$65, 0)</f>
        <v>77739.706273919437</v>
      </c>
      <c r="DG65" s="422">
        <f>+IFERROR(INDEX(Assumptions!$E$18:$E$29, MATCH(DG62, Assumptions!$D$18:$D$29, 0))*$C$65, 0)</f>
        <v>0</v>
      </c>
      <c r="DH65" s="422">
        <f>+IFERROR(INDEX(Assumptions!$E$18:$E$29, MATCH(DH62, Assumptions!$D$18:$D$29, 0))*$C$65, 0)</f>
        <v>0</v>
      </c>
    </row>
    <row r="66" spans="2:112" x14ac:dyDescent="0.25">
      <c r="B66" t="s">
        <v>455</v>
      </c>
      <c r="C66" s="628">
        <f>+EOMONTH(C57, 12)</f>
        <v>47817</v>
      </c>
      <c r="D66" t="s">
        <v>243</v>
      </c>
      <c r="F66" s="9">
        <f t="shared" ref="F66" si="1766">+F65+E66</f>
        <v>0</v>
      </c>
      <c r="G66" s="9">
        <f t="shared" ref="G66" si="1767">+G65+F66</f>
        <v>0</v>
      </c>
      <c r="H66" s="9">
        <f t="shared" ref="H66" si="1768">+H65+G66</f>
        <v>0</v>
      </c>
      <c r="I66" s="9">
        <f t="shared" ref="I66" si="1769">+I65+H66</f>
        <v>0</v>
      </c>
      <c r="J66" s="9">
        <f t="shared" ref="J66" si="1770">+J65+I66</f>
        <v>0</v>
      </c>
      <c r="K66" s="9">
        <f t="shared" ref="K66" si="1771">+K65+J66</f>
        <v>0</v>
      </c>
      <c r="L66" s="9">
        <f t="shared" ref="L66" si="1772">+L65+K66</f>
        <v>0</v>
      </c>
      <c r="M66" s="9">
        <f t="shared" ref="M66" si="1773">+M65+L66</f>
        <v>0</v>
      </c>
      <c r="N66" s="9">
        <f t="shared" ref="N66" si="1774">+N65+M66</f>
        <v>0</v>
      </c>
      <c r="O66" s="9">
        <f t="shared" ref="O66" si="1775">+O65+N66</f>
        <v>0</v>
      </c>
      <c r="P66" s="9">
        <f t="shared" ref="P66" si="1776">+P65+O66</f>
        <v>0</v>
      </c>
      <c r="Q66" s="9">
        <f t="shared" ref="Q66" si="1777">+Q65+P66</f>
        <v>0</v>
      </c>
      <c r="R66" s="9">
        <f t="shared" ref="R66" si="1778">+R65+Q66</f>
        <v>0</v>
      </c>
      <c r="S66" s="9">
        <f t="shared" ref="S66" si="1779">+S65+R66</f>
        <v>0</v>
      </c>
      <c r="T66" s="9">
        <f t="shared" ref="T66" si="1780">+T65+S66</f>
        <v>0</v>
      </c>
      <c r="U66" s="9">
        <f t="shared" ref="U66" si="1781">+U65+T66</f>
        <v>0</v>
      </c>
      <c r="V66" s="9">
        <f t="shared" ref="V66" si="1782">+V65+U66</f>
        <v>0</v>
      </c>
      <c r="W66" s="9">
        <f t="shared" ref="W66" si="1783">+W65+V66</f>
        <v>0</v>
      </c>
      <c r="X66" s="9">
        <f t="shared" ref="X66" si="1784">+X65+W66</f>
        <v>0</v>
      </c>
      <c r="Y66" s="9">
        <f t="shared" ref="Y66" si="1785">+Y65+X66</f>
        <v>0</v>
      </c>
      <c r="Z66" s="9">
        <f t="shared" ref="Z66" si="1786">+Z65+Y66</f>
        <v>0</v>
      </c>
      <c r="AA66" s="9">
        <f t="shared" ref="AA66" si="1787">+AA65+Z66</f>
        <v>0</v>
      </c>
      <c r="AB66" s="9">
        <f t="shared" ref="AB66" si="1788">+AB65+AA66</f>
        <v>0</v>
      </c>
      <c r="AC66" s="9">
        <f t="shared" ref="AC66" si="1789">+AC65+AB66</f>
        <v>0</v>
      </c>
      <c r="AD66" s="9">
        <f t="shared" ref="AD66" si="1790">+AD65+AC66</f>
        <v>0</v>
      </c>
      <c r="AE66" s="9">
        <f t="shared" ref="AE66" si="1791">+AE65+AD66</f>
        <v>0</v>
      </c>
      <c r="AF66" s="9">
        <f t="shared" ref="AF66" si="1792">+AF65+AE66</f>
        <v>0</v>
      </c>
      <c r="AG66" s="9">
        <f t="shared" ref="AG66" si="1793">+AG65+AF66</f>
        <v>0</v>
      </c>
      <c r="AH66" s="9">
        <f t="shared" ref="AH66" si="1794">+AH65+AG66</f>
        <v>0</v>
      </c>
      <c r="AI66" s="9">
        <f t="shared" ref="AI66" si="1795">+AI65+AH66</f>
        <v>0</v>
      </c>
      <c r="AJ66" s="9">
        <f t="shared" ref="AJ66" si="1796">+AJ65+AI66</f>
        <v>0</v>
      </c>
      <c r="AK66" s="9">
        <f t="shared" ref="AK66" si="1797">+AK65+AJ66</f>
        <v>0</v>
      </c>
      <c r="AL66" s="9">
        <f t="shared" ref="AL66" si="1798">+AL65+AK66</f>
        <v>0</v>
      </c>
      <c r="AM66" s="9">
        <f t="shared" ref="AM66" si="1799">+AM65+AL66</f>
        <v>0</v>
      </c>
      <c r="AN66" s="9">
        <f t="shared" ref="AN66" si="1800">+AN65+AM66</f>
        <v>0</v>
      </c>
      <c r="AO66" s="9">
        <f t="shared" ref="AO66" si="1801">+AO65+AN66</f>
        <v>0</v>
      </c>
      <c r="AP66" s="9">
        <f t="shared" ref="AP66" si="1802">+AP65+AO66</f>
        <v>0</v>
      </c>
      <c r="AQ66" s="9">
        <f t="shared" ref="AQ66" si="1803">+AQ65+AP66</f>
        <v>0</v>
      </c>
      <c r="AR66" s="9">
        <f t="shared" ref="AR66" si="1804">+AR65+AQ66</f>
        <v>0</v>
      </c>
      <c r="AS66" s="9">
        <f t="shared" ref="AS66" si="1805">+AS65+AR66</f>
        <v>0</v>
      </c>
      <c r="AT66" s="9">
        <f t="shared" ref="AT66" si="1806">+AT65+AS66</f>
        <v>0</v>
      </c>
      <c r="AU66" s="9">
        <f t="shared" ref="AU66" si="1807">+AU65+AT66</f>
        <v>0</v>
      </c>
      <c r="AV66" s="9">
        <f t="shared" ref="AV66" si="1808">+AV65+AU66</f>
        <v>0</v>
      </c>
      <c r="AW66" s="9">
        <f t="shared" ref="AW66" si="1809">+AW65+AV66</f>
        <v>0</v>
      </c>
      <c r="AX66" s="9">
        <f t="shared" ref="AX66" si="1810">+AX65+AW66</f>
        <v>0</v>
      </c>
      <c r="AY66" s="9">
        <f t="shared" ref="AY66" si="1811">+AY65+AX66</f>
        <v>0</v>
      </c>
      <c r="AZ66" s="9">
        <f t="shared" ref="AZ66" si="1812">+AZ65+AY66</f>
        <v>0</v>
      </c>
      <c r="BA66" s="9">
        <f t="shared" ref="BA66" si="1813">+BA65+AZ66</f>
        <v>0</v>
      </c>
      <c r="BB66" s="9">
        <f t="shared" ref="BB66" si="1814">+BB65+BA66</f>
        <v>0</v>
      </c>
      <c r="BC66" s="9">
        <f t="shared" ref="BC66" si="1815">+BC65+BB66</f>
        <v>0</v>
      </c>
      <c r="BD66" s="9">
        <f t="shared" ref="BD66" si="1816">+BD65+BC66</f>
        <v>0</v>
      </c>
      <c r="BE66" s="9">
        <f t="shared" ref="BE66" si="1817">+BE65+BD66</f>
        <v>0</v>
      </c>
      <c r="BF66" s="9">
        <f t="shared" ref="BF66" si="1818">+BF65+BE66</f>
        <v>0</v>
      </c>
      <c r="BG66" s="9">
        <f t="shared" ref="BG66" si="1819">+BG65+BF66</f>
        <v>0</v>
      </c>
      <c r="BH66" s="9">
        <f t="shared" ref="BH66" si="1820">+BH65+BG66</f>
        <v>0</v>
      </c>
      <c r="BI66" s="9">
        <f t="shared" ref="BI66" si="1821">+BI65+BH66</f>
        <v>0</v>
      </c>
      <c r="BJ66" s="9">
        <f t="shared" ref="BJ66" si="1822">+BJ65+BI66</f>
        <v>0</v>
      </c>
      <c r="BK66" s="9">
        <f t="shared" ref="BK66" si="1823">+BK65+BJ66</f>
        <v>0</v>
      </c>
      <c r="BL66" s="9">
        <f t="shared" ref="BL66" si="1824">+BL65+BK66</f>
        <v>0</v>
      </c>
      <c r="BM66" s="9">
        <f t="shared" ref="BM66" si="1825">+BM65+BL66</f>
        <v>0</v>
      </c>
      <c r="BN66" s="9">
        <f t="shared" ref="BN66" si="1826">+BN65+BM66</f>
        <v>0</v>
      </c>
      <c r="BO66" s="9">
        <f t="shared" ref="BO66" si="1827">+BO65+BN66</f>
        <v>0</v>
      </c>
      <c r="BP66" s="9">
        <f t="shared" ref="BP66" si="1828">+BP65+BO66</f>
        <v>0</v>
      </c>
      <c r="BQ66" s="9">
        <f t="shared" ref="BQ66" si="1829">+BQ65+BP66</f>
        <v>0</v>
      </c>
      <c r="BR66" s="9">
        <f t="shared" ref="BR66" si="1830">+BR65+BQ66</f>
        <v>0</v>
      </c>
      <c r="BS66" s="9">
        <f t="shared" ref="BS66" si="1831">+BS65+BR66</f>
        <v>0</v>
      </c>
      <c r="BT66" s="9">
        <f t="shared" ref="BT66" si="1832">+BT65+BS66</f>
        <v>0</v>
      </c>
      <c r="BU66" s="9">
        <f t="shared" ref="BU66" si="1833">+BU65+BT66</f>
        <v>0</v>
      </c>
      <c r="BV66" s="9">
        <f t="shared" ref="BV66" si="1834">+BV65+BU66</f>
        <v>0</v>
      </c>
      <c r="BW66" s="9">
        <f t="shared" ref="BW66" si="1835">+BW65+BV66</f>
        <v>0</v>
      </c>
      <c r="BX66" s="9">
        <f t="shared" ref="BX66" si="1836">+BX65+BW66</f>
        <v>0</v>
      </c>
      <c r="BY66" s="9">
        <f t="shared" ref="BY66" si="1837">+BY65+BX66</f>
        <v>0</v>
      </c>
      <c r="BZ66" s="9">
        <f t="shared" ref="BZ66" si="1838">+BZ65+BY66</f>
        <v>0</v>
      </c>
      <c r="CA66" s="9">
        <f t="shared" ref="CA66" si="1839">+CA65+BZ66</f>
        <v>0</v>
      </c>
      <c r="CB66" s="9">
        <f t="shared" ref="CB66" si="1840">+CB65+CA66</f>
        <v>0</v>
      </c>
      <c r="CC66" s="9">
        <f t="shared" ref="CC66" si="1841">+CC65+CB66</f>
        <v>0</v>
      </c>
      <c r="CD66" s="9">
        <f t="shared" ref="CD66" si="1842">+CD65+CC66</f>
        <v>0</v>
      </c>
      <c r="CE66" s="9">
        <f t="shared" ref="CE66" si="1843">+CE65+CD66</f>
        <v>0</v>
      </c>
      <c r="CF66" s="9">
        <f t="shared" ref="CF66" si="1844">+CF65+CE66</f>
        <v>0</v>
      </c>
      <c r="CG66" s="9">
        <f t="shared" ref="CG66" si="1845">+CG65+CF66</f>
        <v>0</v>
      </c>
      <c r="CH66" s="9">
        <f t="shared" ref="CH66" si="1846">+CH65+CG66</f>
        <v>0</v>
      </c>
      <c r="CI66" s="9">
        <f t="shared" ref="CI66" si="1847">+CI65+CH66</f>
        <v>0</v>
      </c>
      <c r="CJ66" s="9">
        <f t="shared" ref="CJ66" si="1848">+CJ65+CI66</f>
        <v>0</v>
      </c>
      <c r="CK66" s="9">
        <f t="shared" ref="CK66" si="1849">+CK65+CJ66</f>
        <v>0</v>
      </c>
      <c r="CL66" s="9">
        <f t="shared" ref="CL66" si="1850">+CL65+CK66</f>
        <v>0</v>
      </c>
      <c r="CM66" s="9">
        <f t="shared" ref="CM66" si="1851">+CM65+CL66</f>
        <v>0</v>
      </c>
      <c r="CN66" s="9">
        <f t="shared" ref="CN66" si="1852">+CN65+CM66</f>
        <v>0</v>
      </c>
      <c r="CO66" s="9">
        <f t="shared" ref="CO66" si="1853">+CO65+CN66</f>
        <v>0</v>
      </c>
      <c r="CP66" s="9">
        <f t="shared" ref="CP66" si="1854">+CP65+CO66</f>
        <v>0</v>
      </c>
      <c r="CQ66" s="9">
        <f t="shared" ref="CQ66" si="1855">+CQ65+CP66</f>
        <v>0</v>
      </c>
      <c r="CR66" s="9">
        <f t="shared" ref="CR66" si="1856">+CR65+CQ66</f>
        <v>0</v>
      </c>
      <c r="CS66" s="9">
        <f t="shared" ref="CS66" si="1857">+CS65+CR66</f>
        <v>0</v>
      </c>
      <c r="CT66" s="9">
        <f t="shared" ref="CT66" si="1858">+CT65+CS66</f>
        <v>0</v>
      </c>
      <c r="CU66" s="9">
        <f t="shared" ref="CU66" si="1859">+CU65+CT66</f>
        <v>0</v>
      </c>
      <c r="CV66" s="9">
        <f t="shared" ref="CV66" si="1860">+CV65+CU66</f>
        <v>10848.551706640859</v>
      </c>
      <c r="CW66" s="9">
        <f t="shared" ref="CW66" si="1861">+CW65+CV66</f>
        <v>12400.169166743113</v>
      </c>
      <c r="CX66" s="9">
        <f t="shared" ref="CX66" si="1862">+CX65+CW66</f>
        <v>76703.57061445115</v>
      </c>
      <c r="CY66" s="9">
        <f t="shared" ref="CY66" si="1863">+CY65+CX66</f>
        <v>82508.152376922561</v>
      </c>
      <c r="CZ66" s="9">
        <f t="shared" ref="CZ66" si="1864">+CZ65+CY66</f>
        <v>345100.95410639065</v>
      </c>
      <c r="DA66" s="9">
        <f t="shared" ref="DA66" si="1865">+DA65+CZ66</f>
        <v>816018.80075082113</v>
      </c>
      <c r="DB66" s="9">
        <f t="shared" ref="DB66" si="1866">+DB65+DA66</f>
        <v>1133331.4035667621</v>
      </c>
      <c r="DC66" s="9">
        <f t="shared" ref="DC66" si="1867">+DC65+DB66</f>
        <v>1342717.9655379164</v>
      </c>
      <c r="DD66" s="9">
        <f t="shared" ref="DD66" si="1868">+DD65+DC66</f>
        <v>1386555.1176451682</v>
      </c>
      <c r="DE66" s="9">
        <f t="shared" ref="DE66" si="1869">+DE65+DD66</f>
        <v>1722260.2937260806</v>
      </c>
      <c r="DF66" s="9">
        <f t="shared" ref="DF66" si="1870">+DF65+DE66</f>
        <v>1800000</v>
      </c>
      <c r="DG66" s="9">
        <f t="shared" ref="DG66:DH66" si="1871">+DG65+DF66</f>
        <v>1800000</v>
      </c>
      <c r="DH66" s="9">
        <f t="shared" si="1871"/>
        <v>1800000</v>
      </c>
    </row>
    <row r="67" spans="2:112" x14ac:dyDescent="0.25">
      <c r="B67" t="s">
        <v>473</v>
      </c>
      <c r="C67" s="473">
        <f>+EOMONTH(C66,12)</f>
        <v>48182</v>
      </c>
      <c r="D67" t="s">
        <v>278</v>
      </c>
      <c r="F67" s="422">
        <f>+IFERROR(INDEX(Assumptions!$F$31:$F$42, MATCH(F62, Assumptions!$D$31:$D$42, 0))*$C$64, 0)</f>
        <v>0</v>
      </c>
      <c r="G67" s="9">
        <f>+IFERROR(INDEX(Assumptions!$F$31:$F$42, MATCH(G62, Assumptions!$D$31:$D$42, 0))*$C$64, 0)</f>
        <v>0</v>
      </c>
      <c r="H67" s="9">
        <f>+IFERROR(INDEX(Assumptions!$F$31:$F$42, MATCH(H62, Assumptions!$D$31:$D$42, 0))*$C$64, 0)</f>
        <v>0</v>
      </c>
      <c r="I67" s="9">
        <f>+IFERROR(INDEX(Assumptions!$F$31:$F$42, MATCH(I62, Assumptions!$D$31:$D$42, 0))*$C$64, 0)</f>
        <v>0</v>
      </c>
      <c r="J67" s="9">
        <f>+IFERROR(INDEX(Assumptions!$F$31:$F$42, MATCH(J62, Assumptions!$D$31:$D$42, 0))*$C$64, 0)</f>
        <v>0</v>
      </c>
      <c r="K67" s="9">
        <f>+IFERROR(INDEX(Assumptions!$F$31:$F$42, MATCH(K62, Assumptions!$D$31:$D$42, 0))*$C$64, 0)</f>
        <v>0</v>
      </c>
      <c r="L67" s="9">
        <f>+IFERROR(INDEX(Assumptions!$F$31:$F$42, MATCH(L62, Assumptions!$D$31:$D$42, 0))*$C$64, 0)</f>
        <v>0</v>
      </c>
      <c r="M67" s="9">
        <f>+IFERROR(INDEX(Assumptions!$F$31:$F$42, MATCH(M62, Assumptions!$D$31:$D$42, 0))*$C$64, 0)</f>
        <v>0</v>
      </c>
      <c r="N67" s="9">
        <f>+IFERROR(INDEX(Assumptions!$F$31:$F$42, MATCH(N62, Assumptions!$D$31:$D$42, 0))*$C$64, 0)</f>
        <v>0</v>
      </c>
      <c r="O67" s="9">
        <f>+IFERROR(INDEX(Assumptions!$F$31:$F$42, MATCH(O62, Assumptions!$D$31:$D$42, 0))*$C$64, 0)</f>
        <v>0</v>
      </c>
      <c r="P67" s="9">
        <f>+IFERROR(INDEX(Assumptions!$F$31:$F$42, MATCH(P62, Assumptions!$D$31:$D$42, 0))*$C$64, 0)</f>
        <v>0</v>
      </c>
      <c r="Q67" s="9">
        <f>+IFERROR(INDEX(Assumptions!$F$31:$F$42, MATCH(Q62, Assumptions!$D$31:$D$42, 0))*$C$64, 0)</f>
        <v>0</v>
      </c>
      <c r="R67" s="9">
        <f>+IFERROR(INDEX(Assumptions!$F$31:$F$42, MATCH(R62, Assumptions!$D$31:$D$42, 0))*$C$64, 0)</f>
        <v>0</v>
      </c>
      <c r="S67" s="9">
        <f>+IFERROR(INDEX(Assumptions!$F$31:$F$42, MATCH(S62, Assumptions!$D$31:$D$42, 0))*$C$64, 0)</f>
        <v>0</v>
      </c>
      <c r="T67" s="9">
        <f>+IFERROR(INDEX(Assumptions!$F$31:$F$42, MATCH(T62, Assumptions!$D$31:$D$42, 0))*$C$64, 0)</f>
        <v>0</v>
      </c>
      <c r="U67" s="9">
        <f>+IFERROR(INDEX(Assumptions!$F$31:$F$42, MATCH(U62, Assumptions!$D$31:$D$42, 0))*$C$64, 0)</f>
        <v>0</v>
      </c>
      <c r="V67" s="9">
        <f>+IFERROR(INDEX(Assumptions!$F$31:$F$42, MATCH(V62, Assumptions!$D$31:$D$42, 0))*$C$64, 0)</f>
        <v>0</v>
      </c>
      <c r="W67" s="9">
        <f>+IFERROR(INDEX(Assumptions!$F$31:$F$42, MATCH(W62, Assumptions!$D$31:$D$42, 0))*$C$64, 0)</f>
        <v>0</v>
      </c>
      <c r="X67" s="9">
        <f>+IFERROR(INDEX(Assumptions!$F$31:$F$42, MATCH(X62, Assumptions!$D$31:$D$42, 0))*$C$64, 0)</f>
        <v>0</v>
      </c>
      <c r="Y67" s="9">
        <f>+IFERROR(INDEX(Assumptions!$F$31:$F$42, MATCH(Y62, Assumptions!$D$31:$D$42, 0))*$C$64, 0)</f>
        <v>0</v>
      </c>
      <c r="Z67" s="9">
        <f>+IFERROR(INDEX(Assumptions!$F$31:$F$42, MATCH(Z62, Assumptions!$D$31:$D$42, 0))*$C$64, 0)</f>
        <v>0</v>
      </c>
      <c r="AA67" s="9">
        <f>+IFERROR(INDEX(Assumptions!$F$31:$F$42, MATCH(AA62, Assumptions!$D$31:$D$42, 0))*$C$64, 0)</f>
        <v>0</v>
      </c>
      <c r="AB67" s="9">
        <f>+IFERROR(INDEX(Assumptions!$F$31:$F$42, MATCH(AB62, Assumptions!$D$31:$D$42, 0))*$C$64, 0)</f>
        <v>0</v>
      </c>
      <c r="AC67" s="9">
        <f>+IFERROR(INDEX(Assumptions!$F$31:$F$42, MATCH(AC62, Assumptions!$D$31:$D$42, 0))*$C$64, 0)</f>
        <v>0</v>
      </c>
      <c r="AD67" s="9">
        <f>+IFERROR(INDEX(Assumptions!$F$31:$F$42, MATCH(AD62, Assumptions!$D$31:$D$42, 0))*$C$64, 0)</f>
        <v>0</v>
      </c>
      <c r="AE67" s="9">
        <f>+IFERROR(INDEX(Assumptions!$F$31:$F$42, MATCH(AE62, Assumptions!$D$31:$D$42, 0))*$C$64, 0)</f>
        <v>0</v>
      </c>
      <c r="AF67" s="9">
        <f>+IFERROR(INDEX(Assumptions!$F$31:$F$42, MATCH(AF62, Assumptions!$D$31:$D$42, 0))*$C$64, 0)</f>
        <v>0</v>
      </c>
      <c r="AG67" s="9">
        <f>+IFERROR(INDEX(Assumptions!$F$31:$F$42, MATCH(AG62, Assumptions!$D$31:$D$42, 0))*$C$64, 0)</f>
        <v>0</v>
      </c>
      <c r="AH67" s="9">
        <f>+IFERROR(INDEX(Assumptions!$F$31:$F$42, MATCH(AH62, Assumptions!$D$31:$D$42, 0))*$C$64, 0)</f>
        <v>0</v>
      </c>
      <c r="AI67" s="9">
        <f>+IFERROR(INDEX(Assumptions!$F$31:$F$42, MATCH(AI62, Assumptions!$D$31:$D$42, 0))*$C$64, 0)</f>
        <v>0</v>
      </c>
      <c r="AJ67" s="9">
        <f>+IFERROR(INDEX(Assumptions!$F$31:$F$42, MATCH(AJ62, Assumptions!$D$31:$D$42, 0))*$C$64, 0)</f>
        <v>0</v>
      </c>
      <c r="AK67" s="9">
        <f>+IFERROR(INDEX(Assumptions!$F$31:$F$42, MATCH(AK62, Assumptions!$D$31:$D$42, 0))*$C$64, 0)</f>
        <v>0</v>
      </c>
      <c r="AL67" s="9">
        <f>+IFERROR(INDEX(Assumptions!$F$31:$F$42, MATCH(AL62, Assumptions!$D$31:$D$42, 0))*$C$64, 0)</f>
        <v>0</v>
      </c>
      <c r="AM67" s="9">
        <f>+IFERROR(INDEX(Assumptions!$F$31:$F$42, MATCH(AM62, Assumptions!$D$31:$D$42, 0))*$C$64, 0)</f>
        <v>0</v>
      </c>
      <c r="AN67" s="9">
        <f>+IFERROR(INDEX(Assumptions!$F$31:$F$42, MATCH(AN62, Assumptions!$D$31:$D$42, 0))*$C$64, 0)</f>
        <v>0</v>
      </c>
      <c r="AO67" s="9">
        <f>+IFERROR(INDEX(Assumptions!$F$31:$F$42, MATCH(AO62, Assumptions!$D$31:$D$42, 0))*$C$64, 0)</f>
        <v>0</v>
      </c>
      <c r="AP67" s="9">
        <f>+IFERROR(INDEX(Assumptions!$F$31:$F$42, MATCH(AP62, Assumptions!$D$31:$D$42, 0))*$C$64, 0)</f>
        <v>0</v>
      </c>
      <c r="AQ67" s="9">
        <f>+IFERROR(INDEX(Assumptions!$F$31:$F$42, MATCH(AQ62, Assumptions!$D$31:$D$42, 0))*$C$64, 0)</f>
        <v>0</v>
      </c>
      <c r="AR67" s="9">
        <f>+IFERROR(INDEX(Assumptions!$F$31:$F$42, MATCH(AR62, Assumptions!$D$31:$D$42, 0))*$C$64, 0)</f>
        <v>0</v>
      </c>
      <c r="AS67" s="9">
        <f>+IFERROR(INDEX(Assumptions!$F$31:$F$42, MATCH(AS62, Assumptions!$D$31:$D$42, 0))*$C$64, 0)</f>
        <v>0</v>
      </c>
      <c r="AT67" s="9">
        <f>+IFERROR(INDEX(Assumptions!$F$31:$F$42, MATCH(AT62, Assumptions!$D$31:$D$42, 0))*$C$64, 0)</f>
        <v>0</v>
      </c>
      <c r="AU67" s="9">
        <f>+IFERROR(INDEX(Assumptions!$F$31:$F$42, MATCH(AU62, Assumptions!$D$31:$D$42, 0))*$C$64, 0)</f>
        <v>0</v>
      </c>
      <c r="AV67" s="9">
        <f>+IFERROR(INDEX(Assumptions!$F$31:$F$42, MATCH(AV62, Assumptions!$D$31:$D$42, 0))*$C$64, 0)</f>
        <v>0</v>
      </c>
      <c r="AW67" s="9">
        <f>+IFERROR(INDEX(Assumptions!$F$31:$F$42, MATCH(AW62, Assumptions!$D$31:$D$42, 0))*$C$64, 0)</f>
        <v>0</v>
      </c>
      <c r="AX67" s="9">
        <f>+IFERROR(INDEX(Assumptions!$F$31:$F$42, MATCH(AX62, Assumptions!$D$31:$D$42, 0))*$C$64, 0)</f>
        <v>0</v>
      </c>
      <c r="AY67" s="9">
        <f>+IFERROR(INDEX(Assumptions!$F$31:$F$42, MATCH(AY62, Assumptions!$D$31:$D$42, 0))*$C$64, 0)</f>
        <v>0</v>
      </c>
      <c r="AZ67" s="9">
        <f>+IFERROR(INDEX(Assumptions!$F$31:$F$42, MATCH(AZ62, Assumptions!$D$31:$D$42, 0))*$C$64, 0)</f>
        <v>0</v>
      </c>
      <c r="BA67" s="9">
        <f>+IFERROR(INDEX(Assumptions!$F$31:$F$42, MATCH(BA62, Assumptions!$D$31:$D$42, 0))*$C$64, 0)</f>
        <v>0</v>
      </c>
      <c r="BB67" s="9">
        <f>+IFERROR(INDEX(Assumptions!$F$31:$F$42, MATCH(BB62, Assumptions!$D$31:$D$42, 0))*$C$64, 0)</f>
        <v>0</v>
      </c>
      <c r="BC67" s="9">
        <f>+IFERROR(INDEX(Assumptions!$F$31:$F$42, MATCH(BC62, Assumptions!$D$31:$D$42, 0))*$C$64, 0)</f>
        <v>0</v>
      </c>
      <c r="BD67" s="9">
        <f>+IFERROR(INDEX(Assumptions!$F$31:$F$42, MATCH(BD62, Assumptions!$D$31:$D$42, 0))*$C$64, 0)</f>
        <v>0</v>
      </c>
      <c r="BE67" s="9">
        <f>+IFERROR(INDEX(Assumptions!$F$31:$F$42, MATCH(BE62, Assumptions!$D$31:$D$42, 0))*$C$64, 0)</f>
        <v>0</v>
      </c>
      <c r="BF67" s="9">
        <f>+IFERROR(INDEX(Assumptions!$F$31:$F$42, MATCH(BF62, Assumptions!$D$31:$D$42, 0))*$C$64, 0)</f>
        <v>0</v>
      </c>
      <c r="BG67" s="9">
        <f>+IFERROR(INDEX(Assumptions!$F$31:$F$42, MATCH(BG62, Assumptions!$D$31:$D$42, 0))*$C$64, 0)</f>
        <v>0</v>
      </c>
      <c r="BH67" s="9">
        <f>+IFERROR(INDEX(Assumptions!$F$31:$F$42, MATCH(BH62, Assumptions!$D$31:$D$42, 0))*$C$64, 0)</f>
        <v>0</v>
      </c>
      <c r="BI67" s="9">
        <f>+IFERROR(INDEX(Assumptions!$F$31:$F$42, MATCH(BI62, Assumptions!$D$31:$D$42, 0))*$C$64, 0)</f>
        <v>0</v>
      </c>
      <c r="BJ67" s="9">
        <f>+IFERROR(INDEX(Assumptions!$F$31:$F$42, MATCH(BJ62, Assumptions!$D$31:$D$42, 0))*$C$64, 0)</f>
        <v>0</v>
      </c>
      <c r="BK67" s="9">
        <f>+IFERROR(INDEX(Assumptions!$F$31:$F$42, MATCH(BK62, Assumptions!$D$31:$D$42, 0))*$C$64, 0)</f>
        <v>0</v>
      </c>
      <c r="BL67" s="9">
        <f>+IFERROR(INDEX(Assumptions!$F$31:$F$42, MATCH(BL62, Assumptions!$D$31:$D$42, 0))*$C$64, 0)</f>
        <v>0</v>
      </c>
      <c r="BM67" s="9">
        <f>+IFERROR(INDEX(Assumptions!$F$31:$F$42, MATCH(BM62, Assumptions!$D$31:$D$42, 0))*$C$64, 0)</f>
        <v>0</v>
      </c>
      <c r="BN67" s="9">
        <f>+IFERROR(INDEX(Assumptions!$F$31:$F$42, MATCH(BN62, Assumptions!$D$31:$D$42, 0))*$C$64, 0)</f>
        <v>0</v>
      </c>
      <c r="BO67" s="9">
        <f>+IFERROR(INDEX(Assumptions!$F$31:$F$42, MATCH(BO62, Assumptions!$D$31:$D$42, 0))*$C$64, 0)</f>
        <v>0</v>
      </c>
      <c r="BP67" s="9">
        <f>+IFERROR(INDEX(Assumptions!$F$31:$F$42, MATCH(BP62, Assumptions!$D$31:$D$42, 0))*$C$64, 0)</f>
        <v>0</v>
      </c>
      <c r="BQ67" s="9">
        <f>+IFERROR(INDEX(Assumptions!$F$31:$F$42, MATCH(BQ62, Assumptions!$D$31:$D$42, 0))*$C$64, 0)</f>
        <v>0</v>
      </c>
      <c r="BR67" s="9">
        <f>+IFERROR(INDEX(Assumptions!$F$31:$F$42, MATCH(BR62, Assumptions!$D$31:$D$42, 0))*$C$64, 0)</f>
        <v>0</v>
      </c>
      <c r="BS67" s="9">
        <f>+IFERROR(INDEX(Assumptions!$F$31:$F$42, MATCH(BS62, Assumptions!$D$31:$D$42, 0))*$C$64, 0)</f>
        <v>0</v>
      </c>
      <c r="BT67" s="9">
        <f>+IFERROR(INDEX(Assumptions!$F$31:$F$42, MATCH(BT62, Assumptions!$D$31:$D$42, 0))*$C$64, 0)</f>
        <v>0</v>
      </c>
      <c r="BU67" s="9">
        <f>+IFERROR(INDEX(Assumptions!$F$31:$F$42, MATCH(BU62, Assumptions!$D$31:$D$42, 0))*$C$64, 0)</f>
        <v>0</v>
      </c>
      <c r="BV67" s="9">
        <f>+IFERROR(INDEX(Assumptions!$F$31:$F$42, MATCH(BV62, Assumptions!$D$31:$D$42, 0))*$C$64, 0)</f>
        <v>0</v>
      </c>
      <c r="BW67" s="9">
        <f>+IFERROR(INDEX(Assumptions!$F$31:$F$42, MATCH(BW62, Assumptions!$D$31:$D$42, 0))*$C$64, 0)</f>
        <v>0</v>
      </c>
      <c r="BX67" s="9">
        <f>+IFERROR(INDEX(Assumptions!$F$31:$F$42, MATCH(BX62, Assumptions!$D$31:$D$42, 0))*$C$64, 0)</f>
        <v>0</v>
      </c>
      <c r="BY67" s="9">
        <f>+IFERROR(INDEX(Assumptions!$F$31:$F$42, MATCH(BY62, Assumptions!$D$31:$D$42, 0))*$C$64, 0)</f>
        <v>0</v>
      </c>
      <c r="BZ67" s="9">
        <f>+IFERROR(INDEX(Assumptions!$F$31:$F$42, MATCH(BZ62, Assumptions!$D$31:$D$42, 0))*$C$64, 0)</f>
        <v>0</v>
      </c>
      <c r="CA67" s="9">
        <f>+IFERROR(INDEX(Assumptions!$F$31:$F$42, MATCH(CA62, Assumptions!$D$31:$D$42, 0))*$C$64, 0)</f>
        <v>0</v>
      </c>
      <c r="CB67" s="9">
        <f>+IFERROR(INDEX(Assumptions!$F$31:$F$42, MATCH(CB62, Assumptions!$D$31:$D$42, 0))*$C$64, 0)</f>
        <v>0</v>
      </c>
      <c r="CC67" s="9">
        <f>+IFERROR(INDEX(Assumptions!$F$31:$F$42, MATCH(CC62, Assumptions!$D$31:$D$42, 0))*$C$64, 0)</f>
        <v>0</v>
      </c>
      <c r="CD67" s="9">
        <f>+IFERROR(INDEX(Assumptions!$F$31:$F$42, MATCH(CD62, Assumptions!$D$31:$D$42, 0))*$C$64, 0)</f>
        <v>0</v>
      </c>
      <c r="CE67" s="9">
        <f>+IFERROR(INDEX(Assumptions!$F$31:$F$42, MATCH(CE62, Assumptions!$D$31:$D$42, 0))*$C$64, 0)</f>
        <v>0</v>
      </c>
      <c r="CF67" s="9">
        <f>+IFERROR(INDEX(Assumptions!$F$31:$F$42, MATCH(CF62, Assumptions!$D$31:$D$42, 0))*$C$64, 0)</f>
        <v>0</v>
      </c>
      <c r="CG67" s="9">
        <f>+IFERROR(INDEX(Assumptions!$F$31:$F$42, MATCH(CG62, Assumptions!$D$31:$D$42, 0))*$C$64, 0)</f>
        <v>0</v>
      </c>
      <c r="CH67" s="9">
        <f>+IFERROR(INDEX(Assumptions!$F$31:$F$42, MATCH(CH62, Assumptions!$D$31:$D$42, 0))*$C$64, 0)</f>
        <v>0</v>
      </c>
      <c r="CI67" s="9">
        <f>+IFERROR(INDEX(Assumptions!$F$31:$F$42, MATCH(CI62, Assumptions!$D$31:$D$42, 0))*$C$64, 0)</f>
        <v>0</v>
      </c>
      <c r="CJ67" s="9">
        <f>+IFERROR(INDEX(Assumptions!$F$31:$F$42, MATCH(CJ62, Assumptions!$D$31:$D$42, 0))*$C$64, 0)</f>
        <v>0</v>
      </c>
      <c r="CK67" s="9">
        <f>+IFERROR(INDEX(Assumptions!$F$31:$F$42, MATCH(CK62, Assumptions!$D$31:$D$42, 0))*$C$64, 0)</f>
        <v>0</v>
      </c>
      <c r="CL67" s="9">
        <f>+IFERROR(INDEX(Assumptions!$F$31:$F$42, MATCH(CL62, Assumptions!$D$31:$D$42, 0))*$C$64, 0)</f>
        <v>0</v>
      </c>
      <c r="CM67" s="9">
        <f>+IFERROR(INDEX(Assumptions!$F$31:$F$42, MATCH(CM62, Assumptions!$D$31:$D$42, 0))*$C$64, 0)</f>
        <v>0</v>
      </c>
      <c r="CN67" s="9">
        <f>+IFERROR(INDEX(Assumptions!$F$31:$F$42, MATCH(CN62, Assumptions!$D$31:$D$42, 0))*$C$64, 0)</f>
        <v>0</v>
      </c>
      <c r="CO67" s="9">
        <f>+IFERROR(INDEX(Assumptions!$F$31:$F$42, MATCH(CO62, Assumptions!$D$31:$D$42, 0))*$C$64, 0)</f>
        <v>0</v>
      </c>
      <c r="CP67" s="9">
        <f>+IFERROR(INDEX(Assumptions!$F$31:$F$42, MATCH(CP62, Assumptions!$D$31:$D$42, 0))*$C$64, 0)</f>
        <v>0</v>
      </c>
      <c r="CQ67" s="9">
        <f>+IFERROR(INDEX(Assumptions!$F$31:$F$42, MATCH(CQ62, Assumptions!$D$31:$D$42, 0))*$C$64, 0)</f>
        <v>0</v>
      </c>
      <c r="CR67" s="9">
        <f>+IFERROR(INDEX(Assumptions!$F$31:$F$42, MATCH(CR62, Assumptions!$D$31:$D$42, 0))*$C$64, 0)</f>
        <v>0</v>
      </c>
      <c r="CS67" s="9">
        <f>+IFERROR(INDEX(Assumptions!$F$31:$F$42, MATCH(CS62, Assumptions!$D$31:$D$42, 0))*$C$64, 0)</f>
        <v>0</v>
      </c>
      <c r="CT67" s="9">
        <f>+IFERROR(INDEX(Assumptions!$F$31:$F$42, MATCH(CT62, Assumptions!$D$31:$D$42, 0))*$C$64, 0)</f>
        <v>0</v>
      </c>
      <c r="CU67" s="9">
        <f>+IFERROR(INDEX(Assumptions!$F$31:$F$42, MATCH(CU62, Assumptions!$D$31:$D$42, 0))*$C$64, 0)</f>
        <v>490000</v>
      </c>
      <c r="CV67" s="9">
        <f>+IFERROR(INDEX(Assumptions!$F$31:$F$42, MATCH(CV62, Assumptions!$D$31:$D$42, 0))*$C$64, 0)</f>
        <v>0</v>
      </c>
      <c r="CW67" s="9">
        <f>+IFERROR(INDEX(Assumptions!$F$31:$F$42, MATCH(CW62, Assumptions!$D$31:$D$42, 0))*$C$64, 0)</f>
        <v>0</v>
      </c>
      <c r="CX67" s="9">
        <f>+IFERROR(INDEX(Assumptions!$F$31:$F$42, MATCH(CX62, Assumptions!$D$31:$D$42, 0))*$C$64, 0)</f>
        <v>0</v>
      </c>
      <c r="CY67" s="9">
        <f>+IFERROR(INDEX(Assumptions!$F$31:$F$42, MATCH(CY62, Assumptions!$D$31:$D$42, 0))*$C$64, 0)</f>
        <v>980000</v>
      </c>
      <c r="CZ67" s="9">
        <f>+IFERROR(INDEX(Assumptions!$F$31:$F$42, MATCH(CZ62, Assumptions!$D$31:$D$42, 0))*$C$64, 0)</f>
        <v>1225000</v>
      </c>
      <c r="DA67" s="9">
        <f>+IFERROR(INDEX(Assumptions!$F$31:$F$42, MATCH(DA62, Assumptions!$D$31:$D$42, 0))*$C$64, 0)</f>
        <v>735000</v>
      </c>
      <c r="DB67" s="9">
        <f>+IFERROR(INDEX(Assumptions!$F$31:$F$42, MATCH(DB62, Assumptions!$D$31:$D$42, 0))*$C$64, 0)</f>
        <v>0</v>
      </c>
      <c r="DC67" s="9">
        <f>+IFERROR(INDEX(Assumptions!$F$31:$F$42, MATCH(DC62, Assumptions!$D$31:$D$42, 0))*$C$64, 0)</f>
        <v>735000</v>
      </c>
      <c r="DD67" s="9">
        <f>+IFERROR(INDEX(Assumptions!$F$31:$F$42, MATCH(DD62, Assumptions!$D$31:$D$42, 0))*$C$64, 0)</f>
        <v>0</v>
      </c>
      <c r="DE67" s="9">
        <f>+IFERROR(INDEX(Assumptions!$F$31:$F$42, MATCH(DE62, Assumptions!$D$31:$D$42, 0))*$C$64, 0)</f>
        <v>735000</v>
      </c>
      <c r="DF67" s="9">
        <f>+IFERROR(INDEX(Assumptions!$F$31:$F$42, MATCH(DF62, Assumptions!$D$31:$D$42, 0))*$C$64, 0)</f>
        <v>0</v>
      </c>
      <c r="DG67" s="9">
        <f>+IFERROR(INDEX(Assumptions!$F$31:$F$42, MATCH(DG62, Assumptions!$D$31:$D$42, 0))*$C$64, 0)</f>
        <v>0</v>
      </c>
      <c r="DH67" s="9">
        <f>+IFERROR(INDEX(Assumptions!$F$31:$F$42, MATCH(DH62, Assumptions!$D$31:$D$42, 0))*$C$64, 0)</f>
        <v>490000</v>
      </c>
    </row>
    <row r="68" spans="2:112" x14ac:dyDescent="0.25">
      <c r="D68" t="s">
        <v>277</v>
      </c>
      <c r="F68" s="9">
        <f t="shared" ref="F68" si="1872">+F67+E68</f>
        <v>0</v>
      </c>
      <c r="G68" s="9">
        <f t="shared" ref="G68" si="1873">+G67+F68</f>
        <v>0</v>
      </c>
      <c r="H68" s="9">
        <f t="shared" ref="H68" si="1874">+H67+G68</f>
        <v>0</v>
      </c>
      <c r="I68" s="9">
        <f t="shared" ref="I68" si="1875">+I67+H68</f>
        <v>0</v>
      </c>
      <c r="J68" s="9">
        <f t="shared" ref="J68" si="1876">+J67+I68</f>
        <v>0</v>
      </c>
      <c r="K68" s="9">
        <f t="shared" ref="K68" si="1877">+K67+J68</f>
        <v>0</v>
      </c>
      <c r="L68" s="9">
        <f t="shared" ref="L68" si="1878">+L67+K68</f>
        <v>0</v>
      </c>
      <c r="M68" s="9">
        <f t="shared" ref="M68" si="1879">+M67+L68</f>
        <v>0</v>
      </c>
      <c r="N68" s="9">
        <f t="shared" ref="N68" si="1880">+N67+M68</f>
        <v>0</v>
      </c>
      <c r="O68" s="9">
        <f t="shared" ref="O68" si="1881">+O67+N68</f>
        <v>0</v>
      </c>
      <c r="P68" s="9">
        <f t="shared" ref="P68" si="1882">+P67+O68</f>
        <v>0</v>
      </c>
      <c r="Q68" s="9">
        <f t="shared" ref="Q68" si="1883">+Q67+P68</f>
        <v>0</v>
      </c>
      <c r="R68" s="9">
        <f t="shared" ref="R68" si="1884">+R67+Q68</f>
        <v>0</v>
      </c>
      <c r="S68" s="9">
        <f t="shared" ref="S68" si="1885">+S67+R68</f>
        <v>0</v>
      </c>
      <c r="T68" s="9">
        <f t="shared" ref="T68" si="1886">+T67+S68</f>
        <v>0</v>
      </c>
      <c r="U68" s="9">
        <f t="shared" ref="U68" si="1887">+U67+T68</f>
        <v>0</v>
      </c>
      <c r="V68" s="9">
        <f t="shared" ref="V68" si="1888">+V67+U68</f>
        <v>0</v>
      </c>
      <c r="W68" s="9">
        <f t="shared" ref="W68" si="1889">+W67+V68</f>
        <v>0</v>
      </c>
      <c r="X68" s="9">
        <f t="shared" ref="X68" si="1890">+X67+W68</f>
        <v>0</v>
      </c>
      <c r="Y68" s="9">
        <f t="shared" ref="Y68" si="1891">+Y67+X68</f>
        <v>0</v>
      </c>
      <c r="Z68" s="9">
        <f t="shared" ref="Z68" si="1892">+Z67+Y68</f>
        <v>0</v>
      </c>
      <c r="AA68" s="9">
        <f t="shared" ref="AA68" si="1893">+AA67+Z68</f>
        <v>0</v>
      </c>
      <c r="AB68" s="9">
        <f t="shared" ref="AB68" si="1894">+AB67+AA68</f>
        <v>0</v>
      </c>
      <c r="AC68" s="9">
        <f t="shared" ref="AC68" si="1895">+AC67+AB68</f>
        <v>0</v>
      </c>
      <c r="AD68" s="9">
        <f t="shared" ref="AD68" si="1896">+AD67+AC68</f>
        <v>0</v>
      </c>
      <c r="AE68" s="9">
        <f t="shared" ref="AE68" si="1897">+AE67+AD68</f>
        <v>0</v>
      </c>
      <c r="AF68" s="9">
        <f t="shared" ref="AF68" si="1898">+AF67+AE68</f>
        <v>0</v>
      </c>
      <c r="AG68" s="9">
        <f t="shared" ref="AG68" si="1899">+AG67+AF68</f>
        <v>0</v>
      </c>
      <c r="AH68" s="9">
        <f t="shared" ref="AH68" si="1900">+AH67+AG68</f>
        <v>0</v>
      </c>
      <c r="AI68" s="9">
        <f t="shared" ref="AI68" si="1901">+AI67+AH68</f>
        <v>0</v>
      </c>
      <c r="AJ68" s="9">
        <f t="shared" ref="AJ68" si="1902">+AJ67+AI68</f>
        <v>0</v>
      </c>
      <c r="AK68" s="9">
        <f t="shared" ref="AK68" si="1903">+AK67+AJ68</f>
        <v>0</v>
      </c>
      <c r="AL68" s="9">
        <f t="shared" ref="AL68" si="1904">+AL67+AK68</f>
        <v>0</v>
      </c>
      <c r="AM68" s="9">
        <f t="shared" ref="AM68" si="1905">+AM67+AL68</f>
        <v>0</v>
      </c>
      <c r="AN68" s="9">
        <f t="shared" ref="AN68" si="1906">+AN67+AM68</f>
        <v>0</v>
      </c>
      <c r="AO68" s="9">
        <f t="shared" ref="AO68" si="1907">+AO67+AN68</f>
        <v>0</v>
      </c>
      <c r="AP68" s="9">
        <f t="shared" ref="AP68" si="1908">+AP67+AO68</f>
        <v>0</v>
      </c>
      <c r="AQ68" s="9">
        <f t="shared" ref="AQ68" si="1909">+AQ67+AP68</f>
        <v>0</v>
      </c>
      <c r="AR68" s="9">
        <f t="shared" ref="AR68" si="1910">+AR67+AQ68</f>
        <v>0</v>
      </c>
      <c r="AS68" s="9">
        <f t="shared" ref="AS68" si="1911">+AS67+AR68</f>
        <v>0</v>
      </c>
      <c r="AT68" s="9">
        <f t="shared" ref="AT68" si="1912">+AT67+AS68</f>
        <v>0</v>
      </c>
      <c r="AU68" s="9">
        <f t="shared" ref="AU68" si="1913">+AU67+AT68</f>
        <v>0</v>
      </c>
      <c r="AV68" s="9">
        <f t="shared" ref="AV68" si="1914">+AV67+AU68</f>
        <v>0</v>
      </c>
      <c r="AW68" s="9">
        <f t="shared" ref="AW68" si="1915">+AW67+AV68</f>
        <v>0</v>
      </c>
      <c r="AX68" s="9">
        <f t="shared" ref="AX68" si="1916">+AX67+AW68</f>
        <v>0</v>
      </c>
      <c r="AY68" s="9">
        <f t="shared" ref="AY68" si="1917">+AY67+AX68</f>
        <v>0</v>
      </c>
      <c r="AZ68" s="9">
        <f t="shared" ref="AZ68" si="1918">+AZ67+AY68</f>
        <v>0</v>
      </c>
      <c r="BA68" s="9">
        <f t="shared" ref="BA68" si="1919">+BA67+AZ68</f>
        <v>0</v>
      </c>
      <c r="BB68" s="9">
        <f t="shared" ref="BB68" si="1920">+BB67+BA68</f>
        <v>0</v>
      </c>
      <c r="BC68" s="9">
        <f t="shared" ref="BC68" si="1921">+BC67+BB68</f>
        <v>0</v>
      </c>
      <c r="BD68" s="9">
        <f t="shared" ref="BD68" si="1922">+BD67+BC68</f>
        <v>0</v>
      </c>
      <c r="BE68" s="9">
        <f t="shared" ref="BE68" si="1923">+BE67+BD68</f>
        <v>0</v>
      </c>
      <c r="BF68" s="9">
        <f t="shared" ref="BF68" si="1924">+BF67+BE68</f>
        <v>0</v>
      </c>
      <c r="BG68" s="9">
        <f t="shared" ref="BG68" si="1925">+BG67+BF68</f>
        <v>0</v>
      </c>
      <c r="BH68" s="9">
        <f t="shared" ref="BH68" si="1926">+BH67+BG68</f>
        <v>0</v>
      </c>
      <c r="BI68" s="9">
        <f t="shared" ref="BI68" si="1927">+BI67+BH68</f>
        <v>0</v>
      </c>
      <c r="BJ68" s="9">
        <f t="shared" ref="BJ68" si="1928">+BJ67+BI68</f>
        <v>0</v>
      </c>
      <c r="BK68" s="9">
        <f t="shared" ref="BK68" si="1929">+BK67+BJ68</f>
        <v>0</v>
      </c>
      <c r="BL68" s="9">
        <f t="shared" ref="BL68" si="1930">+BL67+BK68</f>
        <v>0</v>
      </c>
      <c r="BM68" s="9">
        <f t="shared" ref="BM68" si="1931">+BM67+BL68</f>
        <v>0</v>
      </c>
      <c r="BN68" s="9">
        <f t="shared" ref="BN68" si="1932">+BN67+BM68</f>
        <v>0</v>
      </c>
      <c r="BO68" s="9">
        <f t="shared" ref="BO68" si="1933">+BO67+BN68</f>
        <v>0</v>
      </c>
      <c r="BP68" s="9">
        <f t="shared" ref="BP68" si="1934">+BP67+BO68</f>
        <v>0</v>
      </c>
      <c r="BQ68" s="9">
        <f t="shared" ref="BQ68" si="1935">+BQ67+BP68</f>
        <v>0</v>
      </c>
      <c r="BR68" s="9">
        <f t="shared" ref="BR68" si="1936">+BR67+BQ68</f>
        <v>0</v>
      </c>
      <c r="BS68" s="9">
        <f t="shared" ref="BS68" si="1937">+BS67+BR68</f>
        <v>0</v>
      </c>
      <c r="BT68" s="9">
        <f t="shared" ref="BT68" si="1938">+BT67+BS68</f>
        <v>0</v>
      </c>
      <c r="BU68" s="9">
        <f t="shared" ref="BU68" si="1939">+BU67+BT68</f>
        <v>0</v>
      </c>
      <c r="BV68" s="9">
        <f t="shared" ref="BV68" si="1940">+BV67+BU68</f>
        <v>0</v>
      </c>
      <c r="BW68" s="9">
        <f t="shared" ref="BW68" si="1941">+BW67+BV68</f>
        <v>0</v>
      </c>
      <c r="BX68" s="9">
        <f t="shared" ref="BX68" si="1942">+BX67+BW68</f>
        <v>0</v>
      </c>
      <c r="BY68" s="9">
        <f t="shared" ref="BY68" si="1943">+BY67+BX68</f>
        <v>0</v>
      </c>
      <c r="BZ68" s="9">
        <f t="shared" ref="BZ68" si="1944">+BZ67+BY68</f>
        <v>0</v>
      </c>
      <c r="CA68" s="9">
        <f t="shared" ref="CA68" si="1945">+CA67+BZ68</f>
        <v>0</v>
      </c>
      <c r="CB68" s="9">
        <f t="shared" ref="CB68" si="1946">+CB67+CA68</f>
        <v>0</v>
      </c>
      <c r="CC68" s="9">
        <f t="shared" ref="CC68" si="1947">+CC67+CB68</f>
        <v>0</v>
      </c>
      <c r="CD68" s="9">
        <f t="shared" ref="CD68" si="1948">+CD67+CC68</f>
        <v>0</v>
      </c>
      <c r="CE68" s="9">
        <f t="shared" ref="CE68" si="1949">+CE67+CD68</f>
        <v>0</v>
      </c>
      <c r="CF68" s="9">
        <f t="shared" ref="CF68" si="1950">+CF67+CE68</f>
        <v>0</v>
      </c>
      <c r="CG68" s="9">
        <f t="shared" ref="CG68" si="1951">+CG67+CF68</f>
        <v>0</v>
      </c>
      <c r="CH68" s="9">
        <f t="shared" ref="CH68" si="1952">+CH67+CG68</f>
        <v>0</v>
      </c>
      <c r="CI68" s="9">
        <f t="shared" ref="CI68" si="1953">+CI67+CH68</f>
        <v>0</v>
      </c>
      <c r="CJ68" s="9">
        <f t="shared" ref="CJ68" si="1954">+CJ67+CI68</f>
        <v>0</v>
      </c>
      <c r="CK68" s="9">
        <f t="shared" ref="CK68" si="1955">+CK67+CJ68</f>
        <v>0</v>
      </c>
      <c r="CL68" s="9">
        <f t="shared" ref="CL68" si="1956">+CL67+CK68</f>
        <v>0</v>
      </c>
      <c r="CM68" s="9">
        <f t="shared" ref="CM68" si="1957">+CM67+CL68</f>
        <v>0</v>
      </c>
      <c r="CN68" s="9">
        <f t="shared" ref="CN68" si="1958">+CN67+CM68</f>
        <v>0</v>
      </c>
      <c r="CO68" s="9">
        <f t="shared" ref="CO68" si="1959">+CO67+CN68</f>
        <v>0</v>
      </c>
      <c r="CP68" s="9">
        <f t="shared" ref="CP68" si="1960">+CP67+CO68</f>
        <v>0</v>
      </c>
      <c r="CQ68" s="9">
        <f t="shared" ref="CQ68" si="1961">+CQ67+CP68</f>
        <v>0</v>
      </c>
      <c r="CR68" s="9">
        <f t="shared" ref="CR68" si="1962">+CR67+CQ68</f>
        <v>0</v>
      </c>
      <c r="CS68" s="9">
        <f t="shared" ref="CS68" si="1963">+CS67+CR68</f>
        <v>0</v>
      </c>
      <c r="CT68" s="9">
        <f t="shared" ref="CT68" si="1964">+CT67+CS68</f>
        <v>0</v>
      </c>
      <c r="CU68" s="9">
        <f t="shared" ref="CU68" si="1965">+CU67+CT68</f>
        <v>490000</v>
      </c>
      <c r="CV68" s="9">
        <f t="shared" ref="CV68" si="1966">+CV67+CU68</f>
        <v>490000</v>
      </c>
      <c r="CW68" s="9">
        <f t="shared" ref="CW68" si="1967">+CW67+CV68</f>
        <v>490000</v>
      </c>
      <c r="CX68" s="9">
        <f t="shared" ref="CX68" si="1968">+CX67+CW68</f>
        <v>490000</v>
      </c>
      <c r="CY68" s="9">
        <f t="shared" ref="CY68" si="1969">+CY67+CX68</f>
        <v>1470000</v>
      </c>
      <c r="CZ68" s="9">
        <f t="shared" ref="CZ68" si="1970">+CZ67+CY68</f>
        <v>2695000</v>
      </c>
      <c r="DA68" s="9">
        <f t="shared" ref="DA68" si="1971">+DA67+CZ68</f>
        <v>3430000</v>
      </c>
      <c r="DB68" s="9">
        <f t="shared" ref="DB68" si="1972">+DB67+DA68</f>
        <v>3430000</v>
      </c>
      <c r="DC68" s="9">
        <f t="shared" ref="DC68" si="1973">+DC67+DB68</f>
        <v>4165000</v>
      </c>
      <c r="DD68" s="9">
        <f t="shared" ref="DD68" si="1974">+DD67+DC68</f>
        <v>4165000</v>
      </c>
      <c r="DE68" s="9">
        <f t="shared" ref="DE68" si="1975">+DE67+DD68</f>
        <v>4900000</v>
      </c>
      <c r="DF68" s="9">
        <f t="shared" ref="DF68" si="1976">+DF67+DE68</f>
        <v>4900000</v>
      </c>
      <c r="DG68" s="9">
        <f t="shared" ref="DG68:DH68" si="1977">+DG67+DF68</f>
        <v>4900000</v>
      </c>
      <c r="DH68" s="9">
        <f t="shared" si="1977"/>
        <v>5390000</v>
      </c>
    </row>
    <row r="69" spans="2:112" x14ac:dyDescent="0.25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</row>
    <row r="70" spans="2:112" x14ac:dyDescent="0.25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2:112" x14ac:dyDescent="0.25">
      <c r="B71" s="474"/>
      <c r="C71" s="45"/>
      <c r="D71" s="45" t="s">
        <v>339</v>
      </c>
      <c r="E71" s="45"/>
      <c r="F71" s="475">
        <f>+F18+F9+F26+F34+F42+F50+F58+F67</f>
        <v>0</v>
      </c>
      <c r="G71" s="475">
        <f t="shared" ref="G71:BR71" si="1978">+G18+G9+G26+G34+G42+G50+G58+G67</f>
        <v>0</v>
      </c>
      <c r="H71" s="475">
        <f t="shared" si="1978"/>
        <v>0</v>
      </c>
      <c r="I71" s="475">
        <f t="shared" si="1978"/>
        <v>75000</v>
      </c>
      <c r="J71" s="475">
        <f t="shared" si="1978"/>
        <v>0</v>
      </c>
      <c r="K71" s="475">
        <f t="shared" si="1978"/>
        <v>0</v>
      </c>
      <c r="L71" s="475">
        <f t="shared" si="1978"/>
        <v>0</v>
      </c>
      <c r="M71" s="475">
        <f t="shared" si="1978"/>
        <v>0</v>
      </c>
      <c r="N71" s="475">
        <f t="shared" si="1978"/>
        <v>150000</v>
      </c>
      <c r="O71" s="475">
        <f t="shared" si="1978"/>
        <v>187500</v>
      </c>
      <c r="P71" s="475">
        <f t="shared" si="1978"/>
        <v>112500</v>
      </c>
      <c r="Q71" s="475">
        <f t="shared" si="1978"/>
        <v>0</v>
      </c>
      <c r="R71" s="475">
        <f>+R18+R9+R26+R34+R42+R50+R58+R67</f>
        <v>112500</v>
      </c>
      <c r="S71" s="475">
        <f t="shared" si="1978"/>
        <v>112500</v>
      </c>
      <c r="T71" s="475">
        <f t="shared" si="1978"/>
        <v>0</v>
      </c>
      <c r="U71" s="475">
        <f t="shared" si="1978"/>
        <v>0</v>
      </c>
      <c r="V71" s="475">
        <f t="shared" si="1978"/>
        <v>0</v>
      </c>
      <c r="W71" s="475">
        <f t="shared" si="1978"/>
        <v>0</v>
      </c>
      <c r="X71" s="475">
        <f t="shared" si="1978"/>
        <v>0</v>
      </c>
      <c r="Y71" s="475">
        <f t="shared" si="1978"/>
        <v>0</v>
      </c>
      <c r="Z71" s="475">
        <f t="shared" si="1978"/>
        <v>0</v>
      </c>
      <c r="AA71" s="475">
        <f t="shared" si="1978"/>
        <v>0</v>
      </c>
      <c r="AB71" s="475">
        <f t="shared" si="1978"/>
        <v>0</v>
      </c>
      <c r="AC71" s="475">
        <f t="shared" si="1978"/>
        <v>0</v>
      </c>
      <c r="AD71" s="475">
        <f t="shared" si="1978"/>
        <v>0</v>
      </c>
      <c r="AE71" s="475">
        <f t="shared" si="1978"/>
        <v>0</v>
      </c>
      <c r="AF71" s="475">
        <f t="shared" si="1978"/>
        <v>0</v>
      </c>
      <c r="AG71" s="475">
        <f t="shared" si="1978"/>
        <v>90000</v>
      </c>
      <c r="AH71" s="475">
        <f t="shared" si="1978"/>
        <v>0</v>
      </c>
      <c r="AI71" s="475">
        <f t="shared" si="1978"/>
        <v>0</v>
      </c>
      <c r="AJ71" s="475">
        <f t="shared" si="1978"/>
        <v>0</v>
      </c>
      <c r="AK71" s="475">
        <f t="shared" si="1978"/>
        <v>0</v>
      </c>
      <c r="AL71" s="475">
        <f t="shared" si="1978"/>
        <v>0</v>
      </c>
      <c r="AM71" s="475">
        <f t="shared" si="1978"/>
        <v>125000</v>
      </c>
      <c r="AN71" s="475">
        <f t="shared" si="1978"/>
        <v>0</v>
      </c>
      <c r="AO71" s="475">
        <f t="shared" si="1978"/>
        <v>0</v>
      </c>
      <c r="AP71" s="475">
        <f t="shared" si="1978"/>
        <v>0</v>
      </c>
      <c r="AQ71" s="475">
        <f t="shared" si="1978"/>
        <v>250000</v>
      </c>
      <c r="AR71" s="475">
        <f t="shared" si="1978"/>
        <v>312500</v>
      </c>
      <c r="AS71" s="475">
        <f t="shared" si="1978"/>
        <v>187500</v>
      </c>
      <c r="AT71" s="475">
        <f t="shared" si="1978"/>
        <v>0</v>
      </c>
      <c r="AU71" s="475">
        <f t="shared" si="1978"/>
        <v>187500</v>
      </c>
      <c r="AV71" s="475">
        <f t="shared" si="1978"/>
        <v>0</v>
      </c>
      <c r="AW71" s="475">
        <f t="shared" si="1978"/>
        <v>187500</v>
      </c>
      <c r="AX71" s="475">
        <f t="shared" si="1978"/>
        <v>0</v>
      </c>
      <c r="AY71" s="475">
        <f t="shared" si="1978"/>
        <v>215000</v>
      </c>
      <c r="AZ71" s="475">
        <f t="shared" si="1978"/>
        <v>0</v>
      </c>
      <c r="BA71" s="475">
        <f t="shared" si="1978"/>
        <v>0</v>
      </c>
      <c r="BB71" s="475">
        <f t="shared" si="1978"/>
        <v>0</v>
      </c>
      <c r="BC71" s="475">
        <f t="shared" si="1978"/>
        <v>430000</v>
      </c>
      <c r="BD71" s="475">
        <f t="shared" si="1978"/>
        <v>537500</v>
      </c>
      <c r="BE71" s="475">
        <f t="shared" si="1978"/>
        <v>322500</v>
      </c>
      <c r="BF71" s="475">
        <f t="shared" si="1978"/>
        <v>0</v>
      </c>
      <c r="BG71" s="475">
        <f t="shared" si="1978"/>
        <v>322500</v>
      </c>
      <c r="BH71" s="475">
        <f t="shared" si="1978"/>
        <v>0</v>
      </c>
      <c r="BI71" s="475">
        <f t="shared" si="1978"/>
        <v>322500</v>
      </c>
      <c r="BJ71" s="475">
        <f t="shared" si="1978"/>
        <v>0</v>
      </c>
      <c r="BK71" s="475">
        <f t="shared" si="1978"/>
        <v>295000</v>
      </c>
      <c r="BL71" s="475">
        <f t="shared" si="1978"/>
        <v>0</v>
      </c>
      <c r="BM71" s="475">
        <f t="shared" si="1978"/>
        <v>0</v>
      </c>
      <c r="BN71" s="475">
        <f t="shared" si="1978"/>
        <v>0</v>
      </c>
      <c r="BO71" s="475">
        <f t="shared" si="1978"/>
        <v>590000</v>
      </c>
      <c r="BP71" s="475">
        <f t="shared" si="1978"/>
        <v>737500</v>
      </c>
      <c r="BQ71" s="475">
        <f t="shared" si="1978"/>
        <v>442500</v>
      </c>
      <c r="BR71" s="475">
        <f t="shared" si="1978"/>
        <v>0</v>
      </c>
      <c r="BS71" s="475">
        <f t="shared" ref="BS71:DH71" si="1979">+BS18+BS9+BS26+BS34+BS42+BS50+BS58+BS67</f>
        <v>442500</v>
      </c>
      <c r="BT71" s="475">
        <f t="shared" si="1979"/>
        <v>0</v>
      </c>
      <c r="BU71" s="475">
        <f t="shared" si="1979"/>
        <v>442500</v>
      </c>
      <c r="BV71" s="475">
        <f t="shared" si="1979"/>
        <v>0</v>
      </c>
      <c r="BW71" s="475">
        <f t="shared" si="1979"/>
        <v>340000</v>
      </c>
      <c r="BX71" s="475">
        <f t="shared" si="1979"/>
        <v>0</v>
      </c>
      <c r="BY71" s="475">
        <f t="shared" si="1979"/>
        <v>0</v>
      </c>
      <c r="BZ71" s="475">
        <f t="shared" si="1979"/>
        <v>0</v>
      </c>
      <c r="CA71" s="475">
        <f t="shared" si="1979"/>
        <v>680000</v>
      </c>
      <c r="CB71" s="475">
        <f t="shared" si="1979"/>
        <v>850000</v>
      </c>
      <c r="CC71" s="475">
        <f t="shared" si="1979"/>
        <v>510000</v>
      </c>
      <c r="CD71" s="475">
        <f t="shared" si="1979"/>
        <v>0</v>
      </c>
      <c r="CE71" s="475">
        <f t="shared" si="1979"/>
        <v>510000</v>
      </c>
      <c r="CF71" s="475">
        <f t="shared" si="1979"/>
        <v>0</v>
      </c>
      <c r="CG71" s="475">
        <f t="shared" si="1979"/>
        <v>510000</v>
      </c>
      <c r="CH71" s="475">
        <f t="shared" si="1979"/>
        <v>0</v>
      </c>
      <c r="CI71" s="475">
        <f t="shared" si="1979"/>
        <v>450000</v>
      </c>
      <c r="CJ71" s="475">
        <f t="shared" si="1979"/>
        <v>0</v>
      </c>
      <c r="CK71" s="475">
        <f t="shared" si="1979"/>
        <v>0</v>
      </c>
      <c r="CL71" s="475">
        <f t="shared" si="1979"/>
        <v>0</v>
      </c>
      <c r="CM71" s="475">
        <f t="shared" si="1979"/>
        <v>900000</v>
      </c>
      <c r="CN71" s="475">
        <f t="shared" si="1979"/>
        <v>1125000</v>
      </c>
      <c r="CO71" s="475">
        <f t="shared" si="1979"/>
        <v>675000</v>
      </c>
      <c r="CP71" s="475">
        <f t="shared" si="1979"/>
        <v>0</v>
      </c>
      <c r="CQ71" s="475">
        <f t="shared" si="1979"/>
        <v>675000</v>
      </c>
      <c r="CR71" s="475">
        <f t="shared" si="1979"/>
        <v>0</v>
      </c>
      <c r="CS71" s="475">
        <f t="shared" si="1979"/>
        <v>675000</v>
      </c>
      <c r="CT71" s="475">
        <f t="shared" si="1979"/>
        <v>0</v>
      </c>
      <c r="CU71" s="475">
        <f t="shared" si="1979"/>
        <v>490000</v>
      </c>
      <c r="CV71" s="475">
        <f t="shared" si="1979"/>
        <v>0</v>
      </c>
      <c r="CW71" s="475">
        <f t="shared" si="1979"/>
        <v>0</v>
      </c>
      <c r="CX71" s="475">
        <f t="shared" si="1979"/>
        <v>0</v>
      </c>
      <c r="CY71" s="475">
        <f t="shared" si="1979"/>
        <v>980000</v>
      </c>
      <c r="CZ71" s="475">
        <f t="shared" si="1979"/>
        <v>1225000</v>
      </c>
      <c r="DA71" s="475">
        <f t="shared" si="1979"/>
        <v>735000</v>
      </c>
      <c r="DB71" s="475">
        <f t="shared" si="1979"/>
        <v>0</v>
      </c>
      <c r="DC71" s="475">
        <f t="shared" si="1979"/>
        <v>735000</v>
      </c>
      <c r="DD71" s="475">
        <f t="shared" si="1979"/>
        <v>0</v>
      </c>
      <c r="DE71" s="475">
        <f t="shared" si="1979"/>
        <v>735000</v>
      </c>
      <c r="DF71" s="475">
        <f t="shared" si="1979"/>
        <v>0</v>
      </c>
      <c r="DG71" s="475">
        <f t="shared" si="1979"/>
        <v>0</v>
      </c>
      <c r="DH71" s="476">
        <f t="shared" si="1979"/>
        <v>490000</v>
      </c>
    </row>
    <row r="72" spans="2:112" x14ac:dyDescent="0.25">
      <c r="B72" s="477"/>
      <c r="C72" s="478"/>
      <c r="D72" s="478" t="s">
        <v>349</v>
      </c>
      <c r="E72" s="478"/>
      <c r="F72" s="479">
        <f>+F14+F5+F22+F30+F38+F46+F54+F63</f>
        <v>0</v>
      </c>
      <c r="G72" s="479">
        <f t="shared" ref="G72:BR72" si="1980">+G14+G5+G22+G30+G38+G46+G54+G63</f>
        <v>0</v>
      </c>
      <c r="H72" s="479">
        <f t="shared" si="1980"/>
        <v>0</v>
      </c>
      <c r="I72" s="479">
        <f t="shared" si="1980"/>
        <v>0</v>
      </c>
      <c r="J72" s="479">
        <f t="shared" si="1980"/>
        <v>0</v>
      </c>
      <c r="K72" s="479">
        <f t="shared" si="1980"/>
        <v>0</v>
      </c>
      <c r="L72" s="479">
        <f t="shared" si="1980"/>
        <v>27721.396153846152</v>
      </c>
      <c r="M72" s="479">
        <f t="shared" si="1980"/>
        <v>2097.830769230769</v>
      </c>
      <c r="N72" s="479">
        <f t="shared" si="1980"/>
        <v>94903.523076923069</v>
      </c>
      <c r="O72" s="479">
        <f t="shared" si="1980"/>
        <v>170208.46153846153</v>
      </c>
      <c r="P72" s="479">
        <f t="shared" si="1980"/>
        <v>155068.78692307702</v>
      </c>
      <c r="Q72" s="479">
        <f t="shared" si="1980"/>
        <v>87244.400821314324</v>
      </c>
      <c r="R72" s="479">
        <f t="shared" si="1980"/>
        <v>18265.480044688287</v>
      </c>
      <c r="S72" s="479">
        <f t="shared" si="1980"/>
        <v>139877.15670038012</v>
      </c>
      <c r="T72" s="479">
        <f t="shared" si="1980"/>
        <v>54612.964280799766</v>
      </c>
      <c r="U72" s="479">
        <f t="shared" si="1980"/>
        <v>1995</v>
      </c>
      <c r="V72" s="479">
        <f t="shared" si="1980"/>
        <v>0</v>
      </c>
      <c r="W72" s="479">
        <f t="shared" si="1980"/>
        <v>0</v>
      </c>
      <c r="X72" s="479">
        <f t="shared" si="1980"/>
        <v>0</v>
      </c>
      <c r="Y72" s="479">
        <f t="shared" si="1980"/>
        <v>0</v>
      </c>
      <c r="Z72" s="479">
        <f t="shared" si="1980"/>
        <v>0</v>
      </c>
      <c r="AA72" s="479">
        <f t="shared" si="1980"/>
        <v>0</v>
      </c>
      <c r="AB72" s="479">
        <f t="shared" si="1980"/>
        <v>0</v>
      </c>
      <c r="AC72" s="479">
        <f t="shared" si="1980"/>
        <v>0</v>
      </c>
      <c r="AD72" s="479">
        <f t="shared" si="1980"/>
        <v>0</v>
      </c>
      <c r="AE72" s="479">
        <f t="shared" si="1980"/>
        <v>0</v>
      </c>
      <c r="AF72" s="479">
        <f t="shared" si="1980"/>
        <v>0</v>
      </c>
      <c r="AG72" s="479">
        <f t="shared" si="1980"/>
        <v>0</v>
      </c>
      <c r="AH72" s="479">
        <f t="shared" si="1980"/>
        <v>90000</v>
      </c>
      <c r="AI72" s="479">
        <f t="shared" si="1980"/>
        <v>0</v>
      </c>
      <c r="AJ72" s="479">
        <f t="shared" si="1980"/>
        <v>0</v>
      </c>
      <c r="AK72" s="479">
        <f t="shared" si="1980"/>
        <v>0</v>
      </c>
      <c r="AL72" s="479">
        <f t="shared" si="1980"/>
        <v>0</v>
      </c>
      <c r="AM72" s="479">
        <f t="shared" si="1980"/>
        <v>0</v>
      </c>
      <c r="AN72" s="479">
        <f t="shared" si="1980"/>
        <v>7533.7164629450408</v>
      </c>
      <c r="AO72" s="479">
        <f t="shared" si="1980"/>
        <v>1077.5121250710095</v>
      </c>
      <c r="AP72" s="479">
        <f t="shared" si="1980"/>
        <v>44655.139894241693</v>
      </c>
      <c r="AQ72" s="479">
        <f t="shared" si="1980"/>
        <v>4030.9595572718176</v>
      </c>
      <c r="AR72" s="479">
        <f t="shared" si="1980"/>
        <v>182356.11231213066</v>
      </c>
      <c r="AS72" s="479">
        <f t="shared" si="1980"/>
        <v>327026.28239196556</v>
      </c>
      <c r="AT72" s="479">
        <f t="shared" si="1980"/>
        <v>220355.97417773673</v>
      </c>
      <c r="AU72" s="479">
        <f t="shared" si="1980"/>
        <v>145407.33470219054</v>
      </c>
      <c r="AV72" s="479">
        <f t="shared" si="1980"/>
        <v>30442.466741147146</v>
      </c>
      <c r="AW72" s="479">
        <f t="shared" si="1980"/>
        <v>233128.59450063354</v>
      </c>
      <c r="AX72" s="479">
        <f t="shared" si="1980"/>
        <v>53985.907134666275</v>
      </c>
      <c r="AY72" s="479">
        <f t="shared" si="1980"/>
        <v>0</v>
      </c>
      <c r="AZ72" s="479">
        <f t="shared" si="1980"/>
        <v>12957.99231626547</v>
      </c>
      <c r="BA72" s="479">
        <f t="shared" si="1980"/>
        <v>1853.3208551221362</v>
      </c>
      <c r="BB72" s="479">
        <f t="shared" si="1980"/>
        <v>76806.84061809571</v>
      </c>
      <c r="BC72" s="479">
        <f t="shared" si="1980"/>
        <v>6933.2504385075263</v>
      </c>
      <c r="BD72" s="479">
        <f t="shared" si="1980"/>
        <v>313652.51317686471</v>
      </c>
      <c r="BE72" s="479">
        <f t="shared" si="1980"/>
        <v>562485.20571418072</v>
      </c>
      <c r="BF72" s="479">
        <f t="shared" si="1980"/>
        <v>379012.27558570716</v>
      </c>
      <c r="BG72" s="479">
        <f t="shared" si="1980"/>
        <v>250100.61568776774</v>
      </c>
      <c r="BH72" s="479">
        <f t="shared" si="1980"/>
        <v>52361.042794773093</v>
      </c>
      <c r="BI72" s="479">
        <f t="shared" si="1980"/>
        <v>400981.18254108966</v>
      </c>
      <c r="BJ72" s="479">
        <f t="shared" si="1980"/>
        <v>92855.760271626001</v>
      </c>
      <c r="BK72" s="479">
        <f t="shared" si="1980"/>
        <v>0</v>
      </c>
      <c r="BL72" s="479">
        <f t="shared" si="1980"/>
        <v>17779.570852550296</v>
      </c>
      <c r="BM72" s="479">
        <f t="shared" si="1980"/>
        <v>2542.9286151675819</v>
      </c>
      <c r="BN72" s="479">
        <f t="shared" si="1980"/>
        <v>105386.13015041039</v>
      </c>
      <c r="BO72" s="479">
        <f t="shared" si="1980"/>
        <v>9513.0645551614889</v>
      </c>
      <c r="BP72" s="479">
        <f t="shared" si="1980"/>
        <v>430360.42505662836</v>
      </c>
      <c r="BQ72" s="479">
        <f t="shared" si="1980"/>
        <v>771782.02644503873</v>
      </c>
      <c r="BR72" s="479">
        <f t="shared" si="1980"/>
        <v>520040.09905945871</v>
      </c>
      <c r="BS72" s="479">
        <f t="shared" ref="BS72:DH72" si="1981">+BS14+BS5+BS22+BS30+BS38+BS46+BS54+BS63</f>
        <v>343161.3098971697</v>
      </c>
      <c r="BT72" s="479">
        <f t="shared" si="1981"/>
        <v>71844.221509107258</v>
      </c>
      <c r="BU72" s="479">
        <f t="shared" si="1981"/>
        <v>550183.48302149517</v>
      </c>
      <c r="BV72" s="479">
        <f t="shared" si="1981"/>
        <v>127406.74083781241</v>
      </c>
      <c r="BW72" s="479">
        <f t="shared" si="1981"/>
        <v>0</v>
      </c>
      <c r="BX72" s="479">
        <f t="shared" si="1981"/>
        <v>20491.708779210512</v>
      </c>
      <c r="BY72" s="479">
        <f t="shared" si="1981"/>
        <v>2930.8329801931454</v>
      </c>
      <c r="BZ72" s="479">
        <f t="shared" si="1981"/>
        <v>121461.98051233741</v>
      </c>
      <c r="CA72" s="479">
        <f t="shared" si="1981"/>
        <v>10964.209995779343</v>
      </c>
      <c r="CB72" s="479">
        <f t="shared" si="1981"/>
        <v>496008.62548899534</v>
      </c>
      <c r="CC72" s="479">
        <f t="shared" si="1981"/>
        <v>889511.48810614634</v>
      </c>
      <c r="CD72" s="479">
        <f t="shared" si="1981"/>
        <v>599368.24976344395</v>
      </c>
      <c r="CE72" s="479">
        <f t="shared" si="1981"/>
        <v>395507.95038995828</v>
      </c>
      <c r="CF72" s="479">
        <f t="shared" si="1981"/>
        <v>82803.509535920239</v>
      </c>
      <c r="CG72" s="479">
        <f t="shared" si="1981"/>
        <v>634109.77704172325</v>
      </c>
      <c r="CH72" s="479">
        <f t="shared" si="1981"/>
        <v>146841.66740629228</v>
      </c>
      <c r="CI72" s="479">
        <f t="shared" si="1981"/>
        <v>0</v>
      </c>
      <c r="CJ72" s="479">
        <f t="shared" si="1981"/>
        <v>27121.379266602147</v>
      </c>
      <c r="CK72" s="479">
        <f t="shared" si="1981"/>
        <v>3879.0436502556336</v>
      </c>
      <c r="CL72" s="479">
        <f t="shared" si="1981"/>
        <v>160758.50361927011</v>
      </c>
      <c r="CM72" s="479">
        <f t="shared" si="1981"/>
        <v>14511.454406178544</v>
      </c>
      <c r="CN72" s="479">
        <f t="shared" si="1981"/>
        <v>656482.00432367029</v>
      </c>
      <c r="CO72" s="479">
        <f t="shared" si="1981"/>
        <v>1177294.6166110761</v>
      </c>
      <c r="CP72" s="479">
        <f t="shared" si="1981"/>
        <v>793281.50703985221</v>
      </c>
      <c r="CQ72" s="479">
        <f t="shared" si="1981"/>
        <v>523466.40492788597</v>
      </c>
      <c r="CR72" s="479">
        <f t="shared" si="1981"/>
        <v>109592.88026812972</v>
      </c>
      <c r="CS72" s="479">
        <f t="shared" si="1981"/>
        <v>839262.94020228076</v>
      </c>
      <c r="CT72" s="479">
        <f t="shared" si="1981"/>
        <v>194349.26568479859</v>
      </c>
      <c r="CU72" s="479">
        <f t="shared" si="1981"/>
        <v>0</v>
      </c>
      <c r="CV72" s="479">
        <f t="shared" si="1981"/>
        <v>29532.16853474456</v>
      </c>
      <c r="CW72" s="479">
        <f t="shared" si="1981"/>
        <v>4223.8475302783572</v>
      </c>
      <c r="CX72" s="479">
        <f t="shared" si="1981"/>
        <v>175048.14838542743</v>
      </c>
      <c r="CY72" s="479">
        <f t="shared" si="1981"/>
        <v>15801.361464505526</v>
      </c>
      <c r="CZ72" s="479">
        <f t="shared" si="1981"/>
        <v>714835.96026355214</v>
      </c>
      <c r="DA72" s="479">
        <f t="shared" si="1981"/>
        <v>1281943.0269765051</v>
      </c>
      <c r="DB72" s="479">
        <f t="shared" si="1981"/>
        <v>863795.41877672798</v>
      </c>
      <c r="DC72" s="479">
        <f t="shared" si="1981"/>
        <v>569996.75203258696</v>
      </c>
      <c r="DD72" s="479">
        <f t="shared" si="1981"/>
        <v>119334.46962529681</v>
      </c>
      <c r="DE72" s="479">
        <f t="shared" si="1981"/>
        <v>913864.09044248343</v>
      </c>
      <c r="DF72" s="479">
        <f t="shared" si="1981"/>
        <v>211624.7559678918</v>
      </c>
      <c r="DG72" s="479">
        <f t="shared" si="1981"/>
        <v>0</v>
      </c>
      <c r="DH72" s="480">
        <f t="shared" si="1981"/>
        <v>0</v>
      </c>
    </row>
    <row r="73" spans="2:112" x14ac:dyDescent="0.25">
      <c r="B73" s="481"/>
      <c r="C73" s="482"/>
      <c r="D73" s="482" t="s">
        <v>6</v>
      </c>
      <c r="E73" s="482"/>
      <c r="F73" s="483">
        <f>+F7+F16+F24+F32+F40+F48+F56+F65</f>
        <v>0</v>
      </c>
      <c r="G73" s="483">
        <f t="shared" ref="G73:BR73" si="1982">+G7+G16+G24+G32+G40+G48+G56+G65</f>
        <v>0</v>
      </c>
      <c r="H73" s="483">
        <f t="shared" si="1982"/>
        <v>0</v>
      </c>
      <c r="I73" s="483">
        <f t="shared" si="1982"/>
        <v>0</v>
      </c>
      <c r="J73" s="483">
        <f t="shared" si="1982"/>
        <v>3398</v>
      </c>
      <c r="K73" s="483">
        <f t="shared" si="1982"/>
        <v>486</v>
      </c>
      <c r="L73" s="483">
        <f t="shared" si="1982"/>
        <v>20141.21</v>
      </c>
      <c r="M73" s="483">
        <f t="shared" si="1982"/>
        <v>1818.12</v>
      </c>
      <c r="N73" s="483">
        <f t="shared" si="1982"/>
        <v>82249.72</v>
      </c>
      <c r="O73" s="483">
        <f t="shared" si="1982"/>
        <v>147501.61000000002</v>
      </c>
      <c r="P73" s="483">
        <f t="shared" si="1982"/>
        <v>99389.14</v>
      </c>
      <c r="Q73" s="483">
        <f t="shared" si="1982"/>
        <v>65584.38</v>
      </c>
      <c r="R73" s="483">
        <f t="shared" si="1982"/>
        <v>13730.740000000002</v>
      </c>
      <c r="S73" s="483">
        <f t="shared" si="1982"/>
        <v>105150.09</v>
      </c>
      <c r="T73" s="483">
        <f t="shared" si="1982"/>
        <v>24349.75</v>
      </c>
      <c r="U73" s="483">
        <f t="shared" si="1982"/>
        <v>0</v>
      </c>
      <c r="V73" s="483">
        <f t="shared" si="1982"/>
        <v>0</v>
      </c>
      <c r="W73" s="483">
        <f t="shared" si="1982"/>
        <v>0</v>
      </c>
      <c r="X73" s="483">
        <f t="shared" si="1982"/>
        <v>0</v>
      </c>
      <c r="Y73" s="483">
        <f t="shared" si="1982"/>
        <v>0</v>
      </c>
      <c r="Z73" s="483">
        <f t="shared" si="1982"/>
        <v>0</v>
      </c>
      <c r="AA73" s="483">
        <f t="shared" si="1982"/>
        <v>0</v>
      </c>
      <c r="AB73" s="483">
        <f t="shared" si="1982"/>
        <v>0</v>
      </c>
      <c r="AC73" s="483">
        <f t="shared" si="1982"/>
        <v>0</v>
      </c>
      <c r="AD73" s="483">
        <f t="shared" si="1982"/>
        <v>0</v>
      </c>
      <c r="AE73" s="483">
        <f t="shared" si="1982"/>
        <v>0</v>
      </c>
      <c r="AF73" s="483">
        <f t="shared" si="1982"/>
        <v>0</v>
      </c>
      <c r="AG73" s="483">
        <f t="shared" si="1982"/>
        <v>0</v>
      </c>
      <c r="AH73" s="483">
        <f t="shared" si="1982"/>
        <v>64000</v>
      </c>
      <c r="AI73" s="483">
        <f t="shared" si="1982"/>
        <v>0</v>
      </c>
      <c r="AJ73" s="483">
        <f t="shared" si="1982"/>
        <v>0</v>
      </c>
      <c r="AK73" s="483">
        <f t="shared" si="1982"/>
        <v>0</v>
      </c>
      <c r="AL73" s="483">
        <f t="shared" si="1982"/>
        <v>0</v>
      </c>
      <c r="AM73" s="483">
        <f t="shared" si="1982"/>
        <v>0</v>
      </c>
      <c r="AN73" s="483">
        <f t="shared" si="1982"/>
        <v>4520.2298777670248</v>
      </c>
      <c r="AO73" s="483">
        <f t="shared" si="1982"/>
        <v>646.50727504260567</v>
      </c>
      <c r="AP73" s="483">
        <f t="shared" si="1982"/>
        <v>26793.083936545016</v>
      </c>
      <c r="AQ73" s="483">
        <f t="shared" si="1982"/>
        <v>2418.5757343630908</v>
      </c>
      <c r="AR73" s="483">
        <f t="shared" si="1982"/>
        <v>109413.66738727839</v>
      </c>
      <c r="AS73" s="483">
        <f t="shared" si="1982"/>
        <v>196215.76943517933</v>
      </c>
      <c r="AT73" s="483">
        <f t="shared" si="1982"/>
        <v>132213.58450664204</v>
      </c>
      <c r="AU73" s="483">
        <f t="shared" si="1982"/>
        <v>87244.400821314324</v>
      </c>
      <c r="AV73" s="483">
        <f t="shared" si="1982"/>
        <v>18265.480044688287</v>
      </c>
      <c r="AW73" s="483">
        <f t="shared" si="1982"/>
        <v>139877.15670038012</v>
      </c>
      <c r="AX73" s="483">
        <f t="shared" si="1982"/>
        <v>32391.544280799768</v>
      </c>
      <c r="AY73" s="483">
        <f t="shared" si="1982"/>
        <v>0</v>
      </c>
      <c r="AZ73" s="483">
        <f t="shared" si="1982"/>
        <v>5122.927194802628</v>
      </c>
      <c r="BA73" s="483">
        <f t="shared" si="1982"/>
        <v>732.70824504828636</v>
      </c>
      <c r="BB73" s="483">
        <f t="shared" si="1982"/>
        <v>30365.495128084352</v>
      </c>
      <c r="BC73" s="483">
        <f t="shared" si="1982"/>
        <v>2741.0524989448359</v>
      </c>
      <c r="BD73" s="483">
        <f t="shared" si="1982"/>
        <v>124002.15637224884</v>
      </c>
      <c r="BE73" s="483">
        <f t="shared" si="1982"/>
        <v>222377.87202653658</v>
      </c>
      <c r="BF73" s="483">
        <f t="shared" si="1982"/>
        <v>149842.06244086099</v>
      </c>
      <c r="BG73" s="483">
        <f t="shared" si="1982"/>
        <v>98876.987597489569</v>
      </c>
      <c r="BH73" s="483">
        <f t="shared" si="1982"/>
        <v>20700.87738398006</v>
      </c>
      <c r="BI73" s="483">
        <f t="shared" si="1982"/>
        <v>158527.44426043081</v>
      </c>
      <c r="BJ73" s="483">
        <f t="shared" si="1982"/>
        <v>36710.416851573071</v>
      </c>
      <c r="BK73" s="483">
        <f t="shared" si="1982"/>
        <v>0</v>
      </c>
      <c r="BL73" s="483">
        <f t="shared" si="1982"/>
        <v>5876.298841097132</v>
      </c>
      <c r="BM73" s="483">
        <f t="shared" si="1982"/>
        <v>840.4594575553873</v>
      </c>
      <c r="BN73" s="483">
        <f t="shared" si="1982"/>
        <v>34831.009117508518</v>
      </c>
      <c r="BO73" s="483">
        <f t="shared" si="1982"/>
        <v>3144.1484546720176</v>
      </c>
      <c r="BP73" s="483">
        <f t="shared" si="1982"/>
        <v>142237.76760346189</v>
      </c>
      <c r="BQ73" s="483">
        <f t="shared" si="1982"/>
        <v>255080.50026573314</v>
      </c>
      <c r="BR73" s="483">
        <f t="shared" si="1982"/>
        <v>171877.65985863467</v>
      </c>
      <c r="BS73" s="483">
        <f t="shared" ref="BS73:DH73" si="1983">+BS7+BS16+BS24+BS32+BS40+BS48+BS56+BS65</f>
        <v>113417.72106770863</v>
      </c>
      <c r="BT73" s="483">
        <f t="shared" si="1983"/>
        <v>23745.124058094774</v>
      </c>
      <c r="BU73" s="483">
        <f t="shared" si="1983"/>
        <v>181840.30371049416</v>
      </c>
      <c r="BV73" s="483">
        <f t="shared" si="1983"/>
        <v>42109.007565039698</v>
      </c>
      <c r="BW73" s="483">
        <f t="shared" si="1983"/>
        <v>0</v>
      </c>
      <c r="BX73" s="483">
        <f t="shared" si="1983"/>
        <v>7232.3678044272392</v>
      </c>
      <c r="BY73" s="483">
        <f t="shared" si="1983"/>
        <v>1034.4116400681689</v>
      </c>
      <c r="BZ73" s="483">
        <f t="shared" si="1983"/>
        <v>42868.934298472028</v>
      </c>
      <c r="CA73" s="483">
        <f t="shared" si="1983"/>
        <v>3869.7211749809449</v>
      </c>
      <c r="CB73" s="483">
        <f t="shared" si="1983"/>
        <v>175061.86781964541</v>
      </c>
      <c r="CC73" s="483">
        <f t="shared" si="1983"/>
        <v>313945.23109628691</v>
      </c>
      <c r="CD73" s="483">
        <f t="shared" si="1983"/>
        <v>211541.73521062726</v>
      </c>
      <c r="CE73" s="483">
        <f t="shared" si="1983"/>
        <v>139591.04131410291</v>
      </c>
      <c r="CF73" s="483">
        <f t="shared" si="1983"/>
        <v>29224.768071501261</v>
      </c>
      <c r="CG73" s="483">
        <f t="shared" si="1983"/>
        <v>223803.45072060818</v>
      </c>
      <c r="CH73" s="483">
        <f t="shared" si="1983"/>
        <v>51826.470849279627</v>
      </c>
      <c r="CI73" s="483">
        <f t="shared" si="1983"/>
        <v>0</v>
      </c>
      <c r="CJ73" s="483">
        <f t="shared" si="1983"/>
        <v>9040.4597555340497</v>
      </c>
      <c r="CK73" s="483">
        <f t="shared" si="1983"/>
        <v>1293.0145500852113</v>
      </c>
      <c r="CL73" s="483">
        <f t="shared" si="1983"/>
        <v>53586.167873090031</v>
      </c>
      <c r="CM73" s="483">
        <f t="shared" si="1983"/>
        <v>4837.1514687261815</v>
      </c>
      <c r="CN73" s="483">
        <f t="shared" si="1983"/>
        <v>218827.33477455677</v>
      </c>
      <c r="CO73" s="483">
        <f t="shared" si="1983"/>
        <v>392431.53887035867</v>
      </c>
      <c r="CP73" s="483">
        <f t="shared" si="1983"/>
        <v>264427.16901328409</v>
      </c>
      <c r="CQ73" s="483">
        <f t="shared" si="1983"/>
        <v>174488.80164262865</v>
      </c>
      <c r="CR73" s="483">
        <f t="shared" si="1983"/>
        <v>36530.960089376575</v>
      </c>
      <c r="CS73" s="483">
        <f t="shared" si="1983"/>
        <v>279754.31340076023</v>
      </c>
      <c r="CT73" s="483">
        <f t="shared" si="1983"/>
        <v>64783.088561599536</v>
      </c>
      <c r="CU73" s="483">
        <f t="shared" si="1983"/>
        <v>0</v>
      </c>
      <c r="CV73" s="483">
        <f t="shared" si="1983"/>
        <v>10848.551706640859</v>
      </c>
      <c r="CW73" s="483">
        <f t="shared" si="1983"/>
        <v>1551.6174601022535</v>
      </c>
      <c r="CX73" s="483">
        <f t="shared" si="1983"/>
        <v>64303.401447708035</v>
      </c>
      <c r="CY73" s="483">
        <f t="shared" si="1983"/>
        <v>5804.5817624714173</v>
      </c>
      <c r="CZ73" s="483">
        <f t="shared" si="1983"/>
        <v>262592.8017294681</v>
      </c>
      <c r="DA73" s="483">
        <f t="shared" si="1983"/>
        <v>470917.84664443042</v>
      </c>
      <c r="DB73" s="483">
        <f t="shared" si="1983"/>
        <v>317312.60281594092</v>
      </c>
      <c r="DC73" s="483">
        <f t="shared" si="1983"/>
        <v>209386.56197115438</v>
      </c>
      <c r="DD73" s="483">
        <f t="shared" si="1983"/>
        <v>43837.152107251888</v>
      </c>
      <c r="DE73" s="483">
        <f t="shared" si="1983"/>
        <v>335705.17608091229</v>
      </c>
      <c r="DF73" s="483">
        <f t="shared" si="1983"/>
        <v>77739.706273919437</v>
      </c>
      <c r="DG73" s="483">
        <f t="shared" si="1983"/>
        <v>0</v>
      </c>
      <c r="DH73" s="484">
        <f t="shared" si="198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40"/>
  <sheetViews>
    <sheetView workbookViewId="0"/>
  </sheetViews>
  <sheetFormatPr defaultRowHeight="15" x14ac:dyDescent="0.25"/>
  <cols>
    <col min="2" max="2" width="46.28515625" bestFit="1" customWidth="1"/>
    <col min="3" max="4" width="10.42578125" bestFit="1" customWidth="1"/>
    <col min="5" max="6" width="9.5703125" bestFit="1" customWidth="1"/>
    <col min="7" max="9" width="11.42578125" bestFit="1" customWidth="1"/>
    <col min="10" max="10" width="12.140625" bestFit="1" customWidth="1"/>
    <col min="11" max="11" width="11.42578125" bestFit="1" customWidth="1"/>
    <col min="12" max="14" width="12.42578125" bestFit="1" customWidth="1"/>
    <col min="15" max="15" width="9.5703125" bestFit="1" customWidth="1"/>
    <col min="16" max="16" width="11.28515625" bestFit="1" customWidth="1"/>
  </cols>
  <sheetData>
    <row r="10" spans="2:16" ht="15.75" x14ac:dyDescent="0.25">
      <c r="B10" s="49"/>
      <c r="C10" s="50" t="str">
        <f>TEXT('Monthly Detail'!D3,"mmmm")</f>
        <v>January</v>
      </c>
      <c r="D10" s="50" t="str">
        <f>TEXT('Monthly Detail'!E3,"mmmm")</f>
        <v>February</v>
      </c>
      <c r="E10" s="50" t="str">
        <f>TEXT('Monthly Detail'!F3,"mmmm")</f>
        <v>March</v>
      </c>
      <c r="F10" s="50" t="str">
        <f>TEXT('Monthly Detail'!G3,"mmmm")</f>
        <v>April</v>
      </c>
      <c r="G10" s="50" t="str">
        <f>TEXT('Monthly Detail'!H3,"mmmm")</f>
        <v>May</v>
      </c>
      <c r="H10" s="50" t="str">
        <f>TEXT('Monthly Detail'!I3,"mmmm")</f>
        <v>June</v>
      </c>
      <c r="I10" s="50" t="str">
        <f>TEXT('Monthly Detail'!J3,"mmmm")</f>
        <v>July</v>
      </c>
      <c r="J10" s="50" t="str">
        <f>TEXT('Monthly Detail'!K3,"mmmm")</f>
        <v>August</v>
      </c>
      <c r="K10" s="50" t="str">
        <f>TEXT('Monthly Detail'!L3,"mmmm")</f>
        <v>September</v>
      </c>
      <c r="L10" s="50" t="str">
        <f>TEXT('Monthly Detail'!M3,"mmmm")</f>
        <v>October</v>
      </c>
      <c r="M10" s="50" t="str">
        <f>TEXT('Monthly Detail'!N3,"mmmm")</f>
        <v>November</v>
      </c>
      <c r="N10" s="165" t="str">
        <f>TEXT('Monthly Detail'!O3,"mmmm")</f>
        <v>December</v>
      </c>
      <c r="O10" s="51"/>
      <c r="P10" s="52" t="s">
        <v>0</v>
      </c>
    </row>
    <row r="11" spans="2:16" ht="6.6" customHeight="1" x14ac:dyDescent="0.25">
      <c r="B11" s="7"/>
      <c r="C11" s="72">
        <v>44957</v>
      </c>
      <c r="D11" s="72">
        <v>44985</v>
      </c>
      <c r="E11" s="72">
        <v>45016</v>
      </c>
      <c r="F11" s="72">
        <v>45046</v>
      </c>
      <c r="G11" s="72">
        <v>45077</v>
      </c>
      <c r="H11" s="72">
        <v>45107</v>
      </c>
      <c r="I11" s="72">
        <v>45138</v>
      </c>
      <c r="J11" s="72">
        <v>45169</v>
      </c>
      <c r="K11" s="72">
        <v>45199</v>
      </c>
      <c r="L11" s="72">
        <v>45230</v>
      </c>
      <c r="M11" s="72">
        <v>45260</v>
      </c>
      <c r="N11" s="166">
        <v>45291</v>
      </c>
      <c r="O11" s="72">
        <v>45322</v>
      </c>
    </row>
    <row r="12" spans="2:16" x14ac:dyDescent="0.25">
      <c r="B12" s="53" t="s">
        <v>234</v>
      </c>
      <c r="C12" s="54">
        <f>SUMIF('Monthly Detail'!$3:$3, '2023 Overview'!C$11, 'Monthly Detail'!9:9)</f>
        <v>0</v>
      </c>
      <c r="D12" s="54">
        <f>SUMIF('Monthly Detail'!$3:$3, '2023 Overview'!D$11, 'Monthly Detail'!9:9)</f>
        <v>0</v>
      </c>
      <c r="E12" s="54">
        <f>SUMIF('Monthly Detail'!$3:$3, '2023 Overview'!E$11, 'Monthly Detail'!9:9)</f>
        <v>0</v>
      </c>
      <c r="F12" s="54">
        <f>SUMIF('Monthly Detail'!$3:$3, '2023 Overview'!F$11, 'Monthly Detail'!9:9)</f>
        <v>0</v>
      </c>
      <c r="G12" s="54">
        <f>SUMIF('Monthly Detail'!$3:$3, '2023 Overview'!G$11, 'Monthly Detail'!9:9)</f>
        <v>0</v>
      </c>
      <c r="H12" s="54">
        <f>SUMIF('Monthly Detail'!$3:$3, '2023 Overview'!H$11, 'Monthly Detail'!9:9)</f>
        <v>0</v>
      </c>
      <c r="I12" s="54">
        <f>SUMIF('Monthly Detail'!$3:$3, '2023 Overview'!I$11, 'Monthly Detail'!9:9)</f>
        <v>0</v>
      </c>
      <c r="J12" s="54">
        <f>SUMIF('Monthly Detail'!$3:$3, '2023 Overview'!J$11, 'Monthly Detail'!9:9)</f>
        <v>0</v>
      </c>
      <c r="K12" s="54">
        <f>SUMIF('Monthly Detail'!$3:$3, '2023 Overview'!K$11, 'Monthly Detail'!9:9)</f>
        <v>0</v>
      </c>
      <c r="L12" s="54">
        <f>SUMIF('Monthly Detail'!$3:$3, '2023 Overview'!L$11, 'Monthly Detail'!9:9)</f>
        <v>150000</v>
      </c>
      <c r="M12" s="54">
        <f>SUMIF('Monthly Detail'!$3:$3, '2023 Overview'!M$11, 'Monthly Detail'!9:9)</f>
        <v>187500</v>
      </c>
      <c r="N12" s="167">
        <f>SUMIF('Monthly Detail'!$3:$3, '2023 Overview'!N$11, 'Monthly Detail'!9:9)</f>
        <v>112500</v>
      </c>
      <c r="O12" s="54"/>
      <c r="P12" s="54">
        <f>SUM(C12:O12)</f>
        <v>450000</v>
      </c>
    </row>
    <row r="13" spans="2:16" x14ac:dyDescent="0.25">
      <c r="B13" s="53" t="s">
        <v>288</v>
      </c>
      <c r="C13" s="54">
        <f>+'Monthly Detail'!P144</f>
        <v>0</v>
      </c>
      <c r="D13" s="54">
        <f>+'Monthly Detail'!Q144</f>
        <v>0</v>
      </c>
      <c r="E13" s="54">
        <f>+'Monthly Detail'!R144</f>
        <v>0</v>
      </c>
      <c r="F13" s="54">
        <f>+'Monthly Detail'!S144</f>
        <v>0</v>
      </c>
      <c r="G13" s="54">
        <f>+'Monthly Detail'!T144</f>
        <v>75000</v>
      </c>
      <c r="H13" s="54">
        <f>+'Monthly Detail'!U144</f>
        <v>0</v>
      </c>
      <c r="I13" s="54">
        <f>+'Monthly Detail'!V144</f>
        <v>0</v>
      </c>
      <c r="J13" s="54">
        <f>+'Monthly Detail'!W144</f>
        <v>0</v>
      </c>
      <c r="K13" s="54">
        <f>+'Monthly Detail'!X144</f>
        <v>0</v>
      </c>
      <c r="L13" s="54">
        <f>+'Monthly Detail'!Y144</f>
        <v>150000</v>
      </c>
      <c r="M13" s="54">
        <f>+'Monthly Detail'!Z144</f>
        <v>187500</v>
      </c>
      <c r="N13" s="167">
        <f>+'Monthly Detail'!AA144</f>
        <v>112500</v>
      </c>
      <c r="O13" s="54"/>
      <c r="P13" s="54">
        <f>SUM(C13:O13)</f>
        <v>525000</v>
      </c>
    </row>
    <row r="14" spans="2:16" x14ac:dyDescent="0.25">
      <c r="B14" s="55" t="s">
        <v>289</v>
      </c>
      <c r="C14" s="55">
        <f>+C12</f>
        <v>0</v>
      </c>
      <c r="D14" s="55">
        <f t="shared" ref="D14:N14" si="0">+D12</f>
        <v>0</v>
      </c>
      <c r="E14" s="55">
        <f t="shared" si="0"/>
        <v>0</v>
      </c>
      <c r="F14" s="55">
        <f t="shared" si="0"/>
        <v>0</v>
      </c>
      <c r="G14" s="55">
        <f t="shared" si="0"/>
        <v>0</v>
      </c>
      <c r="H14" s="55">
        <f t="shared" si="0"/>
        <v>0</v>
      </c>
      <c r="I14" s="55">
        <f t="shared" si="0"/>
        <v>0</v>
      </c>
      <c r="J14" s="55">
        <f t="shared" si="0"/>
        <v>0</v>
      </c>
      <c r="K14" s="55">
        <f t="shared" si="0"/>
        <v>0</v>
      </c>
      <c r="L14" s="55">
        <f t="shared" si="0"/>
        <v>150000</v>
      </c>
      <c r="M14" s="55">
        <f t="shared" si="0"/>
        <v>187500</v>
      </c>
      <c r="N14" s="168">
        <f t="shared" si="0"/>
        <v>112500</v>
      </c>
      <c r="O14" s="56"/>
      <c r="P14" s="55">
        <f>SUM(P12:P12)</f>
        <v>450000</v>
      </c>
    </row>
    <row r="15" spans="2:16" x14ac:dyDescent="0.25">
      <c r="B15" s="261" t="s">
        <v>3</v>
      </c>
      <c r="C15" s="261">
        <f>+C13</f>
        <v>0</v>
      </c>
      <c r="D15" s="261">
        <f t="shared" ref="D15:N15" si="1">+D13</f>
        <v>0</v>
      </c>
      <c r="E15" s="261">
        <f t="shared" si="1"/>
        <v>0</v>
      </c>
      <c r="F15" s="261">
        <f t="shared" si="1"/>
        <v>0</v>
      </c>
      <c r="G15" s="261">
        <f t="shared" si="1"/>
        <v>75000</v>
      </c>
      <c r="H15" s="261">
        <f t="shared" si="1"/>
        <v>0</v>
      </c>
      <c r="I15" s="261">
        <f t="shared" si="1"/>
        <v>0</v>
      </c>
      <c r="J15" s="261">
        <f t="shared" si="1"/>
        <v>0</v>
      </c>
      <c r="K15" s="261">
        <f t="shared" si="1"/>
        <v>0</v>
      </c>
      <c r="L15" s="261">
        <f t="shared" si="1"/>
        <v>150000</v>
      </c>
      <c r="M15" s="261">
        <f t="shared" si="1"/>
        <v>187500</v>
      </c>
      <c r="N15" s="263">
        <f t="shared" si="1"/>
        <v>112500</v>
      </c>
      <c r="O15" s="56"/>
      <c r="P15" s="261">
        <f>SUM(P13:P13)</f>
        <v>525000</v>
      </c>
    </row>
    <row r="16" spans="2:16" ht="3" customHeight="1" x14ac:dyDescent="0.25">
      <c r="B16" s="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169"/>
      <c r="P16" s="57"/>
    </row>
    <row r="17" spans="2:20" x14ac:dyDescent="0.25">
      <c r="B17" s="53" t="s">
        <v>239</v>
      </c>
      <c r="C17" s="57">
        <f>SUMIF('Monthly Detail'!$3:$3, '2023 Overview'!C$11, 'Monthly Detail'!28:28)</f>
        <v>0</v>
      </c>
      <c r="D17" s="57">
        <f>SUMIF('Monthly Detail'!$3:$3, '2023 Overview'!D$11, 'Monthly Detail'!28:28)</f>
        <v>0</v>
      </c>
      <c r="E17" s="57">
        <f>SUMIF('Monthly Detail'!$3:$3, '2023 Overview'!E$11, 'Monthly Detail'!28:28)</f>
        <v>0</v>
      </c>
      <c r="F17" s="57">
        <f>SUMIF('Monthly Detail'!$3:$3, '2023 Overview'!F$11, 'Monthly Detail'!28:28)</f>
        <v>0</v>
      </c>
      <c r="G17" s="57">
        <f>SUMIF('Monthly Detail'!$3:$3, '2023 Overview'!G$11, 'Monthly Detail'!28:28)</f>
        <v>0</v>
      </c>
      <c r="H17" s="57">
        <f>SUMIF('Monthly Detail'!$3:$3, '2023 Overview'!H$11, 'Monthly Detail'!28:28)</f>
        <v>3398</v>
      </c>
      <c r="I17" s="57">
        <f>SUMIF('Monthly Detail'!$3:$3, '2023 Overview'!I$11, 'Monthly Detail'!28:28)</f>
        <v>486</v>
      </c>
      <c r="J17" s="57">
        <f>SUMIF('Monthly Detail'!$3:$3, '2023 Overview'!J$11, 'Monthly Detail'!28:28)</f>
        <v>20141.21</v>
      </c>
      <c r="K17" s="57">
        <f>SUMIF('Monthly Detail'!$3:$3, '2023 Overview'!K$11, 'Monthly Detail'!28:28)</f>
        <v>1818.12</v>
      </c>
      <c r="L17" s="57">
        <f>SUMIF('Monthly Detail'!$3:$3, '2023 Overview'!L$11, 'Monthly Detail'!28:28)</f>
        <v>82249.72</v>
      </c>
      <c r="M17" s="57">
        <f>SUMIF('Monthly Detail'!$3:$3, '2023 Overview'!M$11, 'Monthly Detail'!28:28)</f>
        <v>144176.27000000002</v>
      </c>
      <c r="N17" s="169">
        <f>SUMIF('Monthly Detail'!$3:$3, '2023 Overview'!N$11, 'Monthly Detail'!28:28)</f>
        <v>99093.34</v>
      </c>
      <c r="P17" s="57">
        <f>SUM(C17:O17)</f>
        <v>351362.66000000003</v>
      </c>
    </row>
    <row r="18" spans="2:20" ht="3" customHeight="1" x14ac:dyDescent="0.25">
      <c r="B18" s="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169"/>
      <c r="P18" s="57"/>
    </row>
    <row r="19" spans="2:20" ht="15.75" x14ac:dyDescent="0.25">
      <c r="B19" s="68" t="s">
        <v>237</v>
      </c>
      <c r="C19" s="69">
        <f t="shared" ref="C19:N19" si="2">+C14-C17</f>
        <v>0</v>
      </c>
      <c r="D19" s="69">
        <f t="shared" si="2"/>
        <v>0</v>
      </c>
      <c r="E19" s="69">
        <f t="shared" si="2"/>
        <v>0</v>
      </c>
      <c r="F19" s="69">
        <f t="shared" si="2"/>
        <v>0</v>
      </c>
      <c r="G19" s="69">
        <f t="shared" si="2"/>
        <v>0</v>
      </c>
      <c r="H19" s="69">
        <f t="shared" si="2"/>
        <v>-3398</v>
      </c>
      <c r="I19" s="69">
        <f t="shared" si="2"/>
        <v>-486</v>
      </c>
      <c r="J19" s="69">
        <f t="shared" si="2"/>
        <v>-20141.21</v>
      </c>
      <c r="K19" s="69">
        <f t="shared" si="2"/>
        <v>-1818.12</v>
      </c>
      <c r="L19" s="69">
        <f t="shared" si="2"/>
        <v>67750.28</v>
      </c>
      <c r="M19" s="69">
        <f t="shared" si="2"/>
        <v>43323.729999999981</v>
      </c>
      <c r="N19" s="170">
        <f t="shared" si="2"/>
        <v>13406.660000000003</v>
      </c>
      <c r="O19" s="58"/>
      <c r="P19" s="69">
        <f>+P14-P17</f>
        <v>98637.339999999967</v>
      </c>
    </row>
    <row r="20" spans="2:20" ht="15.75" x14ac:dyDescent="0.25">
      <c r="B20" s="264" t="s">
        <v>238</v>
      </c>
      <c r="C20" s="210">
        <f t="shared" ref="C20:N20" si="3">+C15-C17</f>
        <v>0</v>
      </c>
      <c r="D20" s="210">
        <f t="shared" si="3"/>
        <v>0</v>
      </c>
      <c r="E20" s="210">
        <f t="shared" si="3"/>
        <v>0</v>
      </c>
      <c r="F20" s="210">
        <f t="shared" si="3"/>
        <v>0</v>
      </c>
      <c r="G20" s="210">
        <f t="shared" si="3"/>
        <v>75000</v>
      </c>
      <c r="H20" s="210">
        <f t="shared" si="3"/>
        <v>-3398</v>
      </c>
      <c r="I20" s="210">
        <f t="shared" si="3"/>
        <v>-486</v>
      </c>
      <c r="J20" s="210">
        <f t="shared" si="3"/>
        <v>-20141.21</v>
      </c>
      <c r="K20" s="210">
        <f t="shared" si="3"/>
        <v>-1818.12</v>
      </c>
      <c r="L20" s="210">
        <f t="shared" si="3"/>
        <v>67750.28</v>
      </c>
      <c r="M20" s="210">
        <f t="shared" si="3"/>
        <v>43323.729999999981</v>
      </c>
      <c r="N20" s="265">
        <f t="shared" si="3"/>
        <v>13406.660000000003</v>
      </c>
      <c r="O20" s="58"/>
      <c r="P20" s="210">
        <f>+P15-P17</f>
        <v>173637.33999999997</v>
      </c>
    </row>
    <row r="21" spans="2:20" x14ac:dyDescent="0.25">
      <c r="B21" s="70" t="s">
        <v>236</v>
      </c>
      <c r="C21" s="71">
        <f t="shared" ref="C21:N21" si="4">+IFERROR(C19/C14, 0)</f>
        <v>0</v>
      </c>
      <c r="D21" s="71">
        <f t="shared" si="4"/>
        <v>0</v>
      </c>
      <c r="E21" s="71">
        <f t="shared" si="4"/>
        <v>0</v>
      </c>
      <c r="F21" s="71">
        <f t="shared" si="4"/>
        <v>0</v>
      </c>
      <c r="G21" s="71">
        <f t="shared" si="4"/>
        <v>0</v>
      </c>
      <c r="H21" s="71">
        <f t="shared" si="4"/>
        <v>0</v>
      </c>
      <c r="I21" s="71">
        <f t="shared" si="4"/>
        <v>0</v>
      </c>
      <c r="J21" s="71">
        <f t="shared" si="4"/>
        <v>0</v>
      </c>
      <c r="K21" s="71">
        <f t="shared" si="4"/>
        <v>0</v>
      </c>
      <c r="L21" s="71">
        <f t="shared" si="4"/>
        <v>0.45166853333333334</v>
      </c>
      <c r="M21" s="71">
        <f t="shared" si="4"/>
        <v>0.23105989333333324</v>
      </c>
      <c r="N21" s="171">
        <f t="shared" si="4"/>
        <v>0.11917031111111115</v>
      </c>
      <c r="O21" s="7"/>
      <c r="P21" s="71">
        <f>P19/P14</f>
        <v>0.21919408888888881</v>
      </c>
    </row>
    <row r="22" spans="2:20" x14ac:dyDescent="0.25">
      <c r="B22" s="70" t="s">
        <v>235</v>
      </c>
      <c r="C22" s="71">
        <f t="shared" ref="C22:N22" si="5">+IFERROR(C20/C15, 0)</f>
        <v>0</v>
      </c>
      <c r="D22" s="71">
        <f t="shared" si="5"/>
        <v>0</v>
      </c>
      <c r="E22" s="71">
        <f t="shared" si="5"/>
        <v>0</v>
      </c>
      <c r="F22" s="71">
        <f t="shared" si="5"/>
        <v>0</v>
      </c>
      <c r="G22" s="71">
        <f t="shared" si="5"/>
        <v>1</v>
      </c>
      <c r="H22" s="71">
        <f t="shared" si="5"/>
        <v>0</v>
      </c>
      <c r="I22" s="71">
        <f t="shared" si="5"/>
        <v>0</v>
      </c>
      <c r="J22" s="71">
        <f t="shared" si="5"/>
        <v>0</v>
      </c>
      <c r="K22" s="71">
        <f t="shared" si="5"/>
        <v>0</v>
      </c>
      <c r="L22" s="71">
        <f t="shared" si="5"/>
        <v>0.45166853333333334</v>
      </c>
      <c r="M22" s="71">
        <f t="shared" si="5"/>
        <v>0.23105989333333324</v>
      </c>
      <c r="N22" s="171">
        <f t="shared" si="5"/>
        <v>0.11917031111111115</v>
      </c>
      <c r="O22" s="7"/>
      <c r="P22" s="71">
        <f>P20/P15</f>
        <v>0.3307377904761904</v>
      </c>
    </row>
    <row r="23" spans="2:20" ht="3" customHeight="1" x14ac:dyDescent="0.25">
      <c r="B23" s="7"/>
      <c r="N23" s="172"/>
    </row>
    <row r="24" spans="2:20" x14ac:dyDescent="0.25">
      <c r="B24" s="7" t="s">
        <v>186</v>
      </c>
      <c r="C24" s="54">
        <f>SUMIF('Monthly Detail'!$3:$3, '2023 Overview'!C$11, 'Monthly Detail'!$79:$79)</f>
        <v>1759.16</v>
      </c>
      <c r="D24" s="54">
        <f>SUMIF('Monthly Detail'!$3:$3, '2023 Overview'!D$11, 'Monthly Detail'!$79:$79)</f>
        <v>467.18</v>
      </c>
      <c r="E24" s="54">
        <f>SUMIF('Monthly Detail'!$3:$3, '2023 Overview'!E$11, 'Monthly Detail'!$79:$79)</f>
        <v>1525.78</v>
      </c>
      <c r="F24" s="54">
        <f>SUMIF('Monthly Detail'!$3:$3, '2023 Overview'!F$11, 'Monthly Detail'!$79:$79)</f>
        <v>598.99</v>
      </c>
      <c r="G24" s="54">
        <f>SUMIF('Monthly Detail'!$3:$3, '2023 Overview'!G$11, 'Monthly Detail'!$79:$79)</f>
        <v>2060.8900000000003</v>
      </c>
      <c r="H24" s="54">
        <f>SUMIF('Monthly Detail'!$3:$3, '2023 Overview'!H$11, 'Monthly Detail'!$79:$79)</f>
        <v>452.88</v>
      </c>
      <c r="I24" s="54">
        <f>SUMIF('Monthly Detail'!$3:$3, '2023 Overview'!I$11, 'Monthly Detail'!$79:$79)</f>
        <v>1445.7200000000003</v>
      </c>
      <c r="J24" s="54">
        <f>SUMIF('Monthly Detail'!$3:$3, '2023 Overview'!J$11, 'Monthly Detail'!$79:$79)</f>
        <v>1487.22</v>
      </c>
      <c r="K24" s="54">
        <f>SUMIF('Monthly Detail'!$3:$3, '2023 Overview'!K$11, 'Monthly Detail'!$79:$79)</f>
        <v>2209.94</v>
      </c>
      <c r="L24" s="54">
        <f>SUMIF('Monthly Detail'!$3:$3, '2023 Overview'!L$11, 'Monthly Detail'!$79:$79)</f>
        <v>630.27</v>
      </c>
      <c r="M24" s="54">
        <f>SUMIF('Monthly Detail'!$3:$3, '2023 Overview'!M$11, 'Monthly Detail'!$79:$79)</f>
        <v>2877.72</v>
      </c>
      <c r="N24" s="167">
        <f>SUMIF('Monthly Detail'!$3:$3, '2023 Overview'!N$11, 'Monthly Detail'!$79:$79)</f>
        <v>2283.2299999999996</v>
      </c>
      <c r="P24" s="54">
        <f>SUM(C24:O24)</f>
        <v>17798.98</v>
      </c>
      <c r="T24" s="1"/>
    </row>
    <row r="25" spans="2:20" x14ac:dyDescent="0.25">
      <c r="B25" s="59" t="s">
        <v>151</v>
      </c>
      <c r="C25" s="60">
        <f t="shared" ref="C25:N25" si="6">SUM(C24:C24)</f>
        <v>1759.16</v>
      </c>
      <c r="D25" s="60">
        <f t="shared" si="6"/>
        <v>467.18</v>
      </c>
      <c r="E25" s="60">
        <f t="shared" si="6"/>
        <v>1525.78</v>
      </c>
      <c r="F25" s="60">
        <f t="shared" si="6"/>
        <v>598.99</v>
      </c>
      <c r="G25" s="60">
        <f t="shared" si="6"/>
        <v>2060.8900000000003</v>
      </c>
      <c r="H25" s="60">
        <f t="shared" si="6"/>
        <v>452.88</v>
      </c>
      <c r="I25" s="60">
        <f t="shared" si="6"/>
        <v>1445.7200000000003</v>
      </c>
      <c r="J25" s="60">
        <f t="shared" si="6"/>
        <v>1487.22</v>
      </c>
      <c r="K25" s="60">
        <f t="shared" si="6"/>
        <v>2209.94</v>
      </c>
      <c r="L25" s="60">
        <f t="shared" si="6"/>
        <v>630.27</v>
      </c>
      <c r="M25" s="60">
        <f t="shared" si="6"/>
        <v>2877.72</v>
      </c>
      <c r="N25" s="173">
        <f t="shared" si="6"/>
        <v>2283.2299999999996</v>
      </c>
      <c r="O25" s="61"/>
      <c r="P25" s="60">
        <f>SUM(P24:P24)</f>
        <v>17798.98</v>
      </c>
    </row>
    <row r="26" spans="2:20" ht="4.1500000000000004" customHeight="1" x14ac:dyDescent="0.25">
      <c r="B26" s="7"/>
      <c r="N26" s="172"/>
    </row>
    <row r="27" spans="2:20" ht="15.75" x14ac:dyDescent="0.25">
      <c r="B27" s="68" t="s">
        <v>280</v>
      </c>
      <c r="C27" s="69">
        <f t="shared" ref="C27:N27" si="7">C19-C25</f>
        <v>-1759.16</v>
      </c>
      <c r="D27" s="69">
        <f t="shared" si="7"/>
        <v>-467.18</v>
      </c>
      <c r="E27" s="69">
        <f t="shared" si="7"/>
        <v>-1525.78</v>
      </c>
      <c r="F27" s="69">
        <f t="shared" si="7"/>
        <v>-598.99</v>
      </c>
      <c r="G27" s="69">
        <f t="shared" si="7"/>
        <v>-2060.8900000000003</v>
      </c>
      <c r="H27" s="69">
        <f t="shared" si="7"/>
        <v>-3850.88</v>
      </c>
      <c r="I27" s="69">
        <f t="shared" si="7"/>
        <v>-1931.7200000000003</v>
      </c>
      <c r="J27" s="69">
        <f t="shared" si="7"/>
        <v>-21628.43</v>
      </c>
      <c r="K27" s="69">
        <f t="shared" si="7"/>
        <v>-4028.06</v>
      </c>
      <c r="L27" s="69">
        <f t="shared" si="7"/>
        <v>67120.009999999995</v>
      </c>
      <c r="M27" s="69">
        <f t="shared" si="7"/>
        <v>40446.00999999998</v>
      </c>
      <c r="N27" s="170">
        <f t="shared" si="7"/>
        <v>11123.430000000004</v>
      </c>
      <c r="O27" s="58"/>
      <c r="P27" s="69">
        <f>P19-P25</f>
        <v>80838.359999999971</v>
      </c>
    </row>
    <row r="28" spans="2:20" ht="15.75" x14ac:dyDescent="0.25">
      <c r="B28" s="264" t="s">
        <v>279</v>
      </c>
      <c r="C28" s="210">
        <f>C20-C25</f>
        <v>-1759.16</v>
      </c>
      <c r="D28" s="210">
        <f t="shared" ref="D28:N28" si="8">D20-D25</f>
        <v>-467.18</v>
      </c>
      <c r="E28" s="210">
        <f t="shared" si="8"/>
        <v>-1525.78</v>
      </c>
      <c r="F28" s="210">
        <f t="shared" si="8"/>
        <v>-598.99</v>
      </c>
      <c r="G28" s="210">
        <f t="shared" si="8"/>
        <v>72939.11</v>
      </c>
      <c r="H28" s="210">
        <f t="shared" si="8"/>
        <v>-3850.88</v>
      </c>
      <c r="I28" s="210">
        <f t="shared" si="8"/>
        <v>-1931.7200000000003</v>
      </c>
      <c r="J28" s="210">
        <f t="shared" si="8"/>
        <v>-21628.43</v>
      </c>
      <c r="K28" s="210">
        <f t="shared" si="8"/>
        <v>-4028.06</v>
      </c>
      <c r="L28" s="210">
        <f t="shared" si="8"/>
        <v>67120.009999999995</v>
      </c>
      <c r="M28" s="210">
        <f t="shared" si="8"/>
        <v>40446.00999999998</v>
      </c>
      <c r="N28" s="265">
        <f t="shared" si="8"/>
        <v>11123.430000000004</v>
      </c>
      <c r="O28" s="58"/>
      <c r="P28" s="210">
        <f>P20-P25</f>
        <v>155838.35999999996</v>
      </c>
    </row>
    <row r="29" spans="2:20" x14ac:dyDescent="0.25">
      <c r="B29" s="70" t="s">
        <v>291</v>
      </c>
      <c r="C29" s="71">
        <f t="shared" ref="C29:N29" si="9">+IFERROR(C27/C14, 0)</f>
        <v>0</v>
      </c>
      <c r="D29" s="71">
        <f t="shared" si="9"/>
        <v>0</v>
      </c>
      <c r="E29" s="71">
        <f t="shared" si="9"/>
        <v>0</v>
      </c>
      <c r="F29" s="71">
        <f t="shared" si="9"/>
        <v>0</v>
      </c>
      <c r="G29" s="71">
        <f t="shared" si="9"/>
        <v>0</v>
      </c>
      <c r="H29" s="71">
        <f t="shared" si="9"/>
        <v>0</v>
      </c>
      <c r="I29" s="71">
        <f t="shared" si="9"/>
        <v>0</v>
      </c>
      <c r="J29" s="71">
        <f t="shared" si="9"/>
        <v>0</v>
      </c>
      <c r="K29" s="71">
        <f t="shared" si="9"/>
        <v>0</v>
      </c>
      <c r="L29" s="71">
        <f t="shared" si="9"/>
        <v>0.44746673333333331</v>
      </c>
      <c r="M29" s="71">
        <f t="shared" si="9"/>
        <v>0.21571205333333324</v>
      </c>
      <c r="N29" s="171">
        <f t="shared" si="9"/>
        <v>9.8874933333333373E-2</v>
      </c>
      <c r="O29" s="7"/>
      <c r="P29" s="71">
        <f>P27/P14</f>
        <v>0.17964079999999993</v>
      </c>
    </row>
    <row r="30" spans="2:20" x14ac:dyDescent="0.25">
      <c r="B30" s="70" t="s">
        <v>290</v>
      </c>
      <c r="C30" s="71">
        <f t="shared" ref="C30:N30" si="10">+IFERROR(C28/C15, 0)</f>
        <v>0</v>
      </c>
      <c r="D30" s="71">
        <f t="shared" si="10"/>
        <v>0</v>
      </c>
      <c r="E30" s="71">
        <f t="shared" si="10"/>
        <v>0</v>
      </c>
      <c r="F30" s="71">
        <f t="shared" si="10"/>
        <v>0</v>
      </c>
      <c r="G30" s="71">
        <f t="shared" si="10"/>
        <v>0.97252146666666672</v>
      </c>
      <c r="H30" s="71">
        <f t="shared" si="10"/>
        <v>0</v>
      </c>
      <c r="I30" s="71">
        <f t="shared" si="10"/>
        <v>0</v>
      </c>
      <c r="J30" s="71">
        <f t="shared" si="10"/>
        <v>0</v>
      </c>
      <c r="K30" s="71">
        <f t="shared" si="10"/>
        <v>0</v>
      </c>
      <c r="L30" s="71">
        <f t="shared" si="10"/>
        <v>0.44746673333333331</v>
      </c>
      <c r="M30" s="71">
        <f t="shared" si="10"/>
        <v>0.21571205333333324</v>
      </c>
      <c r="N30" s="171">
        <f t="shared" si="10"/>
        <v>9.8874933333333373E-2</v>
      </c>
      <c r="O30" s="7"/>
      <c r="P30" s="71">
        <f>P28/P15</f>
        <v>0.29683497142857135</v>
      </c>
    </row>
    <row r="31" spans="2:20" ht="4.9000000000000004" customHeight="1" x14ac:dyDescent="0.25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174"/>
      <c r="P31" s="63"/>
    </row>
    <row r="32" spans="2:20" x14ac:dyDescent="0.25">
      <c r="B32" s="7" t="s">
        <v>154</v>
      </c>
      <c r="C32" s="108">
        <f>SUMIF('Monthly Detail'!$3:$3, '2023 Overview'!C$11, 'Monthly Detail'!87:87)</f>
        <v>0</v>
      </c>
      <c r="D32" s="105">
        <f>SUMIF('Monthly Detail'!$3:$3, '2023 Overview'!D$11, 'Monthly Detail'!87:87)</f>
        <v>0</v>
      </c>
      <c r="E32" s="108">
        <f>SUMIF('Monthly Detail'!$3:$3, '2023 Overview'!E$11, 'Monthly Detail'!87:87)</f>
        <v>0</v>
      </c>
      <c r="F32" s="105">
        <f>SUMIF('Monthly Detail'!$3:$3, '2023 Overview'!F$11, 'Monthly Detail'!87:87)</f>
        <v>0</v>
      </c>
      <c r="G32" s="105">
        <f>SUMIF('Monthly Detail'!$3:$3, '2023 Overview'!G$11, 'Monthly Detail'!87:87)</f>
        <v>0</v>
      </c>
      <c r="H32" s="108">
        <f>SUMIF('Monthly Detail'!$3:$3, '2023 Overview'!H$11, 'Monthly Detail'!87:87)</f>
        <v>0</v>
      </c>
      <c r="I32" s="108">
        <f>SUMIF('Monthly Detail'!$3:$3, '2023 Overview'!I$11, 'Monthly Detail'!87:87)</f>
        <v>0</v>
      </c>
      <c r="J32" s="108">
        <f>SUMIF('Monthly Detail'!$3:$3, '2023 Overview'!J$11, 'Monthly Detail'!87:87)</f>
        <v>0</v>
      </c>
      <c r="K32" s="108">
        <f>SUMIF('Monthly Detail'!$3:$3, '2023 Overview'!K$11, 'Monthly Detail'!87:87)</f>
        <v>0</v>
      </c>
      <c r="L32" s="108">
        <f>SUMIF('Monthly Detail'!$3:$3, '2023 Overview'!L$11, 'Monthly Detail'!87:87)</f>
        <v>0</v>
      </c>
      <c r="M32" s="108">
        <f>SUMIF('Monthly Detail'!$3:$3, '2023 Overview'!M$11, 'Monthly Detail'!87:87)</f>
        <v>0</v>
      </c>
      <c r="N32" s="175">
        <f>SUMIF('Monthly Detail'!$3:$3, '2023 Overview'!N$11, 'Monthly Detail'!87:87)</f>
        <v>0</v>
      </c>
      <c r="O32" s="105"/>
      <c r="P32" s="90">
        <f>SUM(C32:O32)</f>
        <v>0</v>
      </c>
    </row>
    <row r="33" spans="2:17" ht="15.75" x14ac:dyDescent="0.25">
      <c r="B33" s="68" t="s">
        <v>285</v>
      </c>
      <c r="C33" s="69">
        <f t="shared" ref="C33:M33" si="11">C27+SUM(C32:C32)</f>
        <v>-1759.16</v>
      </c>
      <c r="D33" s="69">
        <f t="shared" si="11"/>
        <v>-467.18</v>
      </c>
      <c r="E33" s="69">
        <f t="shared" si="11"/>
        <v>-1525.78</v>
      </c>
      <c r="F33" s="69">
        <f t="shared" si="11"/>
        <v>-598.99</v>
      </c>
      <c r="G33" s="69">
        <f t="shared" si="11"/>
        <v>-2060.8900000000003</v>
      </c>
      <c r="H33" s="69">
        <f t="shared" si="11"/>
        <v>-3850.88</v>
      </c>
      <c r="I33" s="69">
        <f t="shared" si="11"/>
        <v>-1931.7200000000003</v>
      </c>
      <c r="J33" s="69">
        <f t="shared" si="11"/>
        <v>-21628.43</v>
      </c>
      <c r="K33" s="69">
        <f t="shared" si="11"/>
        <v>-4028.06</v>
      </c>
      <c r="L33" s="69">
        <f t="shared" si="11"/>
        <v>67120.009999999995</v>
      </c>
      <c r="M33" s="69">
        <f t="shared" si="11"/>
        <v>40446.00999999998</v>
      </c>
      <c r="N33" s="170">
        <f>N27+SUM(N32:N32)</f>
        <v>11123.430000000004</v>
      </c>
      <c r="O33" s="58"/>
      <c r="P33" s="69">
        <f>P27+SUM(P32:P32)</f>
        <v>80838.359999999971</v>
      </c>
    </row>
    <row r="34" spans="2:17" ht="15.75" x14ac:dyDescent="0.25">
      <c r="B34" s="264" t="s">
        <v>284</v>
      </c>
      <c r="C34" s="210">
        <f>C28+SUM(C32)</f>
        <v>-1759.16</v>
      </c>
      <c r="D34" s="210">
        <f t="shared" ref="D34:N34" si="12">D28+SUM(D32)</f>
        <v>-467.18</v>
      </c>
      <c r="E34" s="210">
        <f t="shared" si="12"/>
        <v>-1525.78</v>
      </c>
      <c r="F34" s="210">
        <f t="shared" si="12"/>
        <v>-598.99</v>
      </c>
      <c r="G34" s="210">
        <f t="shared" si="12"/>
        <v>72939.11</v>
      </c>
      <c r="H34" s="210">
        <f t="shared" si="12"/>
        <v>-3850.88</v>
      </c>
      <c r="I34" s="210">
        <f t="shared" si="12"/>
        <v>-1931.7200000000003</v>
      </c>
      <c r="J34" s="210">
        <f t="shared" si="12"/>
        <v>-21628.43</v>
      </c>
      <c r="K34" s="210">
        <f t="shared" si="12"/>
        <v>-4028.06</v>
      </c>
      <c r="L34" s="210">
        <f t="shared" si="12"/>
        <v>67120.009999999995</v>
      </c>
      <c r="M34" s="210">
        <f t="shared" si="12"/>
        <v>40446.00999999998</v>
      </c>
      <c r="N34" s="265">
        <f t="shared" si="12"/>
        <v>11123.430000000004</v>
      </c>
      <c r="O34" s="58"/>
      <c r="P34" s="210">
        <f>P28+SUM(P32)</f>
        <v>155838.35999999996</v>
      </c>
    </row>
    <row r="35" spans="2:17" x14ac:dyDescent="0.25">
      <c r="B35" s="70" t="s">
        <v>292</v>
      </c>
      <c r="C35" s="71">
        <f t="shared" ref="C35:N35" si="13">+IFERROR(C33/C14, 0)</f>
        <v>0</v>
      </c>
      <c r="D35" s="71">
        <f t="shared" si="13"/>
        <v>0</v>
      </c>
      <c r="E35" s="71">
        <f t="shared" si="13"/>
        <v>0</v>
      </c>
      <c r="F35" s="71">
        <f t="shared" si="13"/>
        <v>0</v>
      </c>
      <c r="G35" s="71">
        <f t="shared" si="13"/>
        <v>0</v>
      </c>
      <c r="H35" s="71">
        <f t="shared" si="13"/>
        <v>0</v>
      </c>
      <c r="I35" s="71">
        <f t="shared" si="13"/>
        <v>0</v>
      </c>
      <c r="J35" s="71">
        <f t="shared" si="13"/>
        <v>0</v>
      </c>
      <c r="K35" s="71">
        <f t="shared" si="13"/>
        <v>0</v>
      </c>
      <c r="L35" s="71">
        <f t="shared" si="13"/>
        <v>0.44746673333333331</v>
      </c>
      <c r="M35" s="71">
        <f t="shared" si="13"/>
        <v>0.21571205333333324</v>
      </c>
      <c r="N35" s="171">
        <f t="shared" si="13"/>
        <v>9.8874933333333373E-2</v>
      </c>
      <c r="O35" s="7"/>
      <c r="P35" s="71">
        <f>P33/P14</f>
        <v>0.17964079999999993</v>
      </c>
    </row>
    <row r="36" spans="2:17" x14ac:dyDescent="0.25">
      <c r="B36" s="70" t="s">
        <v>293</v>
      </c>
      <c r="C36" s="71">
        <f t="shared" ref="C36:N36" si="14">+IFERROR(C34/C15, 0)</f>
        <v>0</v>
      </c>
      <c r="D36" s="71">
        <f t="shared" si="14"/>
        <v>0</v>
      </c>
      <c r="E36" s="71">
        <f t="shared" si="14"/>
        <v>0</v>
      </c>
      <c r="F36" s="71">
        <f t="shared" si="14"/>
        <v>0</v>
      </c>
      <c r="G36" s="71">
        <f t="shared" si="14"/>
        <v>0.97252146666666672</v>
      </c>
      <c r="H36" s="71">
        <f t="shared" si="14"/>
        <v>0</v>
      </c>
      <c r="I36" s="71">
        <f t="shared" si="14"/>
        <v>0</v>
      </c>
      <c r="J36" s="71">
        <f t="shared" si="14"/>
        <v>0</v>
      </c>
      <c r="K36" s="71">
        <f t="shared" si="14"/>
        <v>0</v>
      </c>
      <c r="L36" s="71">
        <f t="shared" si="14"/>
        <v>0.44746673333333331</v>
      </c>
      <c r="M36" s="71">
        <f t="shared" si="14"/>
        <v>0.21571205333333324</v>
      </c>
      <c r="N36" s="171">
        <f t="shared" si="14"/>
        <v>9.8874933333333373E-2</v>
      </c>
      <c r="O36" s="7"/>
      <c r="P36" s="71">
        <f>P34/P15</f>
        <v>0.29683497142857135</v>
      </c>
    </row>
    <row r="37" spans="2:17" ht="4.9000000000000004" customHeight="1" thickBot="1" x14ac:dyDescent="0.3">
      <c r="B37" s="7"/>
      <c r="N37" s="172"/>
    </row>
    <row r="38" spans="2:17" ht="15.75" x14ac:dyDescent="0.25">
      <c r="B38" s="64" t="s">
        <v>156</v>
      </c>
      <c r="C38" s="65">
        <f>SUMIF('Monthly Detail'!$3:$3, '2023 Overview'!C$11, 'Monthly Detail'!195:195)</f>
        <v>1685.4099999999987</v>
      </c>
      <c r="D38" s="134">
        <f>SUMIF('Monthly Detail'!$3:$3, '2023 Overview'!D$11, 'Monthly Detail'!195:195)</f>
        <v>1215.7899999999986</v>
      </c>
      <c r="E38" s="65">
        <f>SUMIF('Monthly Detail'!$3:$3, '2023 Overview'!E$11, 'Monthly Detail'!195:195)</f>
        <v>888.59999999999854</v>
      </c>
      <c r="F38" s="134">
        <f>SUMIF('Monthly Detail'!$3:$3, '2023 Overview'!F$11, 'Monthly Detail'!195:195)</f>
        <v>721.96999999999866</v>
      </c>
      <c r="G38" s="65">
        <f>SUMIF('Monthly Detail'!$3:$3, '2023 Overview'!G$11, 'Monthly Detail'!195:195)</f>
        <v>75385.05</v>
      </c>
      <c r="H38" s="65">
        <f>SUMIF('Monthly Detail'!$3:$3, '2023 Overview'!H$11, 'Monthly Detail'!195:195)</f>
        <v>71768.56</v>
      </c>
      <c r="I38" s="134">
        <f>SUMIF('Monthly Detail'!$3:$3, '2023 Overview'!I$11, 'Monthly Detail'!195:195)</f>
        <v>71854.92</v>
      </c>
      <c r="J38" s="134">
        <f>SUMIF('Monthly Detail'!$3:$3, '2023 Overview'!J$11, 'Monthly Detail'!195:195)</f>
        <v>51317.030000000006</v>
      </c>
      <c r="K38" s="134">
        <f>SUMIF('Monthly Detail'!$3:$3, '2023 Overview'!K$11, 'Monthly Detail'!195:195)</f>
        <v>48758.8</v>
      </c>
      <c r="L38" s="134">
        <f>SUMIF('Monthly Detail'!$3:$3, '2023 Overview'!L$11, 'Monthly Detail'!195:195)</f>
        <v>118050.04999999999</v>
      </c>
      <c r="M38" s="134">
        <f>SUMIF('Monthly Detail'!$3:$3, '2023 Overview'!M$11, 'Monthly Detail'!195:195)</f>
        <v>143860.09999999998</v>
      </c>
      <c r="N38" s="176">
        <f>SUMIF('Monthly Detail'!$3:$3, '2023 Overview'!N$11, 'Monthly Detail'!195:195)</f>
        <v>194649.22999999998</v>
      </c>
      <c r="P38" s="211">
        <f>+P33*0.153</f>
        <v>12368.269079999995</v>
      </c>
      <c r="Q38" t="s">
        <v>295</v>
      </c>
    </row>
    <row r="39" spans="2:17" ht="16.5" thickBot="1" x14ac:dyDescent="0.3">
      <c r="B39" s="66" t="s">
        <v>157</v>
      </c>
      <c r="C39" s="67">
        <f>SUMIF('Monthly Detail'!$3:$3, '2023 Overview'!C$11, 'Monthly Detail'!192:192)</f>
        <v>1377.5999999999985</v>
      </c>
      <c r="D39" s="135">
        <f>SUMIF('Monthly Detail'!$3:$3, '2023 Overview'!D$11, 'Monthly Detail'!192:192)</f>
        <v>-469.62</v>
      </c>
      <c r="E39" s="67">
        <f>SUMIF('Monthly Detail'!$3:$3, '2023 Overview'!E$11, 'Monthly Detail'!192:192)</f>
        <v>-327.19000000000005</v>
      </c>
      <c r="F39" s="135">
        <f>SUMIF('Monthly Detail'!$3:$3, '2023 Overview'!F$11, 'Monthly Detail'!192:192)</f>
        <v>-166.62999999999988</v>
      </c>
      <c r="G39" s="67">
        <f>SUMIF('Monthly Detail'!$3:$3, '2023 Overview'!G$11, 'Monthly Detail'!192:192)</f>
        <v>74663.08</v>
      </c>
      <c r="H39" s="67">
        <f>SUMIF('Monthly Detail'!$3:$3, '2023 Overview'!H$11, 'Monthly Detail'!192:192)</f>
        <v>-3616.4899999999984</v>
      </c>
      <c r="I39" s="135">
        <f>SUMIF('Monthly Detail'!$3:$3, '2023 Overview'!I$11, 'Monthly Detail'!192:192)</f>
        <v>86.35999999999558</v>
      </c>
      <c r="J39" s="135">
        <f>SUMIF('Monthly Detail'!$3:$3, '2023 Overview'!J$11, 'Monthly Detail'!192:192)</f>
        <v>-20537.889999999992</v>
      </c>
      <c r="K39" s="135">
        <f>SUMIF('Monthly Detail'!$3:$3, '2023 Overview'!K$11, 'Monthly Detail'!192:192)</f>
        <v>-2558.23</v>
      </c>
      <c r="L39" s="135">
        <f>SUMIF('Monthly Detail'!$3:$3, '2023 Overview'!L$11, 'Monthly Detail'!192:192)</f>
        <v>69291.249999999985</v>
      </c>
      <c r="M39" s="135">
        <f>SUMIF('Monthly Detail'!$3:$3, '2023 Overview'!M$11, 'Monthly Detail'!192:192)</f>
        <v>25810.049999999974</v>
      </c>
      <c r="N39" s="177">
        <f>SUMIF('Monthly Detail'!$3:$3, '2023 Overview'!N$11, 'Monthly Detail'!192:192)</f>
        <v>50789.130000000019</v>
      </c>
      <c r="P39" s="211">
        <f>+P34*0.153</f>
        <v>23843.269079999995</v>
      </c>
      <c r="Q39" t="s">
        <v>294</v>
      </c>
    </row>
    <row r="40" spans="2:17" x14ac:dyDescent="0.25">
      <c r="E40" s="9"/>
    </row>
  </sheetData>
  <pageMargins left="0.25" right="0.25" top="0.75" bottom="0.75" header="0.3" footer="0.3"/>
  <pageSetup scale="54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787C-5EC9-4E97-BE57-79BB5D1CFAF5}">
  <sheetPr>
    <tabColor theme="9" tint="-0.249977111117893"/>
  </sheetPr>
  <dimension ref="A2:CL44"/>
  <sheetViews>
    <sheetView workbookViewId="0">
      <pane xSplit="6" ySplit="3" topLeftCell="T9" activePane="bottomRight" state="frozen"/>
      <selection pane="topRight" activeCell="G1" sqref="G1"/>
      <selection pane="bottomLeft" activeCell="A4" sqref="A4"/>
      <selection pane="bottomRight" activeCell="W39" sqref="W39"/>
    </sheetView>
  </sheetViews>
  <sheetFormatPr defaultRowHeight="15" outlineLevelRow="1" x14ac:dyDescent="0.25"/>
  <cols>
    <col min="1" max="1" width="11.140625" bestFit="1" customWidth="1"/>
    <col min="2" max="2" width="10.5703125" style="144" customWidth="1"/>
    <col min="3" max="3" width="23.5703125" bestFit="1" customWidth="1"/>
    <col min="4" max="4" width="0.7109375" customWidth="1"/>
    <col min="5" max="5" width="52" customWidth="1"/>
    <col min="6" max="6" width="11.5703125" bestFit="1" customWidth="1"/>
    <col min="7" max="7" width="10.7109375" bestFit="1" customWidth="1"/>
    <col min="8" max="8" width="12.7109375" bestFit="1" customWidth="1"/>
    <col min="9" max="9" width="13" bestFit="1" customWidth="1"/>
    <col min="10" max="10" width="13.42578125" bestFit="1" customWidth="1"/>
    <col min="11" max="11" width="13.28515625" bestFit="1" customWidth="1"/>
    <col min="12" max="12" width="13.140625" bestFit="1" customWidth="1"/>
    <col min="13" max="13" width="13.28515625" bestFit="1" customWidth="1"/>
    <col min="14" max="15" width="13.5703125" bestFit="1" customWidth="1"/>
    <col min="16" max="18" width="14" bestFit="1" customWidth="1"/>
    <col min="19" max="20" width="14.42578125" bestFit="1" customWidth="1"/>
    <col min="21" max="90" width="13.28515625" bestFit="1" customWidth="1"/>
  </cols>
  <sheetData>
    <row r="2" spans="1:90" s="248" customFormat="1" x14ac:dyDescent="0.25">
      <c r="A2" s="288" t="s">
        <v>324</v>
      </c>
      <c r="B2" s="735"/>
      <c r="C2" s="289" t="s">
        <v>325</v>
      </c>
      <c r="D2" s="289"/>
      <c r="E2" s="290" t="s">
        <v>326</v>
      </c>
      <c r="F2" s="5"/>
      <c r="G2" s="291">
        <v>45322</v>
      </c>
      <c r="H2" s="292">
        <f>+EOMONTH(G2,1)</f>
        <v>45351</v>
      </c>
      <c r="I2" s="292">
        <f t="shared" ref="I2:BT2" si="0">+EOMONTH(H2,1)</f>
        <v>45382</v>
      </c>
      <c r="J2" s="292">
        <f t="shared" si="0"/>
        <v>45412</v>
      </c>
      <c r="K2" s="292">
        <f t="shared" si="0"/>
        <v>45443</v>
      </c>
      <c r="L2" s="292">
        <f t="shared" si="0"/>
        <v>45473</v>
      </c>
      <c r="M2" s="292">
        <f t="shared" si="0"/>
        <v>45504</v>
      </c>
      <c r="N2" s="292">
        <f t="shared" si="0"/>
        <v>45535</v>
      </c>
      <c r="O2" s="292">
        <f t="shared" si="0"/>
        <v>45565</v>
      </c>
      <c r="P2" s="292">
        <f t="shared" si="0"/>
        <v>45596</v>
      </c>
      <c r="Q2" s="292">
        <f t="shared" si="0"/>
        <v>45626</v>
      </c>
      <c r="R2" s="292">
        <f t="shared" si="0"/>
        <v>45657</v>
      </c>
      <c r="S2" s="292">
        <f t="shared" si="0"/>
        <v>45688</v>
      </c>
      <c r="T2" s="292">
        <f t="shared" si="0"/>
        <v>45716</v>
      </c>
      <c r="U2" s="292">
        <f t="shared" si="0"/>
        <v>45747</v>
      </c>
      <c r="V2" s="292">
        <f t="shared" si="0"/>
        <v>45777</v>
      </c>
      <c r="W2" s="292">
        <f t="shared" si="0"/>
        <v>45808</v>
      </c>
      <c r="X2" s="293">
        <f t="shared" si="0"/>
        <v>45838</v>
      </c>
      <c r="Y2" s="292">
        <f t="shared" si="0"/>
        <v>45869</v>
      </c>
      <c r="Z2" s="292">
        <f t="shared" si="0"/>
        <v>45900</v>
      </c>
      <c r="AA2" s="292">
        <f t="shared" si="0"/>
        <v>45930</v>
      </c>
      <c r="AB2" s="292">
        <f t="shared" si="0"/>
        <v>45961</v>
      </c>
      <c r="AC2" s="292">
        <f t="shared" si="0"/>
        <v>45991</v>
      </c>
      <c r="AD2" s="292">
        <f t="shared" si="0"/>
        <v>46022</v>
      </c>
      <c r="AE2" s="292">
        <f t="shared" si="0"/>
        <v>46053</v>
      </c>
      <c r="AF2" s="292">
        <f t="shared" si="0"/>
        <v>46081</v>
      </c>
      <c r="AG2" s="292">
        <f t="shared" si="0"/>
        <v>46112</v>
      </c>
      <c r="AH2" s="292">
        <f t="shared" si="0"/>
        <v>46142</v>
      </c>
      <c r="AI2" s="292">
        <f t="shared" si="0"/>
        <v>46173</v>
      </c>
      <c r="AJ2" s="292">
        <f t="shared" si="0"/>
        <v>46203</v>
      </c>
      <c r="AK2" s="292">
        <f t="shared" si="0"/>
        <v>46234</v>
      </c>
      <c r="AL2" s="292">
        <f t="shared" si="0"/>
        <v>46265</v>
      </c>
      <c r="AM2" s="292">
        <f t="shared" si="0"/>
        <v>46295</v>
      </c>
      <c r="AN2" s="292">
        <f t="shared" si="0"/>
        <v>46326</v>
      </c>
      <c r="AO2" s="292">
        <f t="shared" si="0"/>
        <v>46356</v>
      </c>
      <c r="AP2" s="292">
        <f t="shared" si="0"/>
        <v>46387</v>
      </c>
      <c r="AQ2" s="292">
        <f t="shared" si="0"/>
        <v>46418</v>
      </c>
      <c r="AR2" s="292">
        <f t="shared" si="0"/>
        <v>46446</v>
      </c>
      <c r="AS2" s="292">
        <f t="shared" si="0"/>
        <v>46477</v>
      </c>
      <c r="AT2" s="292">
        <f t="shared" si="0"/>
        <v>46507</v>
      </c>
      <c r="AU2" s="292">
        <f t="shared" si="0"/>
        <v>46538</v>
      </c>
      <c r="AV2" s="292">
        <f t="shared" si="0"/>
        <v>46568</v>
      </c>
      <c r="AW2" s="292">
        <f t="shared" si="0"/>
        <v>46599</v>
      </c>
      <c r="AX2" s="292">
        <f t="shared" si="0"/>
        <v>46630</v>
      </c>
      <c r="AY2" s="292">
        <f t="shared" si="0"/>
        <v>46660</v>
      </c>
      <c r="AZ2" s="292">
        <f t="shared" si="0"/>
        <v>46691</v>
      </c>
      <c r="BA2" s="292">
        <f t="shared" si="0"/>
        <v>46721</v>
      </c>
      <c r="BB2" s="292">
        <f t="shared" si="0"/>
        <v>46752</v>
      </c>
      <c r="BC2" s="292">
        <f t="shared" si="0"/>
        <v>46783</v>
      </c>
      <c r="BD2" s="292">
        <f t="shared" si="0"/>
        <v>46812</v>
      </c>
      <c r="BE2" s="292">
        <f t="shared" si="0"/>
        <v>46843</v>
      </c>
      <c r="BF2" s="292">
        <f t="shared" si="0"/>
        <v>46873</v>
      </c>
      <c r="BG2" s="292">
        <f t="shared" si="0"/>
        <v>46904</v>
      </c>
      <c r="BH2" s="292">
        <f t="shared" si="0"/>
        <v>46934</v>
      </c>
      <c r="BI2" s="292">
        <f t="shared" si="0"/>
        <v>46965</v>
      </c>
      <c r="BJ2" s="292">
        <f t="shared" si="0"/>
        <v>46996</v>
      </c>
      <c r="BK2" s="292">
        <f t="shared" si="0"/>
        <v>47026</v>
      </c>
      <c r="BL2" s="292">
        <f t="shared" si="0"/>
        <v>47057</v>
      </c>
      <c r="BM2" s="292">
        <f t="shared" si="0"/>
        <v>47087</v>
      </c>
      <c r="BN2" s="292">
        <f t="shared" si="0"/>
        <v>47118</v>
      </c>
      <c r="BO2" s="292">
        <f t="shared" si="0"/>
        <v>47149</v>
      </c>
      <c r="BP2" s="292">
        <f t="shared" si="0"/>
        <v>47177</v>
      </c>
      <c r="BQ2" s="292">
        <f t="shared" si="0"/>
        <v>47208</v>
      </c>
      <c r="BR2" s="292">
        <f t="shared" si="0"/>
        <v>47238</v>
      </c>
      <c r="BS2" s="292">
        <f t="shared" si="0"/>
        <v>47269</v>
      </c>
      <c r="BT2" s="292">
        <f t="shared" si="0"/>
        <v>47299</v>
      </c>
      <c r="BU2" s="292">
        <f t="shared" ref="BU2:CL2" si="1">+EOMONTH(BT2,1)</f>
        <v>47330</v>
      </c>
      <c r="BV2" s="292">
        <f t="shared" si="1"/>
        <v>47361</v>
      </c>
      <c r="BW2" s="292">
        <f t="shared" si="1"/>
        <v>47391</v>
      </c>
      <c r="BX2" s="292">
        <f t="shared" si="1"/>
        <v>47422</v>
      </c>
      <c r="BY2" s="292">
        <f t="shared" si="1"/>
        <v>47452</v>
      </c>
      <c r="BZ2" s="292">
        <f t="shared" si="1"/>
        <v>47483</v>
      </c>
      <c r="CA2" s="292">
        <f t="shared" si="1"/>
        <v>47514</v>
      </c>
      <c r="CB2" s="292">
        <f t="shared" si="1"/>
        <v>47542</v>
      </c>
      <c r="CC2" s="292">
        <f t="shared" si="1"/>
        <v>47573</v>
      </c>
      <c r="CD2" s="292">
        <f t="shared" si="1"/>
        <v>47603</v>
      </c>
      <c r="CE2" s="292">
        <f t="shared" si="1"/>
        <v>47634</v>
      </c>
      <c r="CF2" s="292">
        <f t="shared" si="1"/>
        <v>47664</v>
      </c>
      <c r="CG2" s="292">
        <f t="shared" si="1"/>
        <v>47695</v>
      </c>
      <c r="CH2" s="292">
        <f t="shared" si="1"/>
        <v>47726</v>
      </c>
      <c r="CI2" s="292">
        <f t="shared" si="1"/>
        <v>47756</v>
      </c>
      <c r="CJ2" s="292">
        <f t="shared" si="1"/>
        <v>47787</v>
      </c>
      <c r="CK2" s="292">
        <f t="shared" si="1"/>
        <v>47817</v>
      </c>
      <c r="CL2" s="293">
        <f t="shared" si="1"/>
        <v>47848</v>
      </c>
    </row>
    <row r="3" spans="1:90" ht="1.5" customHeight="1" x14ac:dyDescent="0.25">
      <c r="A3" s="288"/>
      <c r="B3" s="735"/>
      <c r="C3" s="289"/>
      <c r="D3" s="289"/>
      <c r="E3" s="290"/>
      <c r="G3" s="294"/>
      <c r="X3" s="154"/>
      <c r="CL3" s="154"/>
    </row>
    <row r="4" spans="1:90" x14ac:dyDescent="0.25">
      <c r="A4" s="295">
        <v>20000</v>
      </c>
      <c r="B4" s="736"/>
      <c r="C4" s="296" t="s">
        <v>336</v>
      </c>
      <c r="D4" s="297"/>
      <c r="E4" s="298">
        <v>3</v>
      </c>
      <c r="G4" s="299">
        <f>+'New Sales Forecast'!F17</f>
        <v>0</v>
      </c>
      <c r="H4" s="300">
        <f>+'New Sales Forecast'!G17</f>
        <v>0</v>
      </c>
      <c r="I4" s="300">
        <f>+'New Sales Forecast'!H17</f>
        <v>1</v>
      </c>
      <c r="J4" s="300">
        <f>+'New Sales Forecast'!I17</f>
        <v>0</v>
      </c>
      <c r="K4" s="300">
        <f>+'New Sales Forecast'!J17</f>
        <v>2</v>
      </c>
      <c r="L4" s="300">
        <f>+'New Sales Forecast'!K17</f>
        <v>0</v>
      </c>
      <c r="M4" s="300">
        <f>+'New Sales Forecast'!L17</f>
        <v>1</v>
      </c>
      <c r="N4" s="300">
        <f>+'New Sales Forecast'!M17</f>
        <v>4</v>
      </c>
      <c r="O4" s="300">
        <f>+'New Sales Forecast'!N17</f>
        <v>2</v>
      </c>
      <c r="P4" s="300">
        <f>+'New Sales Forecast'!O17</f>
        <v>3</v>
      </c>
      <c r="Q4" s="300">
        <f>+'New Sales Forecast'!P17</f>
        <v>1</v>
      </c>
      <c r="R4" s="300">
        <f>+'New Sales Forecast'!Q17</f>
        <v>1</v>
      </c>
      <c r="S4" s="300">
        <f>+'New Sales Forecast'!R17</f>
        <v>1</v>
      </c>
      <c r="T4" s="300">
        <f>+'New Sales Forecast'!S17</f>
        <v>0</v>
      </c>
      <c r="U4" s="300">
        <f>+'New Sales Forecast'!T17</f>
        <v>1</v>
      </c>
      <c r="V4" s="300">
        <f>+'New Sales Forecast'!U17</f>
        <v>0</v>
      </c>
      <c r="W4" s="300">
        <f>+'New Sales Forecast'!V17</f>
        <v>0</v>
      </c>
      <c r="X4" s="301">
        <f>+'New Sales Forecast'!W17</f>
        <v>0</v>
      </c>
      <c r="Y4" s="300">
        <f>+'New Sales Forecast'!X17</f>
        <v>1</v>
      </c>
      <c r="Z4" s="300">
        <f>+'New Sales Forecast'!Y17</f>
        <v>0</v>
      </c>
      <c r="AA4" s="300">
        <f>+'New Sales Forecast'!Z17</f>
        <v>0</v>
      </c>
      <c r="AB4" s="300">
        <f>+'New Sales Forecast'!AA17</f>
        <v>1</v>
      </c>
      <c r="AC4" s="300">
        <f>+'New Sales Forecast'!AB17</f>
        <v>0</v>
      </c>
      <c r="AD4" s="300">
        <f>+'New Sales Forecast'!AC17</f>
        <v>0</v>
      </c>
      <c r="AE4" s="300">
        <f>+'New Sales Forecast'!AD17</f>
        <v>3</v>
      </c>
      <c r="AF4" s="300">
        <f>+'New Sales Forecast'!AE17</f>
        <v>0</v>
      </c>
      <c r="AG4" s="300">
        <f>+'New Sales Forecast'!AF17</f>
        <v>0</v>
      </c>
      <c r="AH4" s="300">
        <f>+'New Sales Forecast'!AG17</f>
        <v>3</v>
      </c>
      <c r="AI4" s="300">
        <f>+'New Sales Forecast'!AH17</f>
        <v>0</v>
      </c>
      <c r="AJ4" s="300">
        <f>+'New Sales Forecast'!AI17</f>
        <v>0</v>
      </c>
      <c r="AK4" s="300">
        <f>+'New Sales Forecast'!AJ17</f>
        <v>4</v>
      </c>
      <c r="AL4" s="300">
        <f>+'New Sales Forecast'!AK17</f>
        <v>0</v>
      </c>
      <c r="AM4" s="300">
        <f>+'New Sales Forecast'!AL17</f>
        <v>0</v>
      </c>
      <c r="AN4" s="300">
        <f>+'New Sales Forecast'!AM17</f>
        <v>4</v>
      </c>
      <c r="AO4" s="300">
        <f>+'New Sales Forecast'!AN17</f>
        <v>0</v>
      </c>
      <c r="AP4" s="300">
        <f>+'New Sales Forecast'!AO17</f>
        <v>0</v>
      </c>
      <c r="AQ4" s="300">
        <f>+'New Sales Forecast'!AP17</f>
        <v>5</v>
      </c>
      <c r="AR4" s="300">
        <f>+'New Sales Forecast'!AQ17</f>
        <v>0</v>
      </c>
      <c r="AS4" s="300">
        <f>+'New Sales Forecast'!AR17</f>
        <v>0</v>
      </c>
      <c r="AT4" s="300">
        <f>+'New Sales Forecast'!AS17</f>
        <v>5</v>
      </c>
      <c r="AU4" s="300">
        <f>+'New Sales Forecast'!AT17</f>
        <v>0</v>
      </c>
      <c r="AV4" s="300">
        <f>+'New Sales Forecast'!AU17</f>
        <v>0</v>
      </c>
      <c r="AW4" s="300">
        <f>+'New Sales Forecast'!AV17</f>
        <v>5</v>
      </c>
      <c r="AX4" s="300">
        <f>+'New Sales Forecast'!AW17</f>
        <v>0</v>
      </c>
      <c r="AY4" s="300">
        <f>+'New Sales Forecast'!AX17</f>
        <v>0</v>
      </c>
      <c r="AZ4" s="300">
        <f>+'New Sales Forecast'!AY17</f>
        <v>5</v>
      </c>
      <c r="BA4" s="300">
        <f>+'New Sales Forecast'!AZ17</f>
        <v>0</v>
      </c>
      <c r="BB4" s="300">
        <f>+'New Sales Forecast'!BA17</f>
        <v>0</v>
      </c>
      <c r="BC4" s="300">
        <f>+'New Sales Forecast'!BB17</f>
        <v>6</v>
      </c>
      <c r="BD4" s="300">
        <f>+'New Sales Forecast'!BC17</f>
        <v>0</v>
      </c>
      <c r="BE4" s="300">
        <f>+'New Sales Forecast'!BD17</f>
        <v>0</v>
      </c>
      <c r="BF4" s="300">
        <f>+'New Sales Forecast'!BE17</f>
        <v>6</v>
      </c>
      <c r="BG4" s="300">
        <f>+'New Sales Forecast'!BF17</f>
        <v>0</v>
      </c>
      <c r="BH4" s="300">
        <f>+'New Sales Forecast'!BG17</f>
        <v>0</v>
      </c>
      <c r="BI4" s="300">
        <f>+'New Sales Forecast'!BH17</f>
        <v>6</v>
      </c>
      <c r="BJ4" s="300">
        <f>+'New Sales Forecast'!BI17</f>
        <v>0</v>
      </c>
      <c r="BK4" s="300">
        <f>+'New Sales Forecast'!BJ17</f>
        <v>0</v>
      </c>
      <c r="BL4" s="300">
        <f>+'New Sales Forecast'!BK17</f>
        <v>6</v>
      </c>
      <c r="BM4" s="300">
        <f>+'New Sales Forecast'!BL17</f>
        <v>0</v>
      </c>
      <c r="BN4" s="300">
        <f>+'New Sales Forecast'!BM17</f>
        <v>0</v>
      </c>
      <c r="BO4" s="300">
        <f>+'New Sales Forecast'!BN17</f>
        <v>7</v>
      </c>
      <c r="BP4" s="300">
        <f>+'New Sales Forecast'!BO17</f>
        <v>0</v>
      </c>
      <c r="BQ4" s="300">
        <f>+'New Sales Forecast'!BP17</f>
        <v>0</v>
      </c>
      <c r="BR4" s="300">
        <f>+'New Sales Forecast'!BQ17</f>
        <v>7</v>
      </c>
      <c r="BS4" s="300">
        <f>+'New Sales Forecast'!BR17</f>
        <v>0</v>
      </c>
      <c r="BT4" s="300">
        <f>+'New Sales Forecast'!BS17</f>
        <v>0</v>
      </c>
      <c r="BU4" s="300">
        <f>+'New Sales Forecast'!BT17</f>
        <v>8</v>
      </c>
      <c r="BV4" s="300">
        <f>+'New Sales Forecast'!BU17</f>
        <v>0</v>
      </c>
      <c r="BW4" s="300">
        <f>+'New Sales Forecast'!BV17</f>
        <v>0</v>
      </c>
      <c r="BX4" s="300">
        <f>+'New Sales Forecast'!BW17</f>
        <v>8</v>
      </c>
      <c r="BY4" s="300">
        <f>+'New Sales Forecast'!BX17</f>
        <v>0</v>
      </c>
      <c r="BZ4" s="300">
        <f>+'New Sales Forecast'!BY17</f>
        <v>0</v>
      </c>
      <c r="CA4" s="300">
        <f>+'New Sales Forecast'!BZ17</f>
        <v>8</v>
      </c>
      <c r="CB4" s="300">
        <f>+'New Sales Forecast'!CA17</f>
        <v>0</v>
      </c>
      <c r="CC4" s="300">
        <f>+'New Sales Forecast'!CB17</f>
        <v>0</v>
      </c>
      <c r="CD4" s="300">
        <f>+'New Sales Forecast'!CC17</f>
        <v>8</v>
      </c>
      <c r="CE4" s="300">
        <f>+'New Sales Forecast'!CD17</f>
        <v>0</v>
      </c>
      <c r="CF4" s="300">
        <f>+'New Sales Forecast'!CE17</f>
        <v>0</v>
      </c>
      <c r="CG4" s="300">
        <f>+'New Sales Forecast'!CF17</f>
        <v>9</v>
      </c>
      <c r="CH4" s="300">
        <f>+'New Sales Forecast'!CG17</f>
        <v>0</v>
      </c>
      <c r="CI4" s="300">
        <f>+'New Sales Forecast'!CH17</f>
        <v>0</v>
      </c>
      <c r="CJ4" s="300">
        <f>+'New Sales Forecast'!CI17</f>
        <v>9</v>
      </c>
      <c r="CK4" s="300">
        <f>+'New Sales Forecast'!CJ17</f>
        <v>0</v>
      </c>
      <c r="CL4" s="301">
        <f>+'New Sales Forecast'!CK17</f>
        <v>0</v>
      </c>
    </row>
    <row r="5" spans="1:90" ht="4.9000000000000004" customHeight="1" x14ac:dyDescent="0.25">
      <c r="A5" s="303"/>
      <c r="B5" s="737"/>
      <c r="C5" s="304"/>
      <c r="D5" s="304"/>
      <c r="E5" s="305"/>
      <c r="G5" s="306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8"/>
      <c r="Y5" s="307"/>
      <c r="Z5" s="307"/>
      <c r="AA5" s="307"/>
      <c r="AB5" s="307"/>
      <c r="AC5" s="307"/>
      <c r="AD5" s="307"/>
      <c r="AE5" s="307"/>
      <c r="AF5" s="307"/>
      <c r="AG5" s="307"/>
      <c r="AH5" s="307"/>
      <c r="AI5" s="307"/>
      <c r="AJ5" s="307"/>
      <c r="AK5" s="307"/>
      <c r="AL5" s="307"/>
      <c r="AM5" s="307"/>
      <c r="AN5" s="307"/>
      <c r="AO5" s="307"/>
      <c r="AP5" s="307"/>
      <c r="AQ5" s="307"/>
      <c r="AR5" s="307"/>
      <c r="AS5" s="307"/>
      <c r="AT5" s="307"/>
      <c r="AU5" s="307"/>
      <c r="AV5" s="307"/>
      <c r="AW5" s="307"/>
      <c r="AX5" s="307"/>
      <c r="AY5" s="307"/>
      <c r="AZ5" s="307"/>
      <c r="BA5" s="307"/>
      <c r="BB5" s="307"/>
      <c r="BC5" s="307"/>
      <c r="BD5" s="307"/>
      <c r="BE5" s="307"/>
      <c r="BF5" s="307"/>
      <c r="BG5" s="307"/>
      <c r="BH5" s="307"/>
      <c r="BI5" s="307"/>
      <c r="BJ5" s="307"/>
      <c r="BK5" s="307"/>
      <c r="BL5" s="307"/>
      <c r="BM5" s="307"/>
      <c r="BN5" s="307"/>
      <c r="BO5" s="307"/>
      <c r="BP5" s="307"/>
      <c r="BQ5" s="307"/>
      <c r="BR5" s="307"/>
      <c r="BS5" s="307"/>
      <c r="BT5" s="307"/>
      <c r="BU5" s="307"/>
      <c r="BV5" s="307"/>
      <c r="BW5" s="307"/>
      <c r="BX5" s="307"/>
      <c r="BY5" s="307"/>
      <c r="BZ5" s="307"/>
      <c r="CA5" s="307"/>
      <c r="CB5" s="307"/>
      <c r="CC5" s="307"/>
      <c r="CD5" s="307"/>
      <c r="CE5" s="307"/>
      <c r="CF5" s="307"/>
      <c r="CG5" s="307"/>
      <c r="CH5" s="307"/>
      <c r="CI5" s="307"/>
      <c r="CJ5" s="307"/>
      <c r="CK5" s="307"/>
      <c r="CL5" s="308"/>
    </row>
    <row r="6" spans="1:90" x14ac:dyDescent="0.25">
      <c r="A6" s="294"/>
      <c r="G6" s="294"/>
      <c r="X6" s="154"/>
      <c r="CL6" s="154"/>
    </row>
    <row r="7" spans="1:90" x14ac:dyDescent="0.25">
      <c r="A7" s="294"/>
      <c r="G7" s="294"/>
      <c r="X7" s="154"/>
      <c r="CL7" s="154"/>
    </row>
    <row r="8" spans="1:90" x14ac:dyDescent="0.25">
      <c r="A8" s="294"/>
      <c r="E8" s="206" t="s">
        <v>336</v>
      </c>
      <c r="G8" s="294"/>
      <c r="X8" s="154"/>
      <c r="CL8" s="154"/>
    </row>
    <row r="9" spans="1:90" outlineLevel="1" x14ac:dyDescent="0.25">
      <c r="A9" s="294"/>
      <c r="B9" s="310" t="s">
        <v>511</v>
      </c>
      <c r="C9" s="310" t="s">
        <v>510</v>
      </c>
      <c r="D9" s="310" t="e">
        <f>+EOMONTH(C9,0)</f>
        <v>#VALUE!</v>
      </c>
      <c r="F9" s="144" t="s">
        <v>473</v>
      </c>
      <c r="G9" s="311"/>
      <c r="H9" s="146"/>
      <c r="I9" s="146"/>
      <c r="J9" s="146"/>
      <c r="K9" s="146"/>
      <c r="L9" s="146"/>
      <c r="M9" s="146"/>
      <c r="N9" s="146"/>
      <c r="O9" s="146"/>
      <c r="P9" s="146"/>
      <c r="X9" s="154"/>
      <c r="Y9" s="146">
        <f t="shared" ref="Y9:CF9" si="2">+IF(SUM(W4:Y4)&gt;0, (SUM(W4:Y4)*$A$4)*0.33, 0)</f>
        <v>6600</v>
      </c>
      <c r="Z9" s="146">
        <f t="shared" si="2"/>
        <v>6600</v>
      </c>
      <c r="AA9" s="146">
        <f t="shared" si="2"/>
        <v>6600</v>
      </c>
      <c r="AB9" s="146">
        <f t="shared" si="2"/>
        <v>6600</v>
      </c>
      <c r="AC9" s="146">
        <f t="shared" si="2"/>
        <v>6600</v>
      </c>
      <c r="AD9" s="146">
        <f t="shared" si="2"/>
        <v>6600</v>
      </c>
      <c r="AE9" s="146">
        <f t="shared" si="2"/>
        <v>19800</v>
      </c>
      <c r="AF9" s="146">
        <f t="shared" si="2"/>
        <v>19800</v>
      </c>
      <c r="AG9" s="146">
        <f t="shared" si="2"/>
        <v>19800</v>
      </c>
      <c r="AH9" s="146">
        <f t="shared" si="2"/>
        <v>19800</v>
      </c>
      <c r="AI9" s="146">
        <f t="shared" si="2"/>
        <v>19800</v>
      </c>
      <c r="AJ9" s="146">
        <f t="shared" si="2"/>
        <v>19800</v>
      </c>
      <c r="AK9" s="146">
        <f t="shared" si="2"/>
        <v>26400</v>
      </c>
      <c r="AL9" s="146">
        <f t="shared" si="2"/>
        <v>26400</v>
      </c>
      <c r="AM9" s="146">
        <f t="shared" si="2"/>
        <v>26400</v>
      </c>
      <c r="AN9" s="146">
        <f t="shared" si="2"/>
        <v>26400</v>
      </c>
      <c r="AO9" s="146">
        <f t="shared" si="2"/>
        <v>26400</v>
      </c>
      <c r="AP9" s="146">
        <f t="shared" si="2"/>
        <v>26400</v>
      </c>
      <c r="AQ9" s="146">
        <f t="shared" si="2"/>
        <v>33000</v>
      </c>
      <c r="AR9" s="146">
        <f t="shared" si="2"/>
        <v>33000</v>
      </c>
      <c r="AS9" s="146">
        <f t="shared" si="2"/>
        <v>33000</v>
      </c>
      <c r="AT9" s="146">
        <f t="shared" si="2"/>
        <v>33000</v>
      </c>
      <c r="AU9" s="146">
        <f t="shared" si="2"/>
        <v>33000</v>
      </c>
      <c r="AV9" s="146">
        <f t="shared" si="2"/>
        <v>33000</v>
      </c>
      <c r="AW9" s="146">
        <f t="shared" si="2"/>
        <v>33000</v>
      </c>
      <c r="AX9" s="146">
        <f t="shared" si="2"/>
        <v>33000</v>
      </c>
      <c r="AY9" s="146">
        <f t="shared" si="2"/>
        <v>33000</v>
      </c>
      <c r="AZ9" s="146">
        <f t="shared" si="2"/>
        <v>33000</v>
      </c>
      <c r="BA9" s="146">
        <f t="shared" si="2"/>
        <v>33000</v>
      </c>
      <c r="BB9" s="146">
        <f t="shared" si="2"/>
        <v>33000</v>
      </c>
      <c r="BC9" s="146">
        <f t="shared" si="2"/>
        <v>39600</v>
      </c>
      <c r="BD9" s="146">
        <f t="shared" si="2"/>
        <v>39600</v>
      </c>
      <c r="BE9" s="146">
        <f t="shared" si="2"/>
        <v>39600</v>
      </c>
      <c r="BF9" s="146">
        <f t="shared" si="2"/>
        <v>39600</v>
      </c>
      <c r="BG9" s="146">
        <f t="shared" si="2"/>
        <v>39600</v>
      </c>
      <c r="BH9" s="146">
        <f t="shared" si="2"/>
        <v>39600</v>
      </c>
      <c r="BI9" s="146">
        <f t="shared" si="2"/>
        <v>39600</v>
      </c>
      <c r="BJ9" s="146">
        <f t="shared" si="2"/>
        <v>39600</v>
      </c>
      <c r="BK9" s="146">
        <f t="shared" si="2"/>
        <v>39600</v>
      </c>
      <c r="BL9" s="146">
        <f t="shared" si="2"/>
        <v>39600</v>
      </c>
      <c r="BM9" s="146">
        <f t="shared" si="2"/>
        <v>39600</v>
      </c>
      <c r="BN9" s="146">
        <f t="shared" si="2"/>
        <v>39600</v>
      </c>
      <c r="BO9" s="146">
        <f t="shared" si="2"/>
        <v>46200</v>
      </c>
      <c r="BP9" s="146">
        <f t="shared" si="2"/>
        <v>46200</v>
      </c>
      <c r="BQ9" s="146">
        <f t="shared" si="2"/>
        <v>46200</v>
      </c>
      <c r="BR9" s="146">
        <f t="shared" si="2"/>
        <v>46200</v>
      </c>
      <c r="BS9" s="146">
        <f t="shared" si="2"/>
        <v>46200</v>
      </c>
      <c r="BT9" s="146">
        <f t="shared" si="2"/>
        <v>46200</v>
      </c>
      <c r="BU9" s="146">
        <f t="shared" si="2"/>
        <v>52800</v>
      </c>
      <c r="BV9" s="146">
        <f t="shared" si="2"/>
        <v>52800</v>
      </c>
      <c r="BW9" s="146">
        <f t="shared" si="2"/>
        <v>52800</v>
      </c>
      <c r="BX9" s="146">
        <f t="shared" si="2"/>
        <v>52800</v>
      </c>
      <c r="BY9" s="146">
        <f t="shared" si="2"/>
        <v>52800</v>
      </c>
      <c r="BZ9" s="146">
        <f t="shared" si="2"/>
        <v>52800</v>
      </c>
      <c r="CA9" s="146">
        <f t="shared" si="2"/>
        <v>52800</v>
      </c>
      <c r="CB9" s="146">
        <f t="shared" si="2"/>
        <v>52800</v>
      </c>
      <c r="CC9" s="146">
        <f t="shared" si="2"/>
        <v>52800</v>
      </c>
      <c r="CD9" s="146">
        <f t="shared" si="2"/>
        <v>52800</v>
      </c>
      <c r="CE9" s="146">
        <f t="shared" si="2"/>
        <v>52800</v>
      </c>
      <c r="CF9" s="146">
        <f t="shared" si="2"/>
        <v>52800</v>
      </c>
      <c r="CG9" s="146">
        <f t="shared" ref="CG9:CL9" si="3">+IF(SUM(CE4:CG4)&gt;0, (SUM(CE4:CG4)*$A$4)*0.33, 0)</f>
        <v>59400</v>
      </c>
      <c r="CH9" s="146">
        <f t="shared" si="3"/>
        <v>59400</v>
      </c>
      <c r="CI9" s="146">
        <f t="shared" si="3"/>
        <v>59400</v>
      </c>
      <c r="CJ9" s="146">
        <f t="shared" si="3"/>
        <v>59400</v>
      </c>
      <c r="CK9" s="146">
        <f t="shared" si="3"/>
        <v>59400</v>
      </c>
      <c r="CL9" s="312">
        <f t="shared" si="3"/>
        <v>59400</v>
      </c>
    </row>
    <row r="10" spans="1:90" s="478" customFormat="1" hidden="1" outlineLevel="1" x14ac:dyDescent="0.25">
      <c r="A10" s="535">
        <v>44998</v>
      </c>
      <c r="B10" s="738"/>
      <c r="C10" s="536">
        <v>45382</v>
      </c>
      <c r="D10" s="537">
        <f>+EOMONTH(C10,0)</f>
        <v>45382</v>
      </c>
      <c r="E10" s="478" t="s">
        <v>476</v>
      </c>
      <c r="F10" s="538">
        <f>+EOMONTH(C10, 8)</f>
        <v>45626</v>
      </c>
      <c r="G10" s="495">
        <v>0</v>
      </c>
      <c r="H10" s="496">
        <v>0</v>
      </c>
      <c r="I10" s="496">
        <v>0</v>
      </c>
      <c r="J10" s="496">
        <v>0</v>
      </c>
      <c r="K10" s="496">
        <v>0</v>
      </c>
      <c r="L10" s="496">
        <v>0</v>
      </c>
      <c r="M10" s="496">
        <v>0</v>
      </c>
      <c r="N10" s="496">
        <v>29532</v>
      </c>
      <c r="O10" s="496">
        <v>0</v>
      </c>
      <c r="P10" s="496">
        <v>15466</v>
      </c>
      <c r="Q10" s="496">
        <f t="shared" ref="Q10:AV10" si="4">+IF(AND($C10&lt;Q$2, $F10&gt;Q$2), $A10/$E$4, 0)</f>
        <v>0</v>
      </c>
      <c r="R10" s="496">
        <f t="shared" si="4"/>
        <v>0</v>
      </c>
      <c r="S10" s="539">
        <f t="shared" si="4"/>
        <v>0</v>
      </c>
      <c r="T10" s="539">
        <f t="shared" si="4"/>
        <v>0</v>
      </c>
      <c r="U10" s="539">
        <f t="shared" si="4"/>
        <v>0</v>
      </c>
      <c r="V10" s="539">
        <f t="shared" si="4"/>
        <v>0</v>
      </c>
      <c r="W10" s="539">
        <f t="shared" si="4"/>
        <v>0</v>
      </c>
      <c r="X10" s="540">
        <f t="shared" si="4"/>
        <v>0</v>
      </c>
      <c r="Y10" s="539">
        <f t="shared" si="4"/>
        <v>0</v>
      </c>
      <c r="Z10" s="539">
        <f t="shared" si="4"/>
        <v>0</v>
      </c>
      <c r="AA10" s="539">
        <f t="shared" si="4"/>
        <v>0</v>
      </c>
      <c r="AB10" s="539">
        <f t="shared" si="4"/>
        <v>0</v>
      </c>
      <c r="AC10" s="539">
        <f t="shared" si="4"/>
        <v>0</v>
      </c>
      <c r="AD10" s="539">
        <f t="shared" si="4"/>
        <v>0</v>
      </c>
      <c r="AE10" s="539">
        <f t="shared" si="4"/>
        <v>0</v>
      </c>
      <c r="AF10" s="539">
        <f t="shared" si="4"/>
        <v>0</v>
      </c>
      <c r="AG10" s="539">
        <f t="shared" si="4"/>
        <v>0</v>
      </c>
      <c r="AH10" s="539">
        <f t="shared" si="4"/>
        <v>0</v>
      </c>
      <c r="AI10" s="539">
        <f t="shared" si="4"/>
        <v>0</v>
      </c>
      <c r="AJ10" s="539">
        <f t="shared" si="4"/>
        <v>0</v>
      </c>
      <c r="AK10" s="539">
        <f t="shared" si="4"/>
        <v>0</v>
      </c>
      <c r="AL10" s="539">
        <f t="shared" si="4"/>
        <v>0</v>
      </c>
      <c r="AM10" s="539">
        <f t="shared" si="4"/>
        <v>0</v>
      </c>
      <c r="AN10" s="539">
        <f t="shared" si="4"/>
        <v>0</v>
      </c>
      <c r="AO10" s="539">
        <f t="shared" si="4"/>
        <v>0</v>
      </c>
      <c r="AP10" s="539">
        <f t="shared" si="4"/>
        <v>0</v>
      </c>
      <c r="AQ10" s="539">
        <f t="shared" si="4"/>
        <v>0</v>
      </c>
      <c r="AR10" s="539">
        <f t="shared" si="4"/>
        <v>0</v>
      </c>
      <c r="AS10" s="539">
        <f t="shared" si="4"/>
        <v>0</v>
      </c>
      <c r="AT10" s="539">
        <f t="shared" si="4"/>
        <v>0</v>
      </c>
      <c r="AU10" s="539">
        <f t="shared" si="4"/>
        <v>0</v>
      </c>
      <c r="AV10" s="539">
        <f t="shared" si="4"/>
        <v>0</v>
      </c>
      <c r="AW10" s="539">
        <f t="shared" ref="AW10:CB10" si="5">+IF(AND($C10&lt;AW$2, $F10&gt;AW$2), $A10/$E$4, 0)</f>
        <v>0</v>
      </c>
      <c r="AX10" s="539">
        <f t="shared" si="5"/>
        <v>0</v>
      </c>
      <c r="AY10" s="539">
        <f t="shared" si="5"/>
        <v>0</v>
      </c>
      <c r="AZ10" s="539">
        <f t="shared" si="5"/>
        <v>0</v>
      </c>
      <c r="BA10" s="539">
        <f t="shared" si="5"/>
        <v>0</v>
      </c>
      <c r="BB10" s="539">
        <f t="shared" si="5"/>
        <v>0</v>
      </c>
      <c r="BC10" s="539">
        <f t="shared" si="5"/>
        <v>0</v>
      </c>
      <c r="BD10" s="539">
        <f t="shared" si="5"/>
        <v>0</v>
      </c>
      <c r="BE10" s="539">
        <f t="shared" si="5"/>
        <v>0</v>
      </c>
      <c r="BF10" s="539">
        <f t="shared" si="5"/>
        <v>0</v>
      </c>
      <c r="BG10" s="539">
        <f t="shared" si="5"/>
        <v>0</v>
      </c>
      <c r="BH10" s="539">
        <f t="shared" si="5"/>
        <v>0</v>
      </c>
      <c r="BI10" s="539">
        <f t="shared" si="5"/>
        <v>0</v>
      </c>
      <c r="BJ10" s="539">
        <f t="shared" si="5"/>
        <v>0</v>
      </c>
      <c r="BK10" s="539">
        <f t="shared" si="5"/>
        <v>0</v>
      </c>
      <c r="BL10" s="539">
        <f t="shared" si="5"/>
        <v>0</v>
      </c>
      <c r="BM10" s="539">
        <f t="shared" si="5"/>
        <v>0</v>
      </c>
      <c r="BN10" s="539">
        <f t="shared" si="5"/>
        <v>0</v>
      </c>
      <c r="BO10" s="539">
        <f t="shared" si="5"/>
        <v>0</v>
      </c>
      <c r="BP10" s="539">
        <f t="shared" si="5"/>
        <v>0</v>
      </c>
      <c r="BQ10" s="539">
        <f t="shared" si="5"/>
        <v>0</v>
      </c>
      <c r="BR10" s="539">
        <f t="shared" si="5"/>
        <v>0</v>
      </c>
      <c r="BS10" s="539">
        <f t="shared" si="5"/>
        <v>0</v>
      </c>
      <c r="BT10" s="539">
        <f t="shared" si="5"/>
        <v>0</v>
      </c>
      <c r="BU10" s="539">
        <f t="shared" si="5"/>
        <v>0</v>
      </c>
      <c r="BV10" s="539">
        <f t="shared" si="5"/>
        <v>0</v>
      </c>
      <c r="BW10" s="539">
        <f t="shared" si="5"/>
        <v>0</v>
      </c>
      <c r="BX10" s="539">
        <f t="shared" si="5"/>
        <v>0</v>
      </c>
      <c r="BY10" s="539">
        <f t="shared" si="5"/>
        <v>0</v>
      </c>
      <c r="BZ10" s="539">
        <f t="shared" si="5"/>
        <v>0</v>
      </c>
      <c r="CA10" s="539">
        <f t="shared" si="5"/>
        <v>0</v>
      </c>
      <c r="CB10" s="539">
        <f t="shared" si="5"/>
        <v>0</v>
      </c>
      <c r="CC10" s="539">
        <f t="shared" ref="CC10:CL10" si="6">+IF(AND($C10&lt;CC$2, $F10&gt;CC$2), $A10/$E$4, 0)</f>
        <v>0</v>
      </c>
      <c r="CD10" s="539">
        <f t="shared" si="6"/>
        <v>0</v>
      </c>
      <c r="CE10" s="539">
        <f t="shared" si="6"/>
        <v>0</v>
      </c>
      <c r="CF10" s="539">
        <f t="shared" si="6"/>
        <v>0</v>
      </c>
      <c r="CG10" s="539">
        <f t="shared" si="6"/>
        <v>0</v>
      </c>
      <c r="CH10" s="539">
        <f t="shared" si="6"/>
        <v>0</v>
      </c>
      <c r="CI10" s="539">
        <f t="shared" si="6"/>
        <v>0</v>
      </c>
      <c r="CJ10" s="539">
        <f t="shared" si="6"/>
        <v>0</v>
      </c>
      <c r="CK10" s="539">
        <f t="shared" si="6"/>
        <v>0</v>
      </c>
      <c r="CL10" s="540">
        <f t="shared" si="6"/>
        <v>0</v>
      </c>
    </row>
    <row r="11" spans="1:90" s="478" customFormat="1" hidden="1" outlineLevel="1" x14ac:dyDescent="0.25">
      <c r="A11" s="535">
        <v>15430</v>
      </c>
      <c r="B11" s="738"/>
      <c r="C11" s="536">
        <v>45413</v>
      </c>
      <c r="D11" s="537">
        <f t="shared" ref="D11:D35" si="7">+EOMONTH(C11,0)</f>
        <v>45443</v>
      </c>
      <c r="E11" s="478" t="s">
        <v>370</v>
      </c>
      <c r="F11" s="538">
        <f t="shared" ref="F11:F12" si="8">+EOMONTH(C11, $E$4)</f>
        <v>45535</v>
      </c>
      <c r="G11" s="495">
        <v>0</v>
      </c>
      <c r="H11" s="496">
        <v>0</v>
      </c>
      <c r="I11" s="496">
        <v>0</v>
      </c>
      <c r="J11" s="496">
        <v>0</v>
      </c>
      <c r="K11" s="496">
        <v>5143.33</v>
      </c>
      <c r="L11" s="496">
        <v>10286.67</v>
      </c>
      <c r="M11" s="496">
        <v>0</v>
      </c>
      <c r="N11" s="496">
        <v>0</v>
      </c>
      <c r="O11" s="496">
        <v>0</v>
      </c>
      <c r="P11" s="496">
        <v>0</v>
      </c>
      <c r="Q11" s="496">
        <f t="shared" ref="Q11:AV11" si="9">+IF(AND($C11&lt;Q$2, $F11&gt;Q$2), $A$11/$E$4, 0)</f>
        <v>0</v>
      </c>
      <c r="R11" s="496">
        <f t="shared" si="9"/>
        <v>0</v>
      </c>
      <c r="S11" s="539">
        <f t="shared" si="9"/>
        <v>0</v>
      </c>
      <c r="T11" s="539">
        <f t="shared" si="9"/>
        <v>0</v>
      </c>
      <c r="U11" s="539">
        <f t="shared" si="9"/>
        <v>0</v>
      </c>
      <c r="V11" s="539">
        <f t="shared" si="9"/>
        <v>0</v>
      </c>
      <c r="W11" s="539">
        <f t="shared" si="9"/>
        <v>0</v>
      </c>
      <c r="X11" s="540">
        <f t="shared" si="9"/>
        <v>0</v>
      </c>
      <c r="Y11" s="539">
        <f t="shared" si="9"/>
        <v>0</v>
      </c>
      <c r="Z11" s="539">
        <f t="shared" si="9"/>
        <v>0</v>
      </c>
      <c r="AA11" s="539">
        <f t="shared" si="9"/>
        <v>0</v>
      </c>
      <c r="AB11" s="539">
        <f t="shared" si="9"/>
        <v>0</v>
      </c>
      <c r="AC11" s="539">
        <f t="shared" si="9"/>
        <v>0</v>
      </c>
      <c r="AD11" s="539">
        <f t="shared" si="9"/>
        <v>0</v>
      </c>
      <c r="AE11" s="539">
        <f t="shared" si="9"/>
        <v>0</v>
      </c>
      <c r="AF11" s="539">
        <f t="shared" si="9"/>
        <v>0</v>
      </c>
      <c r="AG11" s="539">
        <f t="shared" si="9"/>
        <v>0</v>
      </c>
      <c r="AH11" s="539">
        <f t="shared" si="9"/>
        <v>0</v>
      </c>
      <c r="AI11" s="539">
        <f t="shared" si="9"/>
        <v>0</v>
      </c>
      <c r="AJ11" s="539">
        <f t="shared" si="9"/>
        <v>0</v>
      </c>
      <c r="AK11" s="539">
        <f t="shared" si="9"/>
        <v>0</v>
      </c>
      <c r="AL11" s="539">
        <f t="shared" si="9"/>
        <v>0</v>
      </c>
      <c r="AM11" s="539">
        <f t="shared" si="9"/>
        <v>0</v>
      </c>
      <c r="AN11" s="539">
        <f t="shared" si="9"/>
        <v>0</v>
      </c>
      <c r="AO11" s="539">
        <f t="shared" si="9"/>
        <v>0</v>
      </c>
      <c r="AP11" s="539">
        <f t="shared" si="9"/>
        <v>0</v>
      </c>
      <c r="AQ11" s="539">
        <f t="shared" si="9"/>
        <v>0</v>
      </c>
      <c r="AR11" s="539">
        <f t="shared" si="9"/>
        <v>0</v>
      </c>
      <c r="AS11" s="539">
        <f t="shared" si="9"/>
        <v>0</v>
      </c>
      <c r="AT11" s="539">
        <f t="shared" si="9"/>
        <v>0</v>
      </c>
      <c r="AU11" s="539">
        <f t="shared" si="9"/>
        <v>0</v>
      </c>
      <c r="AV11" s="539">
        <f t="shared" si="9"/>
        <v>0</v>
      </c>
      <c r="AW11" s="539">
        <f t="shared" ref="AW11:CB11" si="10">+IF(AND($C11&lt;AW$2, $F11&gt;AW$2), $A$11/$E$4, 0)</f>
        <v>0</v>
      </c>
      <c r="AX11" s="539">
        <f t="shared" si="10"/>
        <v>0</v>
      </c>
      <c r="AY11" s="539">
        <f t="shared" si="10"/>
        <v>0</v>
      </c>
      <c r="AZ11" s="539">
        <f t="shared" si="10"/>
        <v>0</v>
      </c>
      <c r="BA11" s="539">
        <f t="shared" si="10"/>
        <v>0</v>
      </c>
      <c r="BB11" s="539">
        <f t="shared" si="10"/>
        <v>0</v>
      </c>
      <c r="BC11" s="539">
        <f t="shared" si="10"/>
        <v>0</v>
      </c>
      <c r="BD11" s="539">
        <f t="shared" si="10"/>
        <v>0</v>
      </c>
      <c r="BE11" s="539">
        <f t="shared" si="10"/>
        <v>0</v>
      </c>
      <c r="BF11" s="539">
        <f t="shared" si="10"/>
        <v>0</v>
      </c>
      <c r="BG11" s="539">
        <f t="shared" si="10"/>
        <v>0</v>
      </c>
      <c r="BH11" s="539">
        <f t="shared" si="10"/>
        <v>0</v>
      </c>
      <c r="BI11" s="539">
        <f t="shared" si="10"/>
        <v>0</v>
      </c>
      <c r="BJ11" s="539">
        <f t="shared" si="10"/>
        <v>0</v>
      </c>
      <c r="BK11" s="539">
        <f t="shared" si="10"/>
        <v>0</v>
      </c>
      <c r="BL11" s="539">
        <f t="shared" si="10"/>
        <v>0</v>
      </c>
      <c r="BM11" s="539">
        <f t="shared" si="10"/>
        <v>0</v>
      </c>
      <c r="BN11" s="539">
        <f t="shared" si="10"/>
        <v>0</v>
      </c>
      <c r="BO11" s="539">
        <f t="shared" si="10"/>
        <v>0</v>
      </c>
      <c r="BP11" s="539">
        <f t="shared" si="10"/>
        <v>0</v>
      </c>
      <c r="BQ11" s="539">
        <f t="shared" si="10"/>
        <v>0</v>
      </c>
      <c r="BR11" s="539">
        <f t="shared" si="10"/>
        <v>0</v>
      </c>
      <c r="BS11" s="539">
        <f t="shared" si="10"/>
        <v>0</v>
      </c>
      <c r="BT11" s="539">
        <f t="shared" si="10"/>
        <v>0</v>
      </c>
      <c r="BU11" s="539">
        <f t="shared" si="10"/>
        <v>0</v>
      </c>
      <c r="BV11" s="539">
        <f t="shared" si="10"/>
        <v>0</v>
      </c>
      <c r="BW11" s="539">
        <f t="shared" si="10"/>
        <v>0</v>
      </c>
      <c r="BX11" s="539">
        <f t="shared" si="10"/>
        <v>0</v>
      </c>
      <c r="BY11" s="539">
        <f t="shared" si="10"/>
        <v>0</v>
      </c>
      <c r="BZ11" s="539">
        <f t="shared" si="10"/>
        <v>0</v>
      </c>
      <c r="CA11" s="539">
        <f t="shared" si="10"/>
        <v>0</v>
      </c>
      <c r="CB11" s="539">
        <f t="shared" si="10"/>
        <v>0</v>
      </c>
      <c r="CC11" s="539">
        <f t="shared" ref="CC11:CL11" si="11">+IF(AND($C11&lt;CC$2, $F11&gt;CC$2), $A$11/$E$4, 0)</f>
        <v>0</v>
      </c>
      <c r="CD11" s="539">
        <f t="shared" si="11"/>
        <v>0</v>
      </c>
      <c r="CE11" s="539">
        <f t="shared" si="11"/>
        <v>0</v>
      </c>
      <c r="CF11" s="539">
        <f t="shared" si="11"/>
        <v>0</v>
      </c>
      <c r="CG11" s="539">
        <f t="shared" si="11"/>
        <v>0</v>
      </c>
      <c r="CH11" s="539">
        <f t="shared" si="11"/>
        <v>0</v>
      </c>
      <c r="CI11" s="539">
        <f t="shared" si="11"/>
        <v>0</v>
      </c>
      <c r="CJ11" s="539">
        <f t="shared" si="11"/>
        <v>0</v>
      </c>
      <c r="CK11" s="539">
        <f t="shared" si="11"/>
        <v>0</v>
      </c>
      <c r="CL11" s="540">
        <f t="shared" si="11"/>
        <v>0</v>
      </c>
    </row>
    <row r="12" spans="1:90" s="478" customFormat="1" hidden="1" outlineLevel="1" x14ac:dyDescent="0.25">
      <c r="A12" s="535">
        <f>935+27.96</f>
        <v>962.96</v>
      </c>
      <c r="B12" s="738"/>
      <c r="C12" s="536">
        <v>45413</v>
      </c>
      <c r="D12" s="537">
        <f t="shared" si="7"/>
        <v>45443</v>
      </c>
      <c r="E12" s="478" t="s">
        <v>452</v>
      </c>
      <c r="F12" s="538">
        <f t="shared" si="8"/>
        <v>45535</v>
      </c>
      <c r="G12" s="495">
        <v>0</v>
      </c>
      <c r="H12" s="496">
        <v>0</v>
      </c>
      <c r="I12" s="496">
        <v>0</v>
      </c>
      <c r="J12" s="496">
        <v>0</v>
      </c>
      <c r="K12" s="496">
        <v>320.99</v>
      </c>
      <c r="L12" s="496">
        <v>641.97</v>
      </c>
      <c r="M12" s="496">
        <v>0</v>
      </c>
      <c r="N12" s="496">
        <v>0</v>
      </c>
      <c r="O12" s="496">
        <v>0</v>
      </c>
      <c r="P12" s="496">
        <v>0</v>
      </c>
      <c r="Q12" s="496">
        <f t="shared" ref="Q12:Z17" si="12">+IF(AND($C12&lt;Q$2, $F12&gt;Q$2), $A12/$E$4, 0)</f>
        <v>0</v>
      </c>
      <c r="R12" s="496">
        <f t="shared" si="12"/>
        <v>0</v>
      </c>
      <c r="S12" s="539">
        <f t="shared" si="12"/>
        <v>0</v>
      </c>
      <c r="T12" s="539">
        <f t="shared" si="12"/>
        <v>0</v>
      </c>
      <c r="U12" s="539">
        <f t="shared" si="12"/>
        <v>0</v>
      </c>
      <c r="V12" s="539">
        <f t="shared" si="12"/>
        <v>0</v>
      </c>
      <c r="W12" s="539">
        <f t="shared" si="12"/>
        <v>0</v>
      </c>
      <c r="X12" s="540">
        <f t="shared" si="12"/>
        <v>0</v>
      </c>
      <c r="Y12" s="539">
        <f t="shared" si="12"/>
        <v>0</v>
      </c>
      <c r="Z12" s="539">
        <f t="shared" si="12"/>
        <v>0</v>
      </c>
      <c r="AA12" s="539">
        <f t="shared" ref="AA12:AJ17" si="13">+IF(AND($C12&lt;AA$2, $F12&gt;AA$2), $A12/$E$4, 0)</f>
        <v>0</v>
      </c>
      <c r="AB12" s="539">
        <f t="shared" si="13"/>
        <v>0</v>
      </c>
      <c r="AC12" s="539">
        <f t="shared" si="13"/>
        <v>0</v>
      </c>
      <c r="AD12" s="539">
        <f t="shared" si="13"/>
        <v>0</v>
      </c>
      <c r="AE12" s="539">
        <f t="shared" si="13"/>
        <v>0</v>
      </c>
      <c r="AF12" s="539">
        <f t="shared" si="13"/>
        <v>0</v>
      </c>
      <c r="AG12" s="539">
        <f t="shared" si="13"/>
        <v>0</v>
      </c>
      <c r="AH12" s="539">
        <f t="shared" si="13"/>
        <v>0</v>
      </c>
      <c r="AI12" s="539">
        <f t="shared" si="13"/>
        <v>0</v>
      </c>
      <c r="AJ12" s="539">
        <f t="shared" si="13"/>
        <v>0</v>
      </c>
      <c r="AK12" s="539">
        <f t="shared" ref="AK12:AT17" si="14">+IF(AND($C12&lt;AK$2, $F12&gt;AK$2), $A12/$E$4, 0)</f>
        <v>0</v>
      </c>
      <c r="AL12" s="539">
        <f t="shared" si="14"/>
        <v>0</v>
      </c>
      <c r="AM12" s="539">
        <f t="shared" si="14"/>
        <v>0</v>
      </c>
      <c r="AN12" s="539">
        <f t="shared" si="14"/>
        <v>0</v>
      </c>
      <c r="AO12" s="539">
        <f t="shared" si="14"/>
        <v>0</v>
      </c>
      <c r="AP12" s="539">
        <f t="shared" si="14"/>
        <v>0</v>
      </c>
      <c r="AQ12" s="539">
        <f t="shared" si="14"/>
        <v>0</v>
      </c>
      <c r="AR12" s="539">
        <f t="shared" si="14"/>
        <v>0</v>
      </c>
      <c r="AS12" s="539">
        <f t="shared" si="14"/>
        <v>0</v>
      </c>
      <c r="AT12" s="539">
        <f t="shared" si="14"/>
        <v>0</v>
      </c>
      <c r="AU12" s="539">
        <f t="shared" ref="AU12:BD17" si="15">+IF(AND($C12&lt;AU$2, $F12&gt;AU$2), $A12/$E$4, 0)</f>
        <v>0</v>
      </c>
      <c r="AV12" s="539">
        <f t="shared" si="15"/>
        <v>0</v>
      </c>
      <c r="AW12" s="539">
        <f t="shared" si="15"/>
        <v>0</v>
      </c>
      <c r="AX12" s="539">
        <f t="shared" si="15"/>
        <v>0</v>
      </c>
      <c r="AY12" s="539">
        <f t="shared" si="15"/>
        <v>0</v>
      </c>
      <c r="AZ12" s="539">
        <f t="shared" si="15"/>
        <v>0</v>
      </c>
      <c r="BA12" s="539">
        <f t="shared" si="15"/>
        <v>0</v>
      </c>
      <c r="BB12" s="539">
        <f t="shared" si="15"/>
        <v>0</v>
      </c>
      <c r="BC12" s="539">
        <f t="shared" si="15"/>
        <v>0</v>
      </c>
      <c r="BD12" s="539">
        <f t="shared" si="15"/>
        <v>0</v>
      </c>
      <c r="BE12" s="539">
        <f t="shared" ref="BE12:BN17" si="16">+IF(AND($C12&lt;BE$2, $F12&gt;BE$2), $A12/$E$4, 0)</f>
        <v>0</v>
      </c>
      <c r="BF12" s="539">
        <f t="shared" si="16"/>
        <v>0</v>
      </c>
      <c r="BG12" s="539">
        <f t="shared" si="16"/>
        <v>0</v>
      </c>
      <c r="BH12" s="539">
        <f t="shared" si="16"/>
        <v>0</v>
      </c>
      <c r="BI12" s="539">
        <f t="shared" si="16"/>
        <v>0</v>
      </c>
      <c r="BJ12" s="539">
        <f t="shared" si="16"/>
        <v>0</v>
      </c>
      <c r="BK12" s="539">
        <f t="shared" si="16"/>
        <v>0</v>
      </c>
      <c r="BL12" s="539">
        <f t="shared" si="16"/>
        <v>0</v>
      </c>
      <c r="BM12" s="539">
        <f t="shared" si="16"/>
        <v>0</v>
      </c>
      <c r="BN12" s="539">
        <f t="shared" si="16"/>
        <v>0</v>
      </c>
      <c r="BO12" s="539">
        <f t="shared" ref="BO12:BX17" si="17">+IF(AND($C12&lt;BO$2, $F12&gt;BO$2), $A12/$E$4, 0)</f>
        <v>0</v>
      </c>
      <c r="BP12" s="539">
        <f t="shared" si="17"/>
        <v>0</v>
      </c>
      <c r="BQ12" s="539">
        <f t="shared" si="17"/>
        <v>0</v>
      </c>
      <c r="BR12" s="539">
        <f t="shared" si="17"/>
        <v>0</v>
      </c>
      <c r="BS12" s="539">
        <f t="shared" si="17"/>
        <v>0</v>
      </c>
      <c r="BT12" s="539">
        <f t="shared" si="17"/>
        <v>0</v>
      </c>
      <c r="BU12" s="539">
        <f t="shared" si="17"/>
        <v>0</v>
      </c>
      <c r="BV12" s="539">
        <f t="shared" si="17"/>
        <v>0</v>
      </c>
      <c r="BW12" s="539">
        <f t="shared" si="17"/>
        <v>0</v>
      </c>
      <c r="BX12" s="539">
        <f t="shared" si="17"/>
        <v>0</v>
      </c>
      <c r="BY12" s="539">
        <f t="shared" ref="BY12:CL17" si="18">+IF(AND($C12&lt;BY$2, $F12&gt;BY$2), $A12/$E$4, 0)</f>
        <v>0</v>
      </c>
      <c r="BZ12" s="539">
        <f t="shared" si="18"/>
        <v>0</v>
      </c>
      <c r="CA12" s="539">
        <f t="shared" si="18"/>
        <v>0</v>
      </c>
      <c r="CB12" s="539">
        <f t="shared" si="18"/>
        <v>0</v>
      </c>
      <c r="CC12" s="539">
        <f t="shared" si="18"/>
        <v>0</v>
      </c>
      <c r="CD12" s="539">
        <f t="shared" si="18"/>
        <v>0</v>
      </c>
      <c r="CE12" s="539">
        <f t="shared" si="18"/>
        <v>0</v>
      </c>
      <c r="CF12" s="539">
        <f t="shared" si="18"/>
        <v>0</v>
      </c>
      <c r="CG12" s="539">
        <f t="shared" si="18"/>
        <v>0</v>
      </c>
      <c r="CH12" s="539">
        <f t="shared" si="18"/>
        <v>0</v>
      </c>
      <c r="CI12" s="539">
        <f t="shared" si="18"/>
        <v>0</v>
      </c>
      <c r="CJ12" s="539">
        <f t="shared" si="18"/>
        <v>0</v>
      </c>
      <c r="CK12" s="539">
        <f t="shared" si="18"/>
        <v>0</v>
      </c>
      <c r="CL12" s="540">
        <f t="shared" si="18"/>
        <v>0</v>
      </c>
    </row>
    <row r="13" spans="1:90" s="478" customFormat="1" hidden="1" outlineLevel="1" x14ac:dyDescent="0.25">
      <c r="A13" s="535">
        <v>700</v>
      </c>
      <c r="B13" s="738"/>
      <c r="C13" s="536">
        <v>45491</v>
      </c>
      <c r="D13" s="537">
        <f t="shared" si="7"/>
        <v>45504</v>
      </c>
      <c r="E13" s="478" t="s">
        <v>475</v>
      </c>
      <c r="F13" s="538">
        <f>+EOMONTH(C13, 1)</f>
        <v>45535</v>
      </c>
      <c r="G13" s="495">
        <v>0</v>
      </c>
      <c r="H13" s="496">
        <v>0</v>
      </c>
      <c r="I13" s="496">
        <v>0</v>
      </c>
      <c r="J13" s="496">
        <v>0</v>
      </c>
      <c r="K13" s="496">
        <v>0</v>
      </c>
      <c r="L13" s="496">
        <v>0</v>
      </c>
      <c r="M13" s="496">
        <v>700</v>
      </c>
      <c r="N13" s="496">
        <v>0</v>
      </c>
      <c r="O13" s="496">
        <v>0</v>
      </c>
      <c r="P13" s="496">
        <v>0</v>
      </c>
      <c r="Q13" s="496">
        <f t="shared" si="12"/>
        <v>0</v>
      </c>
      <c r="R13" s="496">
        <f t="shared" si="12"/>
        <v>0</v>
      </c>
      <c r="S13" s="539">
        <f t="shared" si="12"/>
        <v>0</v>
      </c>
      <c r="T13" s="539">
        <f t="shared" si="12"/>
        <v>0</v>
      </c>
      <c r="U13" s="539">
        <f t="shared" si="12"/>
        <v>0</v>
      </c>
      <c r="V13" s="539">
        <f t="shared" si="12"/>
        <v>0</v>
      </c>
      <c r="W13" s="539">
        <f t="shared" si="12"/>
        <v>0</v>
      </c>
      <c r="X13" s="540">
        <f t="shared" si="12"/>
        <v>0</v>
      </c>
      <c r="Y13" s="539">
        <f t="shared" si="12"/>
        <v>0</v>
      </c>
      <c r="Z13" s="539">
        <f t="shared" si="12"/>
        <v>0</v>
      </c>
      <c r="AA13" s="539">
        <f t="shared" si="13"/>
        <v>0</v>
      </c>
      <c r="AB13" s="539">
        <f t="shared" si="13"/>
        <v>0</v>
      </c>
      <c r="AC13" s="539">
        <f t="shared" si="13"/>
        <v>0</v>
      </c>
      <c r="AD13" s="539">
        <f t="shared" si="13"/>
        <v>0</v>
      </c>
      <c r="AE13" s="539">
        <f t="shared" si="13"/>
        <v>0</v>
      </c>
      <c r="AF13" s="539">
        <f t="shared" si="13"/>
        <v>0</v>
      </c>
      <c r="AG13" s="539">
        <f t="shared" si="13"/>
        <v>0</v>
      </c>
      <c r="AH13" s="539">
        <f t="shared" si="13"/>
        <v>0</v>
      </c>
      <c r="AI13" s="539">
        <f t="shared" si="13"/>
        <v>0</v>
      </c>
      <c r="AJ13" s="539">
        <f t="shared" si="13"/>
        <v>0</v>
      </c>
      <c r="AK13" s="539">
        <f t="shared" si="14"/>
        <v>0</v>
      </c>
      <c r="AL13" s="539">
        <f t="shared" si="14"/>
        <v>0</v>
      </c>
      <c r="AM13" s="539">
        <f t="shared" si="14"/>
        <v>0</v>
      </c>
      <c r="AN13" s="539">
        <f t="shared" si="14"/>
        <v>0</v>
      </c>
      <c r="AO13" s="539">
        <f t="shared" si="14"/>
        <v>0</v>
      </c>
      <c r="AP13" s="539">
        <f t="shared" si="14"/>
        <v>0</v>
      </c>
      <c r="AQ13" s="539">
        <f t="shared" si="14"/>
        <v>0</v>
      </c>
      <c r="AR13" s="539">
        <f t="shared" si="14"/>
        <v>0</v>
      </c>
      <c r="AS13" s="539">
        <f t="shared" si="14"/>
        <v>0</v>
      </c>
      <c r="AT13" s="539">
        <f t="shared" si="14"/>
        <v>0</v>
      </c>
      <c r="AU13" s="539">
        <f t="shared" si="15"/>
        <v>0</v>
      </c>
      <c r="AV13" s="539">
        <f t="shared" si="15"/>
        <v>0</v>
      </c>
      <c r="AW13" s="539">
        <f t="shared" si="15"/>
        <v>0</v>
      </c>
      <c r="AX13" s="539">
        <f t="shared" si="15"/>
        <v>0</v>
      </c>
      <c r="AY13" s="539">
        <f t="shared" si="15"/>
        <v>0</v>
      </c>
      <c r="AZ13" s="539">
        <f t="shared" si="15"/>
        <v>0</v>
      </c>
      <c r="BA13" s="539">
        <f t="shared" si="15"/>
        <v>0</v>
      </c>
      <c r="BB13" s="539">
        <f t="shared" si="15"/>
        <v>0</v>
      </c>
      <c r="BC13" s="539">
        <f t="shared" si="15"/>
        <v>0</v>
      </c>
      <c r="BD13" s="539">
        <f t="shared" si="15"/>
        <v>0</v>
      </c>
      <c r="BE13" s="539">
        <f t="shared" si="16"/>
        <v>0</v>
      </c>
      <c r="BF13" s="539">
        <f t="shared" si="16"/>
        <v>0</v>
      </c>
      <c r="BG13" s="539">
        <f t="shared" si="16"/>
        <v>0</v>
      </c>
      <c r="BH13" s="539">
        <f t="shared" si="16"/>
        <v>0</v>
      </c>
      <c r="BI13" s="539">
        <f t="shared" si="16"/>
        <v>0</v>
      </c>
      <c r="BJ13" s="539">
        <f t="shared" si="16"/>
        <v>0</v>
      </c>
      <c r="BK13" s="539">
        <f t="shared" si="16"/>
        <v>0</v>
      </c>
      <c r="BL13" s="539">
        <f t="shared" si="16"/>
        <v>0</v>
      </c>
      <c r="BM13" s="539">
        <f t="shared" si="16"/>
        <v>0</v>
      </c>
      <c r="BN13" s="539">
        <f t="shared" si="16"/>
        <v>0</v>
      </c>
      <c r="BO13" s="539">
        <f t="shared" si="17"/>
        <v>0</v>
      </c>
      <c r="BP13" s="539">
        <f t="shared" si="17"/>
        <v>0</v>
      </c>
      <c r="BQ13" s="539">
        <f t="shared" si="17"/>
        <v>0</v>
      </c>
      <c r="BR13" s="539">
        <f t="shared" si="17"/>
        <v>0</v>
      </c>
      <c r="BS13" s="539">
        <f t="shared" si="17"/>
        <v>0</v>
      </c>
      <c r="BT13" s="539">
        <f t="shared" si="17"/>
        <v>0</v>
      </c>
      <c r="BU13" s="539">
        <f t="shared" si="17"/>
        <v>0</v>
      </c>
      <c r="BV13" s="539">
        <f t="shared" si="17"/>
        <v>0</v>
      </c>
      <c r="BW13" s="539">
        <f t="shared" si="17"/>
        <v>0</v>
      </c>
      <c r="BX13" s="539">
        <f t="shared" si="17"/>
        <v>0</v>
      </c>
      <c r="BY13" s="539">
        <f t="shared" si="18"/>
        <v>0</v>
      </c>
      <c r="BZ13" s="539">
        <f t="shared" si="18"/>
        <v>0</v>
      </c>
      <c r="CA13" s="539">
        <f t="shared" si="18"/>
        <v>0</v>
      </c>
      <c r="CB13" s="539">
        <f t="shared" si="18"/>
        <v>0</v>
      </c>
      <c r="CC13" s="539">
        <f t="shared" si="18"/>
        <v>0</v>
      </c>
      <c r="CD13" s="539">
        <f t="shared" si="18"/>
        <v>0</v>
      </c>
      <c r="CE13" s="539">
        <f t="shared" si="18"/>
        <v>0</v>
      </c>
      <c r="CF13" s="539">
        <f t="shared" si="18"/>
        <v>0</v>
      </c>
      <c r="CG13" s="539">
        <f t="shared" si="18"/>
        <v>0</v>
      </c>
      <c r="CH13" s="539">
        <f t="shared" si="18"/>
        <v>0</v>
      </c>
      <c r="CI13" s="539">
        <f t="shared" si="18"/>
        <v>0</v>
      </c>
      <c r="CJ13" s="539">
        <f t="shared" si="18"/>
        <v>0</v>
      </c>
      <c r="CK13" s="539">
        <f t="shared" si="18"/>
        <v>0</v>
      </c>
      <c r="CL13" s="540">
        <f t="shared" si="18"/>
        <v>0</v>
      </c>
    </row>
    <row r="14" spans="1:90" s="619" customFormat="1" hidden="1" outlineLevel="1" x14ac:dyDescent="0.25">
      <c r="A14" s="617">
        <v>33150</v>
      </c>
      <c r="B14" s="739"/>
      <c r="C14" s="618">
        <v>45499</v>
      </c>
      <c r="D14" s="618">
        <f>+EOMONTH(C14,0)</f>
        <v>45504</v>
      </c>
      <c r="E14" s="619" t="s">
        <v>481</v>
      </c>
      <c r="F14" s="618">
        <f>+EOMONTH(C14, 0)</f>
        <v>45504</v>
      </c>
      <c r="G14" s="614">
        <v>0</v>
      </c>
      <c r="H14" s="615">
        <v>0</v>
      </c>
      <c r="I14" s="615">
        <v>0</v>
      </c>
      <c r="J14" s="615">
        <v>0</v>
      </c>
      <c r="K14" s="615">
        <v>0</v>
      </c>
      <c r="L14" s="615">
        <v>0</v>
      </c>
      <c r="M14" s="615">
        <v>0</v>
      </c>
      <c r="N14" s="615">
        <v>0</v>
      </c>
      <c r="O14" s="615">
        <v>0</v>
      </c>
      <c r="P14" s="615">
        <v>0</v>
      </c>
      <c r="Q14" s="615">
        <f t="shared" si="12"/>
        <v>0</v>
      </c>
      <c r="R14" s="615">
        <f t="shared" si="12"/>
        <v>0</v>
      </c>
      <c r="S14" s="615">
        <f t="shared" si="12"/>
        <v>0</v>
      </c>
      <c r="T14" s="615">
        <f t="shared" si="12"/>
        <v>0</v>
      </c>
      <c r="U14" s="615">
        <f t="shared" si="12"/>
        <v>0</v>
      </c>
      <c r="V14" s="615">
        <f t="shared" si="12"/>
        <v>0</v>
      </c>
      <c r="W14" s="615">
        <f t="shared" si="12"/>
        <v>0</v>
      </c>
      <c r="X14" s="616">
        <f t="shared" si="12"/>
        <v>0</v>
      </c>
      <c r="Y14" s="615">
        <f t="shared" si="12"/>
        <v>0</v>
      </c>
      <c r="Z14" s="615">
        <f t="shared" si="12"/>
        <v>0</v>
      </c>
      <c r="AA14" s="615">
        <f t="shared" si="13"/>
        <v>0</v>
      </c>
      <c r="AB14" s="615">
        <f t="shared" si="13"/>
        <v>0</v>
      </c>
      <c r="AC14" s="615">
        <f t="shared" si="13"/>
        <v>0</v>
      </c>
      <c r="AD14" s="615">
        <f t="shared" si="13"/>
        <v>0</v>
      </c>
      <c r="AE14" s="615">
        <f t="shared" si="13"/>
        <v>0</v>
      </c>
      <c r="AF14" s="615">
        <f t="shared" si="13"/>
        <v>0</v>
      </c>
      <c r="AG14" s="615">
        <f t="shared" si="13"/>
        <v>0</v>
      </c>
      <c r="AH14" s="615">
        <f t="shared" si="13"/>
        <v>0</v>
      </c>
      <c r="AI14" s="615">
        <f t="shared" si="13"/>
        <v>0</v>
      </c>
      <c r="AJ14" s="615">
        <f t="shared" si="13"/>
        <v>0</v>
      </c>
      <c r="AK14" s="615">
        <f t="shared" si="14"/>
        <v>0</v>
      </c>
      <c r="AL14" s="615">
        <f t="shared" si="14"/>
        <v>0</v>
      </c>
      <c r="AM14" s="615">
        <f t="shared" si="14"/>
        <v>0</v>
      </c>
      <c r="AN14" s="615">
        <f t="shared" si="14"/>
        <v>0</v>
      </c>
      <c r="AO14" s="615">
        <f t="shared" si="14"/>
        <v>0</v>
      </c>
      <c r="AP14" s="615">
        <f t="shared" si="14"/>
        <v>0</v>
      </c>
      <c r="AQ14" s="615">
        <f t="shared" si="14"/>
        <v>0</v>
      </c>
      <c r="AR14" s="615">
        <f t="shared" si="14"/>
        <v>0</v>
      </c>
      <c r="AS14" s="615">
        <f t="shared" si="14"/>
        <v>0</v>
      </c>
      <c r="AT14" s="615">
        <f t="shared" si="14"/>
        <v>0</v>
      </c>
      <c r="AU14" s="615">
        <f t="shared" si="15"/>
        <v>0</v>
      </c>
      <c r="AV14" s="615">
        <f t="shared" si="15"/>
        <v>0</v>
      </c>
      <c r="AW14" s="615">
        <f t="shared" si="15"/>
        <v>0</v>
      </c>
      <c r="AX14" s="615">
        <f t="shared" si="15"/>
        <v>0</v>
      </c>
      <c r="AY14" s="615">
        <f t="shared" si="15"/>
        <v>0</v>
      </c>
      <c r="AZ14" s="615">
        <f t="shared" si="15"/>
        <v>0</v>
      </c>
      <c r="BA14" s="615">
        <f t="shared" si="15"/>
        <v>0</v>
      </c>
      <c r="BB14" s="615">
        <f t="shared" si="15"/>
        <v>0</v>
      </c>
      <c r="BC14" s="615">
        <f t="shared" si="15"/>
        <v>0</v>
      </c>
      <c r="BD14" s="615">
        <f t="shared" si="15"/>
        <v>0</v>
      </c>
      <c r="BE14" s="615">
        <f t="shared" si="16"/>
        <v>0</v>
      </c>
      <c r="BF14" s="615">
        <f t="shared" si="16"/>
        <v>0</v>
      </c>
      <c r="BG14" s="615">
        <f t="shared" si="16"/>
        <v>0</v>
      </c>
      <c r="BH14" s="615">
        <f t="shared" si="16"/>
        <v>0</v>
      </c>
      <c r="BI14" s="615">
        <f t="shared" si="16"/>
        <v>0</v>
      </c>
      <c r="BJ14" s="615">
        <f t="shared" si="16"/>
        <v>0</v>
      </c>
      <c r="BK14" s="615">
        <f t="shared" si="16"/>
        <v>0</v>
      </c>
      <c r="BL14" s="615">
        <f t="shared" si="16"/>
        <v>0</v>
      </c>
      <c r="BM14" s="615">
        <f t="shared" si="16"/>
        <v>0</v>
      </c>
      <c r="BN14" s="615">
        <f t="shared" si="16"/>
        <v>0</v>
      </c>
      <c r="BO14" s="615">
        <f t="shared" si="17"/>
        <v>0</v>
      </c>
      <c r="BP14" s="615">
        <f t="shared" si="17"/>
        <v>0</v>
      </c>
      <c r="BQ14" s="615">
        <f t="shared" si="17"/>
        <v>0</v>
      </c>
      <c r="BR14" s="615">
        <f t="shared" si="17"/>
        <v>0</v>
      </c>
      <c r="BS14" s="615">
        <f t="shared" si="17"/>
        <v>0</v>
      </c>
      <c r="BT14" s="615">
        <f t="shared" si="17"/>
        <v>0</v>
      </c>
      <c r="BU14" s="615">
        <f t="shared" si="17"/>
        <v>0</v>
      </c>
      <c r="BV14" s="615">
        <f t="shared" si="17"/>
        <v>0</v>
      </c>
      <c r="BW14" s="615">
        <f t="shared" si="17"/>
        <v>0</v>
      </c>
      <c r="BX14" s="615">
        <f t="shared" si="17"/>
        <v>0</v>
      </c>
      <c r="BY14" s="615">
        <f t="shared" si="18"/>
        <v>0</v>
      </c>
      <c r="BZ14" s="615">
        <f t="shared" si="18"/>
        <v>0</v>
      </c>
      <c r="CA14" s="615">
        <f t="shared" si="18"/>
        <v>0</v>
      </c>
      <c r="CB14" s="615">
        <f t="shared" si="18"/>
        <v>0</v>
      </c>
      <c r="CC14" s="615">
        <f t="shared" si="18"/>
        <v>0</v>
      </c>
      <c r="CD14" s="615">
        <f t="shared" si="18"/>
        <v>0</v>
      </c>
      <c r="CE14" s="615">
        <f t="shared" si="18"/>
        <v>0</v>
      </c>
      <c r="CF14" s="615">
        <f t="shared" si="18"/>
        <v>0</v>
      </c>
      <c r="CG14" s="615">
        <f t="shared" si="18"/>
        <v>0</v>
      </c>
      <c r="CH14" s="615">
        <f t="shared" si="18"/>
        <v>0</v>
      </c>
      <c r="CI14" s="615">
        <f t="shared" si="18"/>
        <v>0</v>
      </c>
      <c r="CJ14" s="615">
        <f t="shared" si="18"/>
        <v>0</v>
      </c>
      <c r="CK14" s="615">
        <f t="shared" si="18"/>
        <v>0</v>
      </c>
      <c r="CL14" s="616">
        <f t="shared" si="18"/>
        <v>0</v>
      </c>
    </row>
    <row r="15" spans="1:90" s="478" customFormat="1" hidden="1" outlineLevel="1" x14ac:dyDescent="0.25">
      <c r="A15" s="535">
        <v>13800</v>
      </c>
      <c r="B15" s="738"/>
      <c r="C15" s="536">
        <v>45499</v>
      </c>
      <c r="D15" s="537">
        <f t="shared" si="7"/>
        <v>45504</v>
      </c>
      <c r="E15" s="478" t="s">
        <v>480</v>
      </c>
      <c r="F15" s="538">
        <f>+EOMONTH(C15, 1)</f>
        <v>45535</v>
      </c>
      <c r="G15" s="495">
        <v>0</v>
      </c>
      <c r="H15" s="496">
        <v>0</v>
      </c>
      <c r="I15" s="496">
        <v>0</v>
      </c>
      <c r="J15" s="496">
        <v>0</v>
      </c>
      <c r="K15" s="496">
        <v>0</v>
      </c>
      <c r="L15" s="496">
        <v>0</v>
      </c>
      <c r="M15" s="496">
        <v>0</v>
      </c>
      <c r="N15" s="496">
        <v>13800</v>
      </c>
      <c r="O15" s="496">
        <v>0</v>
      </c>
      <c r="P15" s="496">
        <f>+IF(AND($C15&lt;P$2, $F15&gt;P$2), $A15/$E$4, 0)</f>
        <v>0</v>
      </c>
      <c r="Q15" s="496">
        <f t="shared" si="12"/>
        <v>0</v>
      </c>
      <c r="R15" s="496">
        <f t="shared" si="12"/>
        <v>0</v>
      </c>
      <c r="S15" s="539">
        <f t="shared" si="12"/>
        <v>0</v>
      </c>
      <c r="T15" s="539">
        <f t="shared" si="12"/>
        <v>0</v>
      </c>
      <c r="U15" s="539">
        <f t="shared" si="12"/>
        <v>0</v>
      </c>
      <c r="V15" s="539">
        <f t="shared" si="12"/>
        <v>0</v>
      </c>
      <c r="W15" s="539">
        <f t="shared" si="12"/>
        <v>0</v>
      </c>
      <c r="X15" s="540">
        <f t="shared" si="12"/>
        <v>0</v>
      </c>
      <c r="Y15" s="539">
        <f t="shared" si="12"/>
        <v>0</v>
      </c>
      <c r="Z15" s="539">
        <f t="shared" si="12"/>
        <v>0</v>
      </c>
      <c r="AA15" s="539">
        <f t="shared" si="13"/>
        <v>0</v>
      </c>
      <c r="AB15" s="539">
        <f t="shared" si="13"/>
        <v>0</v>
      </c>
      <c r="AC15" s="539">
        <f t="shared" si="13"/>
        <v>0</v>
      </c>
      <c r="AD15" s="539">
        <f t="shared" si="13"/>
        <v>0</v>
      </c>
      <c r="AE15" s="539">
        <f t="shared" si="13"/>
        <v>0</v>
      </c>
      <c r="AF15" s="539">
        <f t="shared" si="13"/>
        <v>0</v>
      </c>
      <c r="AG15" s="539">
        <f t="shared" si="13"/>
        <v>0</v>
      </c>
      <c r="AH15" s="539">
        <f t="shared" si="13"/>
        <v>0</v>
      </c>
      <c r="AI15" s="539">
        <f t="shared" si="13"/>
        <v>0</v>
      </c>
      <c r="AJ15" s="539">
        <f t="shared" si="13"/>
        <v>0</v>
      </c>
      <c r="AK15" s="539">
        <f t="shared" si="14"/>
        <v>0</v>
      </c>
      <c r="AL15" s="539">
        <f t="shared" si="14"/>
        <v>0</v>
      </c>
      <c r="AM15" s="539">
        <f t="shared" si="14"/>
        <v>0</v>
      </c>
      <c r="AN15" s="539">
        <f t="shared" si="14"/>
        <v>0</v>
      </c>
      <c r="AO15" s="539">
        <f t="shared" si="14"/>
        <v>0</v>
      </c>
      <c r="AP15" s="539">
        <f t="shared" si="14"/>
        <v>0</v>
      </c>
      <c r="AQ15" s="539">
        <f t="shared" si="14"/>
        <v>0</v>
      </c>
      <c r="AR15" s="539">
        <f t="shared" si="14"/>
        <v>0</v>
      </c>
      <c r="AS15" s="539">
        <f t="shared" si="14"/>
        <v>0</v>
      </c>
      <c r="AT15" s="539">
        <f t="shared" si="14"/>
        <v>0</v>
      </c>
      <c r="AU15" s="539">
        <f t="shared" si="15"/>
        <v>0</v>
      </c>
      <c r="AV15" s="539">
        <f t="shared" si="15"/>
        <v>0</v>
      </c>
      <c r="AW15" s="539">
        <f t="shared" si="15"/>
        <v>0</v>
      </c>
      <c r="AX15" s="539">
        <f t="shared" si="15"/>
        <v>0</v>
      </c>
      <c r="AY15" s="539">
        <f t="shared" si="15"/>
        <v>0</v>
      </c>
      <c r="AZ15" s="539">
        <f t="shared" si="15"/>
        <v>0</v>
      </c>
      <c r="BA15" s="539">
        <f t="shared" si="15"/>
        <v>0</v>
      </c>
      <c r="BB15" s="539">
        <f t="shared" si="15"/>
        <v>0</v>
      </c>
      <c r="BC15" s="539">
        <f t="shared" si="15"/>
        <v>0</v>
      </c>
      <c r="BD15" s="539">
        <f t="shared" si="15"/>
        <v>0</v>
      </c>
      <c r="BE15" s="539">
        <f t="shared" si="16"/>
        <v>0</v>
      </c>
      <c r="BF15" s="539">
        <f t="shared" si="16"/>
        <v>0</v>
      </c>
      <c r="BG15" s="539">
        <f t="shared" si="16"/>
        <v>0</v>
      </c>
      <c r="BH15" s="539">
        <f t="shared" si="16"/>
        <v>0</v>
      </c>
      <c r="BI15" s="539">
        <f t="shared" si="16"/>
        <v>0</v>
      </c>
      <c r="BJ15" s="539">
        <f t="shared" si="16"/>
        <v>0</v>
      </c>
      <c r="BK15" s="539">
        <f t="shared" si="16"/>
        <v>0</v>
      </c>
      <c r="BL15" s="539">
        <f t="shared" si="16"/>
        <v>0</v>
      </c>
      <c r="BM15" s="539">
        <f t="shared" si="16"/>
        <v>0</v>
      </c>
      <c r="BN15" s="539">
        <f t="shared" si="16"/>
        <v>0</v>
      </c>
      <c r="BO15" s="539">
        <f t="shared" si="17"/>
        <v>0</v>
      </c>
      <c r="BP15" s="539">
        <f t="shared" si="17"/>
        <v>0</v>
      </c>
      <c r="BQ15" s="539">
        <f t="shared" si="17"/>
        <v>0</v>
      </c>
      <c r="BR15" s="539">
        <f t="shared" si="17"/>
        <v>0</v>
      </c>
      <c r="BS15" s="539">
        <f t="shared" si="17"/>
        <v>0</v>
      </c>
      <c r="BT15" s="539">
        <f t="shared" si="17"/>
        <v>0</v>
      </c>
      <c r="BU15" s="539">
        <f t="shared" si="17"/>
        <v>0</v>
      </c>
      <c r="BV15" s="539">
        <f t="shared" si="17"/>
        <v>0</v>
      </c>
      <c r="BW15" s="539">
        <f t="shared" si="17"/>
        <v>0</v>
      </c>
      <c r="BX15" s="539">
        <f t="shared" si="17"/>
        <v>0</v>
      </c>
      <c r="BY15" s="539">
        <f t="shared" si="18"/>
        <v>0</v>
      </c>
      <c r="BZ15" s="539">
        <f t="shared" si="18"/>
        <v>0</v>
      </c>
      <c r="CA15" s="539">
        <f t="shared" si="18"/>
        <v>0</v>
      </c>
      <c r="CB15" s="539">
        <f t="shared" si="18"/>
        <v>0</v>
      </c>
      <c r="CC15" s="539">
        <f t="shared" si="18"/>
        <v>0</v>
      </c>
      <c r="CD15" s="539">
        <f t="shared" si="18"/>
        <v>0</v>
      </c>
      <c r="CE15" s="539">
        <f t="shared" si="18"/>
        <v>0</v>
      </c>
      <c r="CF15" s="539">
        <f t="shared" si="18"/>
        <v>0</v>
      </c>
      <c r="CG15" s="539">
        <f t="shared" si="18"/>
        <v>0</v>
      </c>
      <c r="CH15" s="539">
        <f t="shared" si="18"/>
        <v>0</v>
      </c>
      <c r="CI15" s="539">
        <f t="shared" si="18"/>
        <v>0</v>
      </c>
      <c r="CJ15" s="539">
        <f t="shared" si="18"/>
        <v>0</v>
      </c>
      <c r="CK15" s="539">
        <f t="shared" si="18"/>
        <v>0</v>
      </c>
      <c r="CL15" s="540">
        <f t="shared" si="18"/>
        <v>0</v>
      </c>
    </row>
    <row r="16" spans="1:90" s="478" customFormat="1" hidden="1" outlineLevel="1" x14ac:dyDescent="0.25">
      <c r="A16" s="535">
        <v>7000</v>
      </c>
      <c r="B16" s="738"/>
      <c r="C16" s="536">
        <v>45504</v>
      </c>
      <c r="D16" s="537">
        <f>+EOMONTH(C16,0)</f>
        <v>45504</v>
      </c>
      <c r="E16" s="478" t="s">
        <v>440</v>
      </c>
      <c r="F16" s="538">
        <f>+EOMONTH(C16, 3)</f>
        <v>45596</v>
      </c>
      <c r="G16" s="495">
        <v>0</v>
      </c>
      <c r="H16" s="496">
        <v>0</v>
      </c>
      <c r="I16" s="496">
        <v>0</v>
      </c>
      <c r="J16" s="496">
        <v>0</v>
      </c>
      <c r="K16" s="496">
        <v>0</v>
      </c>
      <c r="L16" s="496">
        <v>0</v>
      </c>
      <c r="M16" s="496">
        <v>0</v>
      </c>
      <c r="N16" s="496">
        <v>1500</v>
      </c>
      <c r="O16" s="496">
        <v>0</v>
      </c>
      <c r="P16" s="496">
        <v>5500</v>
      </c>
      <c r="Q16" s="496">
        <f t="shared" si="12"/>
        <v>0</v>
      </c>
      <c r="R16" s="496">
        <f t="shared" si="12"/>
        <v>0</v>
      </c>
      <c r="S16" s="539">
        <f t="shared" si="12"/>
        <v>0</v>
      </c>
      <c r="T16" s="539">
        <f t="shared" si="12"/>
        <v>0</v>
      </c>
      <c r="U16" s="539">
        <f t="shared" si="12"/>
        <v>0</v>
      </c>
      <c r="V16" s="539">
        <f t="shared" si="12"/>
        <v>0</v>
      </c>
      <c r="W16" s="539">
        <f t="shared" si="12"/>
        <v>0</v>
      </c>
      <c r="X16" s="540">
        <f t="shared" si="12"/>
        <v>0</v>
      </c>
      <c r="Y16" s="539">
        <f t="shared" si="12"/>
        <v>0</v>
      </c>
      <c r="Z16" s="539">
        <f t="shared" si="12"/>
        <v>0</v>
      </c>
      <c r="AA16" s="539">
        <f t="shared" si="13"/>
        <v>0</v>
      </c>
      <c r="AB16" s="539">
        <f t="shared" si="13"/>
        <v>0</v>
      </c>
      <c r="AC16" s="539">
        <f t="shared" si="13"/>
        <v>0</v>
      </c>
      <c r="AD16" s="539">
        <f t="shared" si="13"/>
        <v>0</v>
      </c>
      <c r="AE16" s="539">
        <f t="shared" si="13"/>
        <v>0</v>
      </c>
      <c r="AF16" s="539">
        <f t="shared" si="13"/>
        <v>0</v>
      </c>
      <c r="AG16" s="539">
        <f t="shared" si="13"/>
        <v>0</v>
      </c>
      <c r="AH16" s="539">
        <f t="shared" si="13"/>
        <v>0</v>
      </c>
      <c r="AI16" s="539">
        <f t="shared" si="13"/>
        <v>0</v>
      </c>
      <c r="AJ16" s="539">
        <f t="shared" si="13"/>
        <v>0</v>
      </c>
      <c r="AK16" s="539">
        <f t="shared" si="14"/>
        <v>0</v>
      </c>
      <c r="AL16" s="539">
        <f t="shared" si="14"/>
        <v>0</v>
      </c>
      <c r="AM16" s="539">
        <f t="shared" si="14"/>
        <v>0</v>
      </c>
      <c r="AN16" s="539">
        <f t="shared" si="14"/>
        <v>0</v>
      </c>
      <c r="AO16" s="539">
        <f t="shared" si="14"/>
        <v>0</v>
      </c>
      <c r="AP16" s="539">
        <f t="shared" si="14"/>
        <v>0</v>
      </c>
      <c r="AQ16" s="539">
        <f t="shared" si="14"/>
        <v>0</v>
      </c>
      <c r="AR16" s="539">
        <f t="shared" si="14"/>
        <v>0</v>
      </c>
      <c r="AS16" s="539">
        <f t="shared" si="14"/>
        <v>0</v>
      </c>
      <c r="AT16" s="539">
        <f t="shared" si="14"/>
        <v>0</v>
      </c>
      <c r="AU16" s="539">
        <f t="shared" si="15"/>
        <v>0</v>
      </c>
      <c r="AV16" s="539">
        <f t="shared" si="15"/>
        <v>0</v>
      </c>
      <c r="AW16" s="539">
        <f t="shared" si="15"/>
        <v>0</v>
      </c>
      <c r="AX16" s="539">
        <f t="shared" si="15"/>
        <v>0</v>
      </c>
      <c r="AY16" s="539">
        <f t="shared" si="15"/>
        <v>0</v>
      </c>
      <c r="AZ16" s="539">
        <f t="shared" si="15"/>
        <v>0</v>
      </c>
      <c r="BA16" s="539">
        <f t="shared" si="15"/>
        <v>0</v>
      </c>
      <c r="BB16" s="539">
        <f t="shared" si="15"/>
        <v>0</v>
      </c>
      <c r="BC16" s="539">
        <f t="shared" si="15"/>
        <v>0</v>
      </c>
      <c r="BD16" s="539">
        <f t="shared" si="15"/>
        <v>0</v>
      </c>
      <c r="BE16" s="539">
        <f t="shared" si="16"/>
        <v>0</v>
      </c>
      <c r="BF16" s="539">
        <f t="shared" si="16"/>
        <v>0</v>
      </c>
      <c r="BG16" s="539">
        <f t="shared" si="16"/>
        <v>0</v>
      </c>
      <c r="BH16" s="539">
        <f t="shared" si="16"/>
        <v>0</v>
      </c>
      <c r="BI16" s="539">
        <f t="shared" si="16"/>
        <v>0</v>
      </c>
      <c r="BJ16" s="539">
        <f t="shared" si="16"/>
        <v>0</v>
      </c>
      <c r="BK16" s="539">
        <f t="shared" si="16"/>
        <v>0</v>
      </c>
      <c r="BL16" s="539">
        <f t="shared" si="16"/>
        <v>0</v>
      </c>
      <c r="BM16" s="539">
        <f t="shared" si="16"/>
        <v>0</v>
      </c>
      <c r="BN16" s="539">
        <f t="shared" si="16"/>
        <v>0</v>
      </c>
      <c r="BO16" s="539">
        <f t="shared" si="17"/>
        <v>0</v>
      </c>
      <c r="BP16" s="539">
        <f t="shared" si="17"/>
        <v>0</v>
      </c>
      <c r="BQ16" s="539">
        <f t="shared" si="17"/>
        <v>0</v>
      </c>
      <c r="BR16" s="539">
        <f t="shared" si="17"/>
        <v>0</v>
      </c>
      <c r="BS16" s="539">
        <f t="shared" si="17"/>
        <v>0</v>
      </c>
      <c r="BT16" s="539">
        <f t="shared" si="17"/>
        <v>0</v>
      </c>
      <c r="BU16" s="539">
        <f t="shared" si="17"/>
        <v>0</v>
      </c>
      <c r="BV16" s="539">
        <f t="shared" si="17"/>
        <v>0</v>
      </c>
      <c r="BW16" s="539">
        <f t="shared" si="17"/>
        <v>0</v>
      </c>
      <c r="BX16" s="539">
        <f t="shared" si="17"/>
        <v>0</v>
      </c>
      <c r="BY16" s="539">
        <f t="shared" si="18"/>
        <v>0</v>
      </c>
      <c r="BZ16" s="539">
        <f t="shared" si="18"/>
        <v>0</v>
      </c>
      <c r="CA16" s="539">
        <f t="shared" si="18"/>
        <v>0</v>
      </c>
      <c r="CB16" s="539">
        <f t="shared" si="18"/>
        <v>0</v>
      </c>
      <c r="CC16" s="539">
        <f t="shared" si="18"/>
        <v>0</v>
      </c>
      <c r="CD16" s="539">
        <f t="shared" si="18"/>
        <v>0</v>
      </c>
      <c r="CE16" s="539">
        <f t="shared" si="18"/>
        <v>0</v>
      </c>
      <c r="CF16" s="539">
        <f t="shared" si="18"/>
        <v>0</v>
      </c>
      <c r="CG16" s="539">
        <f t="shared" si="18"/>
        <v>0</v>
      </c>
      <c r="CH16" s="539">
        <f t="shared" si="18"/>
        <v>0</v>
      </c>
      <c r="CI16" s="539">
        <f t="shared" si="18"/>
        <v>0</v>
      </c>
      <c r="CJ16" s="539">
        <f t="shared" si="18"/>
        <v>0</v>
      </c>
      <c r="CK16" s="539">
        <f t="shared" si="18"/>
        <v>0</v>
      </c>
      <c r="CL16" s="540">
        <f t="shared" si="18"/>
        <v>0</v>
      </c>
    </row>
    <row r="17" spans="1:90" s="478" customFormat="1" hidden="1" outlineLevel="1" x14ac:dyDescent="0.25">
      <c r="A17" s="535">
        <v>1065</v>
      </c>
      <c r="B17" s="738"/>
      <c r="C17" s="536">
        <v>45524</v>
      </c>
      <c r="D17" s="537">
        <f t="shared" si="7"/>
        <v>45535</v>
      </c>
      <c r="E17" s="478" t="s">
        <v>483</v>
      </c>
      <c r="F17" s="538">
        <f>+EOMONTH(C17, 2)</f>
        <v>45596</v>
      </c>
      <c r="G17" s="495">
        <v>0</v>
      </c>
      <c r="H17" s="496">
        <v>0</v>
      </c>
      <c r="I17" s="496">
        <v>0</v>
      </c>
      <c r="J17" s="496">
        <v>0</v>
      </c>
      <c r="K17" s="496">
        <v>0</v>
      </c>
      <c r="L17" s="496">
        <v>0</v>
      </c>
      <c r="M17" s="496">
        <v>0</v>
      </c>
      <c r="N17" s="496">
        <v>1065</v>
      </c>
      <c r="O17" s="496">
        <v>0</v>
      </c>
      <c r="P17" s="496">
        <f>+IF(AND($C17&lt;P$2, $F17&gt;P$2), $A17/$E$4, 0)</f>
        <v>0</v>
      </c>
      <c r="Q17" s="496">
        <f t="shared" si="12"/>
        <v>0</v>
      </c>
      <c r="R17" s="496">
        <f t="shared" si="12"/>
        <v>0</v>
      </c>
      <c r="S17" s="539">
        <f t="shared" si="12"/>
        <v>0</v>
      </c>
      <c r="T17" s="539">
        <f t="shared" si="12"/>
        <v>0</v>
      </c>
      <c r="U17" s="539">
        <f t="shared" si="12"/>
        <v>0</v>
      </c>
      <c r="V17" s="539">
        <f t="shared" si="12"/>
        <v>0</v>
      </c>
      <c r="W17" s="539">
        <f t="shared" si="12"/>
        <v>0</v>
      </c>
      <c r="X17" s="540">
        <f t="shared" si="12"/>
        <v>0</v>
      </c>
      <c r="Y17" s="539">
        <f t="shared" si="12"/>
        <v>0</v>
      </c>
      <c r="Z17" s="539">
        <f t="shared" si="12"/>
        <v>0</v>
      </c>
      <c r="AA17" s="539">
        <f t="shared" si="13"/>
        <v>0</v>
      </c>
      <c r="AB17" s="539">
        <f t="shared" si="13"/>
        <v>0</v>
      </c>
      <c r="AC17" s="539">
        <f t="shared" si="13"/>
        <v>0</v>
      </c>
      <c r="AD17" s="539">
        <f t="shared" si="13"/>
        <v>0</v>
      </c>
      <c r="AE17" s="539">
        <f t="shared" si="13"/>
        <v>0</v>
      </c>
      <c r="AF17" s="539">
        <f t="shared" si="13"/>
        <v>0</v>
      </c>
      <c r="AG17" s="539">
        <f t="shared" si="13"/>
        <v>0</v>
      </c>
      <c r="AH17" s="539">
        <f t="shared" si="13"/>
        <v>0</v>
      </c>
      <c r="AI17" s="539">
        <f t="shared" si="13"/>
        <v>0</v>
      </c>
      <c r="AJ17" s="539">
        <f t="shared" si="13"/>
        <v>0</v>
      </c>
      <c r="AK17" s="539">
        <f t="shared" si="14"/>
        <v>0</v>
      </c>
      <c r="AL17" s="539">
        <f t="shared" si="14"/>
        <v>0</v>
      </c>
      <c r="AM17" s="539">
        <f t="shared" si="14"/>
        <v>0</v>
      </c>
      <c r="AN17" s="539">
        <f t="shared" si="14"/>
        <v>0</v>
      </c>
      <c r="AO17" s="539">
        <f t="shared" si="14"/>
        <v>0</v>
      </c>
      <c r="AP17" s="539">
        <f t="shared" si="14"/>
        <v>0</v>
      </c>
      <c r="AQ17" s="539">
        <f t="shared" si="14"/>
        <v>0</v>
      </c>
      <c r="AR17" s="539">
        <f t="shared" si="14"/>
        <v>0</v>
      </c>
      <c r="AS17" s="539">
        <f t="shared" si="14"/>
        <v>0</v>
      </c>
      <c r="AT17" s="539">
        <f t="shared" si="14"/>
        <v>0</v>
      </c>
      <c r="AU17" s="539">
        <f t="shared" si="15"/>
        <v>0</v>
      </c>
      <c r="AV17" s="539">
        <f t="shared" si="15"/>
        <v>0</v>
      </c>
      <c r="AW17" s="539">
        <f t="shared" si="15"/>
        <v>0</v>
      </c>
      <c r="AX17" s="539">
        <f t="shared" si="15"/>
        <v>0</v>
      </c>
      <c r="AY17" s="539">
        <f t="shared" si="15"/>
        <v>0</v>
      </c>
      <c r="AZ17" s="539">
        <f t="shared" si="15"/>
        <v>0</v>
      </c>
      <c r="BA17" s="539">
        <f t="shared" si="15"/>
        <v>0</v>
      </c>
      <c r="BB17" s="539">
        <f t="shared" si="15"/>
        <v>0</v>
      </c>
      <c r="BC17" s="539">
        <f t="shared" si="15"/>
        <v>0</v>
      </c>
      <c r="BD17" s="539">
        <f t="shared" si="15"/>
        <v>0</v>
      </c>
      <c r="BE17" s="539">
        <f t="shared" si="16"/>
        <v>0</v>
      </c>
      <c r="BF17" s="539">
        <f t="shared" si="16"/>
        <v>0</v>
      </c>
      <c r="BG17" s="539">
        <f t="shared" si="16"/>
        <v>0</v>
      </c>
      <c r="BH17" s="539">
        <f t="shared" si="16"/>
        <v>0</v>
      </c>
      <c r="BI17" s="539">
        <f t="shared" si="16"/>
        <v>0</v>
      </c>
      <c r="BJ17" s="539">
        <f t="shared" si="16"/>
        <v>0</v>
      </c>
      <c r="BK17" s="539">
        <f t="shared" si="16"/>
        <v>0</v>
      </c>
      <c r="BL17" s="539">
        <f t="shared" si="16"/>
        <v>0</v>
      </c>
      <c r="BM17" s="539">
        <f t="shared" si="16"/>
        <v>0</v>
      </c>
      <c r="BN17" s="539">
        <f t="shared" si="16"/>
        <v>0</v>
      </c>
      <c r="BO17" s="539">
        <f t="shared" si="17"/>
        <v>0</v>
      </c>
      <c r="BP17" s="539">
        <f t="shared" si="17"/>
        <v>0</v>
      </c>
      <c r="BQ17" s="539">
        <f t="shared" si="17"/>
        <v>0</v>
      </c>
      <c r="BR17" s="539">
        <f t="shared" si="17"/>
        <v>0</v>
      </c>
      <c r="BS17" s="539">
        <f t="shared" si="17"/>
        <v>0</v>
      </c>
      <c r="BT17" s="539">
        <f t="shared" si="17"/>
        <v>0</v>
      </c>
      <c r="BU17" s="539">
        <f t="shared" si="17"/>
        <v>0</v>
      </c>
      <c r="BV17" s="539">
        <f t="shared" si="17"/>
        <v>0</v>
      </c>
      <c r="BW17" s="539">
        <f t="shared" si="17"/>
        <v>0</v>
      </c>
      <c r="BX17" s="539">
        <f t="shared" si="17"/>
        <v>0</v>
      </c>
      <c r="BY17" s="539">
        <f t="shared" si="18"/>
        <v>0</v>
      </c>
      <c r="BZ17" s="539">
        <f t="shared" si="18"/>
        <v>0</v>
      </c>
      <c r="CA17" s="539">
        <f t="shared" si="18"/>
        <v>0</v>
      </c>
      <c r="CB17" s="539">
        <f t="shared" si="18"/>
        <v>0</v>
      </c>
      <c r="CC17" s="539">
        <f t="shared" si="18"/>
        <v>0</v>
      </c>
      <c r="CD17" s="539">
        <f t="shared" si="18"/>
        <v>0</v>
      </c>
      <c r="CE17" s="539">
        <f t="shared" si="18"/>
        <v>0</v>
      </c>
      <c r="CF17" s="539">
        <f t="shared" si="18"/>
        <v>0</v>
      </c>
      <c r="CG17" s="539">
        <f t="shared" si="18"/>
        <v>0</v>
      </c>
      <c r="CH17" s="539">
        <f t="shared" si="18"/>
        <v>0</v>
      </c>
      <c r="CI17" s="539">
        <f t="shared" si="18"/>
        <v>0</v>
      </c>
      <c r="CJ17" s="539">
        <f t="shared" si="18"/>
        <v>0</v>
      </c>
      <c r="CK17" s="539">
        <f t="shared" si="18"/>
        <v>0</v>
      </c>
      <c r="CL17" s="540">
        <f t="shared" si="18"/>
        <v>0</v>
      </c>
    </row>
    <row r="18" spans="1:90" s="478" customFormat="1" hidden="1" outlineLevel="1" x14ac:dyDescent="0.25">
      <c r="A18" s="535">
        <v>64795.33</v>
      </c>
      <c r="B18" s="738"/>
      <c r="C18" s="536">
        <v>45543</v>
      </c>
      <c r="D18" s="537">
        <f t="shared" si="7"/>
        <v>45565</v>
      </c>
      <c r="E18" s="478" t="s">
        <v>497</v>
      </c>
      <c r="F18" s="538">
        <f>+EOMONTH(C18, 3)</f>
        <v>45657</v>
      </c>
      <c r="G18" s="495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45810.3</v>
      </c>
      <c r="P18" s="496">
        <v>0</v>
      </c>
      <c r="Q18" s="496">
        <v>19632.990000000002</v>
      </c>
      <c r="R18" s="496">
        <v>0</v>
      </c>
      <c r="S18" s="539">
        <f t="shared" ref="S18:AA19" si="19">+IF(AND($C18&lt;S$2, $F18&gt;S$2), $A18/$E$4, 0)</f>
        <v>0</v>
      </c>
      <c r="T18" s="539">
        <f t="shared" si="19"/>
        <v>0</v>
      </c>
      <c r="U18" s="539">
        <f t="shared" si="19"/>
        <v>0</v>
      </c>
      <c r="V18" s="539">
        <f t="shared" si="19"/>
        <v>0</v>
      </c>
      <c r="W18" s="539">
        <f t="shared" si="19"/>
        <v>0</v>
      </c>
      <c r="X18" s="540">
        <f t="shared" si="19"/>
        <v>0</v>
      </c>
      <c r="Y18" s="539">
        <f t="shared" si="19"/>
        <v>0</v>
      </c>
      <c r="Z18" s="539">
        <f t="shared" si="19"/>
        <v>0</v>
      </c>
      <c r="AA18" s="539">
        <f t="shared" si="19"/>
        <v>0</v>
      </c>
      <c r="AB18" s="539">
        <f t="shared" ref="AB18:AK19" si="20">+IF(AND($C18&lt;AB$2, $F18&gt;AB$2), $A18/$E$4, 0)</f>
        <v>0</v>
      </c>
      <c r="AC18" s="539">
        <f t="shared" si="20"/>
        <v>0</v>
      </c>
      <c r="AD18" s="539">
        <f t="shared" si="20"/>
        <v>0</v>
      </c>
      <c r="AE18" s="539">
        <f t="shared" si="20"/>
        <v>0</v>
      </c>
      <c r="AF18" s="539">
        <f t="shared" si="20"/>
        <v>0</v>
      </c>
      <c r="AG18" s="539">
        <f t="shared" si="20"/>
        <v>0</v>
      </c>
      <c r="AH18" s="539">
        <f t="shared" si="20"/>
        <v>0</v>
      </c>
      <c r="AI18" s="539">
        <f t="shared" si="20"/>
        <v>0</v>
      </c>
      <c r="AJ18" s="539">
        <f t="shared" si="20"/>
        <v>0</v>
      </c>
      <c r="AK18" s="539">
        <f t="shared" si="20"/>
        <v>0</v>
      </c>
      <c r="AL18" s="539">
        <f t="shared" ref="AL18:AU19" si="21">+IF(AND($C18&lt;AL$2, $F18&gt;AL$2), $A18/$E$4, 0)</f>
        <v>0</v>
      </c>
      <c r="AM18" s="539">
        <f t="shared" si="21"/>
        <v>0</v>
      </c>
      <c r="AN18" s="539">
        <f t="shared" si="21"/>
        <v>0</v>
      </c>
      <c r="AO18" s="539">
        <f t="shared" si="21"/>
        <v>0</v>
      </c>
      <c r="AP18" s="539">
        <f t="shared" si="21"/>
        <v>0</v>
      </c>
      <c r="AQ18" s="539">
        <f t="shared" si="21"/>
        <v>0</v>
      </c>
      <c r="AR18" s="539">
        <f t="shared" si="21"/>
        <v>0</v>
      </c>
      <c r="AS18" s="539">
        <f t="shared" si="21"/>
        <v>0</v>
      </c>
      <c r="AT18" s="539">
        <f t="shared" si="21"/>
        <v>0</v>
      </c>
      <c r="AU18" s="539">
        <f t="shared" si="21"/>
        <v>0</v>
      </c>
      <c r="AV18" s="539">
        <f t="shared" ref="AV18:BE19" si="22">+IF(AND($C18&lt;AV$2, $F18&gt;AV$2), $A18/$E$4, 0)</f>
        <v>0</v>
      </c>
      <c r="AW18" s="539">
        <f t="shared" si="22"/>
        <v>0</v>
      </c>
      <c r="AX18" s="539">
        <f t="shared" si="22"/>
        <v>0</v>
      </c>
      <c r="AY18" s="539">
        <f t="shared" si="22"/>
        <v>0</v>
      </c>
      <c r="AZ18" s="539">
        <f t="shared" si="22"/>
        <v>0</v>
      </c>
      <c r="BA18" s="539">
        <f t="shared" si="22"/>
        <v>0</v>
      </c>
      <c r="BB18" s="539">
        <f t="shared" si="22"/>
        <v>0</v>
      </c>
      <c r="BC18" s="539">
        <f t="shared" si="22"/>
        <v>0</v>
      </c>
      <c r="BD18" s="539">
        <f t="shared" si="22"/>
        <v>0</v>
      </c>
      <c r="BE18" s="539">
        <f t="shared" si="22"/>
        <v>0</v>
      </c>
      <c r="BF18" s="539">
        <f t="shared" ref="BF18:BO19" si="23">+IF(AND($C18&lt;BF$2, $F18&gt;BF$2), $A18/$E$4, 0)</f>
        <v>0</v>
      </c>
      <c r="BG18" s="539">
        <f t="shared" si="23"/>
        <v>0</v>
      </c>
      <c r="BH18" s="539">
        <f t="shared" si="23"/>
        <v>0</v>
      </c>
      <c r="BI18" s="539">
        <f t="shared" si="23"/>
        <v>0</v>
      </c>
      <c r="BJ18" s="539">
        <f t="shared" si="23"/>
        <v>0</v>
      </c>
      <c r="BK18" s="539">
        <f t="shared" si="23"/>
        <v>0</v>
      </c>
      <c r="BL18" s="539">
        <f t="shared" si="23"/>
        <v>0</v>
      </c>
      <c r="BM18" s="539">
        <f t="shared" si="23"/>
        <v>0</v>
      </c>
      <c r="BN18" s="539">
        <f t="shared" si="23"/>
        <v>0</v>
      </c>
      <c r="BO18" s="539">
        <f t="shared" si="23"/>
        <v>0</v>
      </c>
      <c r="BP18" s="539">
        <f t="shared" ref="BP18:BY19" si="24">+IF(AND($C18&lt;BP$2, $F18&gt;BP$2), $A18/$E$4, 0)</f>
        <v>0</v>
      </c>
      <c r="BQ18" s="539">
        <f t="shared" si="24"/>
        <v>0</v>
      </c>
      <c r="BR18" s="539">
        <f t="shared" si="24"/>
        <v>0</v>
      </c>
      <c r="BS18" s="539">
        <f t="shared" si="24"/>
        <v>0</v>
      </c>
      <c r="BT18" s="539">
        <f t="shared" si="24"/>
        <v>0</v>
      </c>
      <c r="BU18" s="539">
        <f t="shared" si="24"/>
        <v>0</v>
      </c>
      <c r="BV18" s="539">
        <f t="shared" si="24"/>
        <v>0</v>
      </c>
      <c r="BW18" s="539">
        <f t="shared" si="24"/>
        <v>0</v>
      </c>
      <c r="BX18" s="539">
        <f t="shared" si="24"/>
        <v>0</v>
      </c>
      <c r="BY18" s="539">
        <f t="shared" si="24"/>
        <v>0</v>
      </c>
      <c r="BZ18" s="539">
        <f t="shared" ref="BZ18:CL19" si="25">+IF(AND($C18&lt;BZ$2, $F18&gt;BZ$2), $A18/$E$4, 0)</f>
        <v>0</v>
      </c>
      <c r="CA18" s="539">
        <f t="shared" si="25"/>
        <v>0</v>
      </c>
      <c r="CB18" s="539">
        <f t="shared" si="25"/>
        <v>0</v>
      </c>
      <c r="CC18" s="539">
        <f t="shared" si="25"/>
        <v>0</v>
      </c>
      <c r="CD18" s="539">
        <f t="shared" si="25"/>
        <v>0</v>
      </c>
      <c r="CE18" s="539">
        <f t="shared" si="25"/>
        <v>0</v>
      </c>
      <c r="CF18" s="539">
        <f t="shared" si="25"/>
        <v>0</v>
      </c>
      <c r="CG18" s="539">
        <f t="shared" si="25"/>
        <v>0</v>
      </c>
      <c r="CH18" s="539">
        <f t="shared" si="25"/>
        <v>0</v>
      </c>
      <c r="CI18" s="539">
        <f t="shared" si="25"/>
        <v>0</v>
      </c>
      <c r="CJ18" s="539">
        <f t="shared" si="25"/>
        <v>0</v>
      </c>
      <c r="CK18" s="539">
        <f t="shared" si="25"/>
        <v>0</v>
      </c>
      <c r="CL18" s="540">
        <f t="shared" si="25"/>
        <v>0</v>
      </c>
    </row>
    <row r="19" spans="1:90" s="478" customFormat="1" hidden="1" outlineLevel="1" x14ac:dyDescent="0.25">
      <c r="A19" s="535">
        <v>3200</v>
      </c>
      <c r="B19" s="738"/>
      <c r="C19" s="536">
        <v>45555</v>
      </c>
      <c r="D19" s="537">
        <f t="shared" si="7"/>
        <v>45565</v>
      </c>
      <c r="E19" s="478" t="s">
        <v>480</v>
      </c>
      <c r="F19" s="538">
        <f>+EOMONTH(C19, 1)</f>
        <v>45596</v>
      </c>
      <c r="G19" s="495">
        <v>0</v>
      </c>
      <c r="H19" s="496">
        <v>0</v>
      </c>
      <c r="I19" s="496">
        <v>0</v>
      </c>
      <c r="J19" s="496">
        <v>0</v>
      </c>
      <c r="K19" s="496">
        <v>0</v>
      </c>
      <c r="L19" s="496">
        <v>0</v>
      </c>
      <c r="M19" s="496">
        <v>0</v>
      </c>
      <c r="N19" s="496">
        <v>0</v>
      </c>
      <c r="O19" s="496">
        <v>3200</v>
      </c>
      <c r="P19" s="496">
        <f>+IF(AND($C19&lt;P$2, $F19&gt;P$2), $A19/$E$4, 0)</f>
        <v>0</v>
      </c>
      <c r="Q19" s="496">
        <f>+IF(AND($C19&lt;Q$2, $F19&gt;Q$2), $A19/$E$4, 0)</f>
        <v>0</v>
      </c>
      <c r="R19" s="496">
        <f>+IF(AND($C19&lt;R$2, $F19&gt;R$2), $A19/$E$4, 0)</f>
        <v>0</v>
      </c>
      <c r="S19" s="539">
        <f t="shared" si="19"/>
        <v>0</v>
      </c>
      <c r="T19" s="539">
        <f t="shared" si="19"/>
        <v>0</v>
      </c>
      <c r="U19" s="539">
        <f t="shared" si="19"/>
        <v>0</v>
      </c>
      <c r="V19" s="539">
        <f t="shared" si="19"/>
        <v>0</v>
      </c>
      <c r="W19" s="539">
        <f t="shared" si="19"/>
        <v>0</v>
      </c>
      <c r="X19" s="540">
        <f t="shared" si="19"/>
        <v>0</v>
      </c>
      <c r="Y19" s="539">
        <f t="shared" si="19"/>
        <v>0</v>
      </c>
      <c r="Z19" s="539">
        <f t="shared" si="19"/>
        <v>0</v>
      </c>
      <c r="AA19" s="539">
        <f t="shared" si="19"/>
        <v>0</v>
      </c>
      <c r="AB19" s="539">
        <f t="shared" si="20"/>
        <v>0</v>
      </c>
      <c r="AC19" s="539">
        <f t="shared" si="20"/>
        <v>0</v>
      </c>
      <c r="AD19" s="539">
        <f t="shared" si="20"/>
        <v>0</v>
      </c>
      <c r="AE19" s="539">
        <f t="shared" si="20"/>
        <v>0</v>
      </c>
      <c r="AF19" s="539">
        <f t="shared" si="20"/>
        <v>0</v>
      </c>
      <c r="AG19" s="539">
        <f t="shared" si="20"/>
        <v>0</v>
      </c>
      <c r="AH19" s="539">
        <f t="shared" si="20"/>
        <v>0</v>
      </c>
      <c r="AI19" s="539">
        <f t="shared" si="20"/>
        <v>0</v>
      </c>
      <c r="AJ19" s="539">
        <f t="shared" si="20"/>
        <v>0</v>
      </c>
      <c r="AK19" s="539">
        <f t="shared" si="20"/>
        <v>0</v>
      </c>
      <c r="AL19" s="539">
        <f t="shared" si="21"/>
        <v>0</v>
      </c>
      <c r="AM19" s="539">
        <f t="shared" si="21"/>
        <v>0</v>
      </c>
      <c r="AN19" s="539">
        <f t="shared" si="21"/>
        <v>0</v>
      </c>
      <c r="AO19" s="539">
        <f t="shared" si="21"/>
        <v>0</v>
      </c>
      <c r="AP19" s="539">
        <f t="shared" si="21"/>
        <v>0</v>
      </c>
      <c r="AQ19" s="539">
        <f t="shared" si="21"/>
        <v>0</v>
      </c>
      <c r="AR19" s="539">
        <f t="shared" si="21"/>
        <v>0</v>
      </c>
      <c r="AS19" s="539">
        <f t="shared" si="21"/>
        <v>0</v>
      </c>
      <c r="AT19" s="539">
        <f t="shared" si="21"/>
        <v>0</v>
      </c>
      <c r="AU19" s="539">
        <f t="shared" si="21"/>
        <v>0</v>
      </c>
      <c r="AV19" s="539">
        <f t="shared" si="22"/>
        <v>0</v>
      </c>
      <c r="AW19" s="539">
        <f t="shared" si="22"/>
        <v>0</v>
      </c>
      <c r="AX19" s="539">
        <f t="shared" si="22"/>
        <v>0</v>
      </c>
      <c r="AY19" s="539">
        <f t="shared" si="22"/>
        <v>0</v>
      </c>
      <c r="AZ19" s="539">
        <f t="shared" si="22"/>
        <v>0</v>
      </c>
      <c r="BA19" s="539">
        <f t="shared" si="22"/>
        <v>0</v>
      </c>
      <c r="BB19" s="539">
        <f t="shared" si="22"/>
        <v>0</v>
      </c>
      <c r="BC19" s="539">
        <f t="shared" si="22"/>
        <v>0</v>
      </c>
      <c r="BD19" s="539">
        <f t="shared" si="22"/>
        <v>0</v>
      </c>
      <c r="BE19" s="539">
        <f t="shared" si="22"/>
        <v>0</v>
      </c>
      <c r="BF19" s="539">
        <f t="shared" si="23"/>
        <v>0</v>
      </c>
      <c r="BG19" s="539">
        <f t="shared" si="23"/>
        <v>0</v>
      </c>
      <c r="BH19" s="539">
        <f t="shared" si="23"/>
        <v>0</v>
      </c>
      <c r="BI19" s="539">
        <f t="shared" si="23"/>
        <v>0</v>
      </c>
      <c r="BJ19" s="539">
        <f t="shared" si="23"/>
        <v>0</v>
      </c>
      <c r="BK19" s="539">
        <f t="shared" si="23"/>
        <v>0</v>
      </c>
      <c r="BL19" s="539">
        <f t="shared" si="23"/>
        <v>0</v>
      </c>
      <c r="BM19" s="539">
        <f t="shared" si="23"/>
        <v>0</v>
      </c>
      <c r="BN19" s="539">
        <f t="shared" si="23"/>
        <v>0</v>
      </c>
      <c r="BO19" s="539">
        <f t="shared" si="23"/>
        <v>0</v>
      </c>
      <c r="BP19" s="539">
        <f t="shared" si="24"/>
        <v>0</v>
      </c>
      <c r="BQ19" s="539">
        <f t="shared" si="24"/>
        <v>0</v>
      </c>
      <c r="BR19" s="539">
        <f t="shared" si="24"/>
        <v>0</v>
      </c>
      <c r="BS19" s="539">
        <f t="shared" si="24"/>
        <v>0</v>
      </c>
      <c r="BT19" s="539">
        <f t="shared" si="24"/>
        <v>0</v>
      </c>
      <c r="BU19" s="539">
        <f t="shared" si="24"/>
        <v>0</v>
      </c>
      <c r="BV19" s="539">
        <f t="shared" si="24"/>
        <v>0</v>
      </c>
      <c r="BW19" s="539">
        <f t="shared" si="24"/>
        <v>0</v>
      </c>
      <c r="BX19" s="539">
        <f t="shared" si="24"/>
        <v>0</v>
      </c>
      <c r="BY19" s="539">
        <f t="shared" si="24"/>
        <v>0</v>
      </c>
      <c r="BZ19" s="539">
        <f t="shared" si="25"/>
        <v>0</v>
      </c>
      <c r="CA19" s="539">
        <f t="shared" si="25"/>
        <v>0</v>
      </c>
      <c r="CB19" s="539">
        <f t="shared" si="25"/>
        <v>0</v>
      </c>
      <c r="CC19" s="539">
        <f t="shared" si="25"/>
        <v>0</v>
      </c>
      <c r="CD19" s="539">
        <f t="shared" si="25"/>
        <v>0</v>
      </c>
      <c r="CE19" s="539">
        <f t="shared" si="25"/>
        <v>0</v>
      </c>
      <c r="CF19" s="539">
        <f t="shared" si="25"/>
        <v>0</v>
      </c>
      <c r="CG19" s="539">
        <f t="shared" si="25"/>
        <v>0</v>
      </c>
      <c r="CH19" s="539">
        <f t="shared" si="25"/>
        <v>0</v>
      </c>
      <c r="CI19" s="539">
        <f t="shared" si="25"/>
        <v>0</v>
      </c>
      <c r="CJ19" s="539">
        <f t="shared" si="25"/>
        <v>0</v>
      </c>
      <c r="CK19" s="539">
        <f t="shared" si="25"/>
        <v>0</v>
      </c>
      <c r="CL19" s="540">
        <f t="shared" si="25"/>
        <v>0</v>
      </c>
    </row>
    <row r="20" spans="1:90" s="478" customFormat="1" outlineLevel="1" x14ac:dyDescent="0.25">
      <c r="A20" s="535">
        <v>25800</v>
      </c>
      <c r="B20" s="738">
        <v>45573</v>
      </c>
      <c r="C20" s="536">
        <v>45573</v>
      </c>
      <c r="D20" s="537">
        <f t="shared" si="7"/>
        <v>45596</v>
      </c>
      <c r="E20" s="478" t="s">
        <v>480</v>
      </c>
      <c r="F20" s="538">
        <f>+EOMONTH(C20, 4)</f>
        <v>45716</v>
      </c>
      <c r="G20" s="495">
        <v>0</v>
      </c>
      <c r="H20" s="496">
        <v>0</v>
      </c>
      <c r="I20" s="496">
        <v>0</v>
      </c>
      <c r="J20" s="496">
        <v>0</v>
      </c>
      <c r="K20" s="496">
        <v>0</v>
      </c>
      <c r="L20" s="496">
        <v>0</v>
      </c>
      <c r="M20" s="496">
        <v>0</v>
      </c>
      <c r="N20" s="496">
        <v>0</v>
      </c>
      <c r="O20" s="496">
        <v>0</v>
      </c>
      <c r="P20" s="496">
        <v>0</v>
      </c>
      <c r="Q20" s="496">
        <v>0</v>
      </c>
      <c r="R20" s="496">
        <v>8514</v>
      </c>
      <c r="S20" s="496">
        <v>15800</v>
      </c>
      <c r="T20" s="496">
        <v>0</v>
      </c>
      <c r="U20" s="496">
        <v>0</v>
      </c>
      <c r="V20" s="496">
        <v>0</v>
      </c>
      <c r="W20" s="496">
        <v>0</v>
      </c>
      <c r="X20" s="762">
        <v>0</v>
      </c>
      <c r="Y20" s="539">
        <f t="shared" ref="Y20:AB29" si="26">+IF(AND($C20&lt;Y$2, $F20&gt;Y$2), $A20/$E$4, 0)</f>
        <v>0</v>
      </c>
      <c r="Z20" s="539">
        <f t="shared" si="26"/>
        <v>0</v>
      </c>
      <c r="AA20" s="539">
        <f t="shared" si="26"/>
        <v>0</v>
      </c>
      <c r="AB20" s="539">
        <f t="shared" si="26"/>
        <v>0</v>
      </c>
      <c r="AC20" s="539">
        <f t="shared" ref="AC20:AL29" si="27">+IF(AND($C20&lt;AC$2, $F20&gt;AC$2), $A20/$E$4, 0)</f>
        <v>0</v>
      </c>
      <c r="AD20" s="539">
        <f t="shared" si="27"/>
        <v>0</v>
      </c>
      <c r="AE20" s="539">
        <f t="shared" si="27"/>
        <v>0</v>
      </c>
      <c r="AF20" s="539">
        <f t="shared" si="27"/>
        <v>0</v>
      </c>
      <c r="AG20" s="539">
        <f t="shared" si="27"/>
        <v>0</v>
      </c>
      <c r="AH20" s="539">
        <f t="shared" si="27"/>
        <v>0</v>
      </c>
      <c r="AI20" s="539">
        <f t="shared" si="27"/>
        <v>0</v>
      </c>
      <c r="AJ20" s="539">
        <f t="shared" si="27"/>
        <v>0</v>
      </c>
      <c r="AK20" s="539">
        <f t="shared" si="27"/>
        <v>0</v>
      </c>
      <c r="AL20" s="539">
        <f t="shared" si="27"/>
        <v>0</v>
      </c>
      <c r="AM20" s="539">
        <f t="shared" ref="AM20:AV29" si="28">+IF(AND($C20&lt;AM$2, $F20&gt;AM$2), $A20/$E$4, 0)</f>
        <v>0</v>
      </c>
      <c r="AN20" s="539">
        <f t="shared" si="28"/>
        <v>0</v>
      </c>
      <c r="AO20" s="539">
        <f t="shared" si="28"/>
        <v>0</v>
      </c>
      <c r="AP20" s="539">
        <f t="shared" si="28"/>
        <v>0</v>
      </c>
      <c r="AQ20" s="539">
        <f t="shared" si="28"/>
        <v>0</v>
      </c>
      <c r="AR20" s="539">
        <f t="shared" si="28"/>
        <v>0</v>
      </c>
      <c r="AS20" s="539">
        <f t="shared" si="28"/>
        <v>0</v>
      </c>
      <c r="AT20" s="539">
        <f t="shared" si="28"/>
        <v>0</v>
      </c>
      <c r="AU20" s="539">
        <f t="shared" si="28"/>
        <v>0</v>
      </c>
      <c r="AV20" s="539">
        <f t="shared" si="28"/>
        <v>0</v>
      </c>
      <c r="AW20" s="539">
        <f t="shared" ref="AW20:BF29" si="29">+IF(AND($C20&lt;AW$2, $F20&gt;AW$2), $A20/$E$4, 0)</f>
        <v>0</v>
      </c>
      <c r="AX20" s="539">
        <f t="shared" si="29"/>
        <v>0</v>
      </c>
      <c r="AY20" s="539">
        <f t="shared" si="29"/>
        <v>0</v>
      </c>
      <c r="AZ20" s="539">
        <f t="shared" si="29"/>
        <v>0</v>
      </c>
      <c r="BA20" s="539">
        <f t="shared" si="29"/>
        <v>0</v>
      </c>
      <c r="BB20" s="539">
        <f t="shared" si="29"/>
        <v>0</v>
      </c>
      <c r="BC20" s="539">
        <f t="shared" si="29"/>
        <v>0</v>
      </c>
      <c r="BD20" s="539">
        <f t="shared" si="29"/>
        <v>0</v>
      </c>
      <c r="BE20" s="539">
        <f t="shared" si="29"/>
        <v>0</v>
      </c>
      <c r="BF20" s="539">
        <f t="shared" si="29"/>
        <v>0</v>
      </c>
      <c r="BG20" s="539">
        <f t="shared" ref="BG20:BP29" si="30">+IF(AND($C20&lt;BG$2, $F20&gt;BG$2), $A20/$E$4, 0)</f>
        <v>0</v>
      </c>
      <c r="BH20" s="539">
        <f t="shared" si="30"/>
        <v>0</v>
      </c>
      <c r="BI20" s="539">
        <f t="shared" si="30"/>
        <v>0</v>
      </c>
      <c r="BJ20" s="539">
        <f t="shared" si="30"/>
        <v>0</v>
      </c>
      <c r="BK20" s="539">
        <f t="shared" si="30"/>
        <v>0</v>
      </c>
      <c r="BL20" s="539">
        <f t="shared" si="30"/>
        <v>0</v>
      </c>
      <c r="BM20" s="539">
        <f t="shared" si="30"/>
        <v>0</v>
      </c>
      <c r="BN20" s="539">
        <f t="shared" si="30"/>
        <v>0</v>
      </c>
      <c r="BO20" s="539">
        <f t="shared" si="30"/>
        <v>0</v>
      </c>
      <c r="BP20" s="539">
        <f t="shared" si="30"/>
        <v>0</v>
      </c>
      <c r="BQ20" s="539">
        <f t="shared" ref="BQ20:BZ29" si="31">+IF(AND($C20&lt;BQ$2, $F20&gt;BQ$2), $A20/$E$4, 0)</f>
        <v>0</v>
      </c>
      <c r="BR20" s="539">
        <f t="shared" si="31"/>
        <v>0</v>
      </c>
      <c r="BS20" s="539">
        <f t="shared" si="31"/>
        <v>0</v>
      </c>
      <c r="BT20" s="539">
        <f t="shared" si="31"/>
        <v>0</v>
      </c>
      <c r="BU20" s="539">
        <f t="shared" si="31"/>
        <v>0</v>
      </c>
      <c r="BV20" s="539">
        <f t="shared" si="31"/>
        <v>0</v>
      </c>
      <c r="BW20" s="539">
        <f t="shared" si="31"/>
        <v>0</v>
      </c>
      <c r="BX20" s="539">
        <f t="shared" si="31"/>
        <v>0</v>
      </c>
      <c r="BY20" s="539">
        <f t="shared" si="31"/>
        <v>0</v>
      </c>
      <c r="BZ20" s="539">
        <f t="shared" si="31"/>
        <v>0</v>
      </c>
      <c r="CA20" s="539">
        <f t="shared" ref="CA20:CL29" si="32">+IF(AND($C20&lt;CA$2, $F20&gt;CA$2), $A20/$E$4, 0)</f>
        <v>0</v>
      </c>
      <c r="CB20" s="539">
        <f t="shared" si="32"/>
        <v>0</v>
      </c>
      <c r="CC20" s="539">
        <f t="shared" si="32"/>
        <v>0</v>
      </c>
      <c r="CD20" s="539">
        <f t="shared" si="32"/>
        <v>0</v>
      </c>
      <c r="CE20" s="539">
        <f t="shared" si="32"/>
        <v>0</v>
      </c>
      <c r="CF20" s="539">
        <f t="shared" si="32"/>
        <v>0</v>
      </c>
      <c r="CG20" s="539">
        <f t="shared" si="32"/>
        <v>0</v>
      </c>
      <c r="CH20" s="539">
        <f t="shared" si="32"/>
        <v>0</v>
      </c>
      <c r="CI20" s="539">
        <f t="shared" si="32"/>
        <v>0</v>
      </c>
      <c r="CJ20" s="539">
        <f t="shared" si="32"/>
        <v>0</v>
      </c>
      <c r="CK20" s="539">
        <f t="shared" si="32"/>
        <v>0</v>
      </c>
      <c r="CL20" s="540">
        <f t="shared" si="32"/>
        <v>0</v>
      </c>
    </row>
    <row r="21" spans="1:90" s="478" customFormat="1" outlineLevel="1" x14ac:dyDescent="0.25">
      <c r="A21" s="535">
        <f>2250*1.01</f>
        <v>2272.5</v>
      </c>
      <c r="B21" s="738"/>
      <c r="C21" s="536">
        <v>45576</v>
      </c>
      <c r="D21" s="537">
        <f t="shared" si="7"/>
        <v>45596</v>
      </c>
      <c r="E21" s="478" t="s">
        <v>497</v>
      </c>
      <c r="F21" s="538">
        <f>+EOMONTH(C21, 0)</f>
        <v>45596</v>
      </c>
      <c r="G21" s="495">
        <v>0</v>
      </c>
      <c r="H21" s="496">
        <v>0</v>
      </c>
      <c r="I21" s="496">
        <v>0</v>
      </c>
      <c r="J21" s="496">
        <v>0</v>
      </c>
      <c r="K21" s="496">
        <v>0</v>
      </c>
      <c r="L21" s="496">
        <v>0</v>
      </c>
      <c r="M21" s="496">
        <v>0</v>
      </c>
      <c r="N21" s="496">
        <v>0</v>
      </c>
      <c r="O21" s="496">
        <v>0</v>
      </c>
      <c r="P21" s="496">
        <v>2272.5</v>
      </c>
      <c r="Q21" s="496">
        <f t="shared" ref="Q21:X22" si="33">+IF(AND($C21&lt;Q$2, $F21&gt;Q$2), $A21/$E$4, 0)</f>
        <v>0</v>
      </c>
      <c r="R21" s="496">
        <f t="shared" si="33"/>
        <v>0</v>
      </c>
      <c r="S21" s="496">
        <f t="shared" si="33"/>
        <v>0</v>
      </c>
      <c r="T21" s="496">
        <f t="shared" si="33"/>
        <v>0</v>
      </c>
      <c r="U21" s="496">
        <f t="shared" si="33"/>
        <v>0</v>
      </c>
      <c r="V21" s="496">
        <f t="shared" si="33"/>
        <v>0</v>
      </c>
      <c r="W21" s="496">
        <f t="shared" si="33"/>
        <v>0</v>
      </c>
      <c r="X21" s="762">
        <f t="shared" si="33"/>
        <v>0</v>
      </c>
      <c r="Y21" s="539">
        <f t="shared" si="26"/>
        <v>0</v>
      </c>
      <c r="Z21" s="539">
        <f t="shared" si="26"/>
        <v>0</v>
      </c>
      <c r="AA21" s="539">
        <f t="shared" si="26"/>
        <v>0</v>
      </c>
      <c r="AB21" s="539">
        <f t="shared" si="26"/>
        <v>0</v>
      </c>
      <c r="AC21" s="539">
        <f t="shared" si="27"/>
        <v>0</v>
      </c>
      <c r="AD21" s="539">
        <f t="shared" si="27"/>
        <v>0</v>
      </c>
      <c r="AE21" s="539">
        <f t="shared" si="27"/>
        <v>0</v>
      </c>
      <c r="AF21" s="539">
        <f t="shared" si="27"/>
        <v>0</v>
      </c>
      <c r="AG21" s="539">
        <f t="shared" si="27"/>
        <v>0</v>
      </c>
      <c r="AH21" s="539">
        <f t="shared" si="27"/>
        <v>0</v>
      </c>
      <c r="AI21" s="539">
        <f t="shared" si="27"/>
        <v>0</v>
      </c>
      <c r="AJ21" s="539">
        <f t="shared" si="27"/>
        <v>0</v>
      </c>
      <c r="AK21" s="539">
        <f t="shared" si="27"/>
        <v>0</v>
      </c>
      <c r="AL21" s="539">
        <f t="shared" si="27"/>
        <v>0</v>
      </c>
      <c r="AM21" s="539">
        <f t="shared" si="28"/>
        <v>0</v>
      </c>
      <c r="AN21" s="539">
        <f t="shared" si="28"/>
        <v>0</v>
      </c>
      <c r="AO21" s="539">
        <f t="shared" si="28"/>
        <v>0</v>
      </c>
      <c r="AP21" s="539">
        <f t="shared" si="28"/>
        <v>0</v>
      </c>
      <c r="AQ21" s="539">
        <f t="shared" si="28"/>
        <v>0</v>
      </c>
      <c r="AR21" s="539">
        <f t="shared" si="28"/>
        <v>0</v>
      </c>
      <c r="AS21" s="539">
        <f t="shared" si="28"/>
        <v>0</v>
      </c>
      <c r="AT21" s="539">
        <f t="shared" si="28"/>
        <v>0</v>
      </c>
      <c r="AU21" s="539">
        <f t="shared" si="28"/>
        <v>0</v>
      </c>
      <c r="AV21" s="539">
        <f t="shared" si="28"/>
        <v>0</v>
      </c>
      <c r="AW21" s="539">
        <f t="shared" si="29"/>
        <v>0</v>
      </c>
      <c r="AX21" s="539">
        <f t="shared" si="29"/>
        <v>0</v>
      </c>
      <c r="AY21" s="539">
        <f t="shared" si="29"/>
        <v>0</v>
      </c>
      <c r="AZ21" s="539">
        <f t="shared" si="29"/>
        <v>0</v>
      </c>
      <c r="BA21" s="539">
        <f t="shared" si="29"/>
        <v>0</v>
      </c>
      <c r="BB21" s="539">
        <f t="shared" si="29"/>
        <v>0</v>
      </c>
      <c r="BC21" s="539">
        <f t="shared" si="29"/>
        <v>0</v>
      </c>
      <c r="BD21" s="539">
        <f t="shared" si="29"/>
        <v>0</v>
      </c>
      <c r="BE21" s="539">
        <f t="shared" si="29"/>
        <v>0</v>
      </c>
      <c r="BF21" s="539">
        <f t="shared" si="29"/>
        <v>0</v>
      </c>
      <c r="BG21" s="539">
        <f t="shared" si="30"/>
        <v>0</v>
      </c>
      <c r="BH21" s="539">
        <f t="shared" si="30"/>
        <v>0</v>
      </c>
      <c r="BI21" s="539">
        <f t="shared" si="30"/>
        <v>0</v>
      </c>
      <c r="BJ21" s="539">
        <f t="shared" si="30"/>
        <v>0</v>
      </c>
      <c r="BK21" s="539">
        <f t="shared" si="30"/>
        <v>0</v>
      </c>
      <c r="BL21" s="539">
        <f t="shared" si="30"/>
        <v>0</v>
      </c>
      <c r="BM21" s="539">
        <f t="shared" si="30"/>
        <v>0</v>
      </c>
      <c r="BN21" s="539">
        <f t="shared" si="30"/>
        <v>0</v>
      </c>
      <c r="BO21" s="539">
        <f t="shared" si="30"/>
        <v>0</v>
      </c>
      <c r="BP21" s="539">
        <f t="shared" si="30"/>
        <v>0</v>
      </c>
      <c r="BQ21" s="539">
        <f t="shared" si="31"/>
        <v>0</v>
      </c>
      <c r="BR21" s="539">
        <f t="shared" si="31"/>
        <v>0</v>
      </c>
      <c r="BS21" s="539">
        <f t="shared" si="31"/>
        <v>0</v>
      </c>
      <c r="BT21" s="539">
        <f t="shared" si="31"/>
        <v>0</v>
      </c>
      <c r="BU21" s="539">
        <f t="shared" si="31"/>
        <v>0</v>
      </c>
      <c r="BV21" s="539">
        <f t="shared" si="31"/>
        <v>0</v>
      </c>
      <c r="BW21" s="539">
        <f t="shared" si="31"/>
        <v>0</v>
      </c>
      <c r="BX21" s="539">
        <f t="shared" si="31"/>
        <v>0</v>
      </c>
      <c r="BY21" s="539">
        <f t="shared" si="31"/>
        <v>0</v>
      </c>
      <c r="BZ21" s="539">
        <f t="shared" si="31"/>
        <v>0</v>
      </c>
      <c r="CA21" s="539">
        <f t="shared" si="32"/>
        <v>0</v>
      </c>
      <c r="CB21" s="539">
        <f t="shared" si="32"/>
        <v>0</v>
      </c>
      <c r="CC21" s="539">
        <f t="shared" si="32"/>
        <v>0</v>
      </c>
      <c r="CD21" s="539">
        <f t="shared" si="32"/>
        <v>0</v>
      </c>
      <c r="CE21" s="539">
        <f t="shared" si="32"/>
        <v>0</v>
      </c>
      <c r="CF21" s="539">
        <f t="shared" si="32"/>
        <v>0</v>
      </c>
      <c r="CG21" s="539">
        <f t="shared" si="32"/>
        <v>0</v>
      </c>
      <c r="CH21" s="539">
        <f t="shared" si="32"/>
        <v>0</v>
      </c>
      <c r="CI21" s="539">
        <f t="shared" si="32"/>
        <v>0</v>
      </c>
      <c r="CJ21" s="539">
        <f t="shared" si="32"/>
        <v>0</v>
      </c>
      <c r="CK21" s="539">
        <f t="shared" si="32"/>
        <v>0</v>
      </c>
      <c r="CL21" s="540">
        <f t="shared" si="32"/>
        <v>0</v>
      </c>
    </row>
    <row r="22" spans="1:90" s="478" customFormat="1" outlineLevel="1" x14ac:dyDescent="0.25">
      <c r="A22" s="535">
        <f>1500*1.01</f>
        <v>1515</v>
      </c>
      <c r="B22" s="738"/>
      <c r="C22" s="536">
        <v>45592</v>
      </c>
      <c r="D22" s="537">
        <f t="shared" si="7"/>
        <v>45596</v>
      </c>
      <c r="E22" s="478" t="s">
        <v>497</v>
      </c>
      <c r="F22" s="538">
        <f>+EOMONTH(C22, 0)</f>
        <v>45596</v>
      </c>
      <c r="G22" s="495">
        <v>0</v>
      </c>
      <c r="H22" s="496">
        <v>0</v>
      </c>
      <c r="I22" s="496">
        <v>0</v>
      </c>
      <c r="J22" s="496">
        <v>0</v>
      </c>
      <c r="K22" s="496">
        <v>0</v>
      </c>
      <c r="L22" s="496">
        <v>0</v>
      </c>
      <c r="M22" s="496">
        <v>0</v>
      </c>
      <c r="N22" s="496">
        <v>0</v>
      </c>
      <c r="O22" s="496">
        <v>0</v>
      </c>
      <c r="P22" s="496">
        <v>1515</v>
      </c>
      <c r="Q22" s="496">
        <f t="shared" si="33"/>
        <v>0</v>
      </c>
      <c r="R22" s="496">
        <f t="shared" si="33"/>
        <v>0</v>
      </c>
      <c r="S22" s="496">
        <f t="shared" si="33"/>
        <v>0</v>
      </c>
      <c r="T22" s="496">
        <f t="shared" si="33"/>
        <v>0</v>
      </c>
      <c r="U22" s="496">
        <f t="shared" si="33"/>
        <v>0</v>
      </c>
      <c r="V22" s="496">
        <f t="shared" si="33"/>
        <v>0</v>
      </c>
      <c r="W22" s="496">
        <f t="shared" si="33"/>
        <v>0</v>
      </c>
      <c r="X22" s="762">
        <f t="shared" si="33"/>
        <v>0</v>
      </c>
      <c r="Y22" s="539">
        <f t="shared" si="26"/>
        <v>0</v>
      </c>
      <c r="Z22" s="539">
        <f t="shared" si="26"/>
        <v>0</v>
      </c>
      <c r="AA22" s="539">
        <f t="shared" si="26"/>
        <v>0</v>
      </c>
      <c r="AB22" s="539">
        <f t="shared" si="26"/>
        <v>0</v>
      </c>
      <c r="AC22" s="539">
        <f t="shared" si="27"/>
        <v>0</v>
      </c>
      <c r="AD22" s="539">
        <f t="shared" si="27"/>
        <v>0</v>
      </c>
      <c r="AE22" s="539">
        <f t="shared" si="27"/>
        <v>0</v>
      </c>
      <c r="AF22" s="539">
        <f t="shared" si="27"/>
        <v>0</v>
      </c>
      <c r="AG22" s="539">
        <f t="shared" si="27"/>
        <v>0</v>
      </c>
      <c r="AH22" s="539">
        <f t="shared" si="27"/>
        <v>0</v>
      </c>
      <c r="AI22" s="539">
        <f t="shared" si="27"/>
        <v>0</v>
      </c>
      <c r="AJ22" s="539">
        <f t="shared" si="27"/>
        <v>0</v>
      </c>
      <c r="AK22" s="539">
        <f t="shared" si="27"/>
        <v>0</v>
      </c>
      <c r="AL22" s="539">
        <f t="shared" si="27"/>
        <v>0</v>
      </c>
      <c r="AM22" s="539">
        <f t="shared" si="28"/>
        <v>0</v>
      </c>
      <c r="AN22" s="539">
        <f t="shared" si="28"/>
        <v>0</v>
      </c>
      <c r="AO22" s="539">
        <f t="shared" si="28"/>
        <v>0</v>
      </c>
      <c r="AP22" s="539">
        <f t="shared" si="28"/>
        <v>0</v>
      </c>
      <c r="AQ22" s="539">
        <f t="shared" si="28"/>
        <v>0</v>
      </c>
      <c r="AR22" s="539">
        <f t="shared" si="28"/>
        <v>0</v>
      </c>
      <c r="AS22" s="539">
        <f t="shared" si="28"/>
        <v>0</v>
      </c>
      <c r="AT22" s="539">
        <f t="shared" si="28"/>
        <v>0</v>
      </c>
      <c r="AU22" s="539">
        <f t="shared" si="28"/>
        <v>0</v>
      </c>
      <c r="AV22" s="539">
        <f t="shared" si="28"/>
        <v>0</v>
      </c>
      <c r="AW22" s="539">
        <f t="shared" si="29"/>
        <v>0</v>
      </c>
      <c r="AX22" s="539">
        <f t="shared" si="29"/>
        <v>0</v>
      </c>
      <c r="AY22" s="539">
        <f t="shared" si="29"/>
        <v>0</v>
      </c>
      <c r="AZ22" s="539">
        <f t="shared" si="29"/>
        <v>0</v>
      </c>
      <c r="BA22" s="539">
        <f t="shared" si="29"/>
        <v>0</v>
      </c>
      <c r="BB22" s="539">
        <f t="shared" si="29"/>
        <v>0</v>
      </c>
      <c r="BC22" s="539">
        <f t="shared" si="29"/>
        <v>0</v>
      </c>
      <c r="BD22" s="539">
        <f t="shared" si="29"/>
        <v>0</v>
      </c>
      <c r="BE22" s="539">
        <f t="shared" si="29"/>
        <v>0</v>
      </c>
      <c r="BF22" s="539">
        <f t="shared" si="29"/>
        <v>0</v>
      </c>
      <c r="BG22" s="539">
        <f t="shared" si="30"/>
        <v>0</v>
      </c>
      <c r="BH22" s="539">
        <f t="shared" si="30"/>
        <v>0</v>
      </c>
      <c r="BI22" s="539">
        <f t="shared" si="30"/>
        <v>0</v>
      </c>
      <c r="BJ22" s="539">
        <f t="shared" si="30"/>
        <v>0</v>
      </c>
      <c r="BK22" s="539">
        <f t="shared" si="30"/>
        <v>0</v>
      </c>
      <c r="BL22" s="539">
        <f t="shared" si="30"/>
        <v>0</v>
      </c>
      <c r="BM22" s="539">
        <f t="shared" si="30"/>
        <v>0</v>
      </c>
      <c r="BN22" s="539">
        <f t="shared" si="30"/>
        <v>0</v>
      </c>
      <c r="BO22" s="539">
        <f t="shared" si="30"/>
        <v>0</v>
      </c>
      <c r="BP22" s="539">
        <f t="shared" si="30"/>
        <v>0</v>
      </c>
      <c r="BQ22" s="539">
        <f t="shared" si="31"/>
        <v>0</v>
      </c>
      <c r="BR22" s="539">
        <f t="shared" si="31"/>
        <v>0</v>
      </c>
      <c r="BS22" s="539">
        <f t="shared" si="31"/>
        <v>0</v>
      </c>
      <c r="BT22" s="539">
        <f t="shared" si="31"/>
        <v>0</v>
      </c>
      <c r="BU22" s="539">
        <f t="shared" si="31"/>
        <v>0</v>
      </c>
      <c r="BV22" s="539">
        <f t="shared" si="31"/>
        <v>0</v>
      </c>
      <c r="BW22" s="539">
        <f t="shared" si="31"/>
        <v>0</v>
      </c>
      <c r="BX22" s="539">
        <f t="shared" si="31"/>
        <v>0</v>
      </c>
      <c r="BY22" s="539">
        <f t="shared" si="31"/>
        <v>0</v>
      </c>
      <c r="BZ22" s="539">
        <f t="shared" si="31"/>
        <v>0</v>
      </c>
      <c r="CA22" s="539">
        <f t="shared" si="32"/>
        <v>0</v>
      </c>
      <c r="CB22" s="539">
        <f t="shared" si="32"/>
        <v>0</v>
      </c>
      <c r="CC22" s="539">
        <f t="shared" si="32"/>
        <v>0</v>
      </c>
      <c r="CD22" s="539">
        <f t="shared" si="32"/>
        <v>0</v>
      </c>
      <c r="CE22" s="539">
        <f t="shared" si="32"/>
        <v>0</v>
      </c>
      <c r="CF22" s="539">
        <f t="shared" si="32"/>
        <v>0</v>
      </c>
      <c r="CG22" s="539">
        <f t="shared" si="32"/>
        <v>0</v>
      </c>
      <c r="CH22" s="539">
        <f t="shared" si="32"/>
        <v>0</v>
      </c>
      <c r="CI22" s="539">
        <f t="shared" si="32"/>
        <v>0</v>
      </c>
      <c r="CJ22" s="539">
        <f t="shared" si="32"/>
        <v>0</v>
      </c>
      <c r="CK22" s="539">
        <f t="shared" si="32"/>
        <v>0</v>
      </c>
      <c r="CL22" s="540">
        <f t="shared" si="32"/>
        <v>0</v>
      </c>
    </row>
    <row r="23" spans="1:90" s="478" customFormat="1" outlineLevel="1" x14ac:dyDescent="0.25">
      <c r="A23" s="535">
        <v>137878.6</v>
      </c>
      <c r="B23" s="738">
        <v>45609</v>
      </c>
      <c r="C23" s="536">
        <v>45627</v>
      </c>
      <c r="D23" s="537">
        <f t="shared" si="7"/>
        <v>45657</v>
      </c>
      <c r="E23" s="478" t="s">
        <v>509</v>
      </c>
      <c r="F23" s="538">
        <f>+EOMONTH(C23, 2)</f>
        <v>45716</v>
      </c>
      <c r="G23" s="495">
        <v>0</v>
      </c>
      <c r="H23" s="496">
        <v>0</v>
      </c>
      <c r="I23" s="496">
        <v>0</v>
      </c>
      <c r="J23" s="496">
        <v>0</v>
      </c>
      <c r="K23" s="496">
        <v>0</v>
      </c>
      <c r="L23" s="496">
        <v>0</v>
      </c>
      <c r="M23" s="496">
        <v>0</v>
      </c>
      <c r="N23" s="496">
        <v>0</v>
      </c>
      <c r="O23" s="496">
        <v>0</v>
      </c>
      <c r="P23" s="496">
        <v>0</v>
      </c>
      <c r="Q23" s="496">
        <f>+IF(AND($C23&lt;Q$2, $F23&gt;Q$2), $A23/$E$4, 0)</f>
        <v>0</v>
      </c>
      <c r="R23" s="496">
        <v>68939.3</v>
      </c>
      <c r="S23" s="496">
        <v>55151.44</v>
      </c>
      <c r="T23" s="496">
        <v>20473.86</v>
      </c>
      <c r="U23" s="496">
        <v>0</v>
      </c>
      <c r="V23" s="496">
        <v>0</v>
      </c>
      <c r="W23" s="496">
        <v>0</v>
      </c>
      <c r="X23" s="762">
        <v>0</v>
      </c>
      <c r="Y23" s="539">
        <f t="shared" si="26"/>
        <v>0</v>
      </c>
      <c r="Z23" s="539">
        <f t="shared" si="26"/>
        <v>0</v>
      </c>
      <c r="AA23" s="539">
        <f t="shared" si="26"/>
        <v>0</v>
      </c>
      <c r="AB23" s="539">
        <f t="shared" si="26"/>
        <v>0</v>
      </c>
      <c r="AC23" s="539">
        <f t="shared" si="27"/>
        <v>0</v>
      </c>
      <c r="AD23" s="539">
        <f t="shared" si="27"/>
        <v>0</v>
      </c>
      <c r="AE23" s="539">
        <f t="shared" si="27"/>
        <v>0</v>
      </c>
      <c r="AF23" s="539">
        <f t="shared" si="27"/>
        <v>0</v>
      </c>
      <c r="AG23" s="539">
        <f t="shared" si="27"/>
        <v>0</v>
      </c>
      <c r="AH23" s="539">
        <f t="shared" si="27"/>
        <v>0</v>
      </c>
      <c r="AI23" s="539">
        <f t="shared" si="27"/>
        <v>0</v>
      </c>
      <c r="AJ23" s="539">
        <f t="shared" si="27"/>
        <v>0</v>
      </c>
      <c r="AK23" s="539">
        <f t="shared" si="27"/>
        <v>0</v>
      </c>
      <c r="AL23" s="539">
        <f t="shared" si="27"/>
        <v>0</v>
      </c>
      <c r="AM23" s="539">
        <f t="shared" si="28"/>
        <v>0</v>
      </c>
      <c r="AN23" s="539">
        <f t="shared" si="28"/>
        <v>0</v>
      </c>
      <c r="AO23" s="539">
        <f t="shared" si="28"/>
        <v>0</v>
      </c>
      <c r="AP23" s="539">
        <f t="shared" si="28"/>
        <v>0</v>
      </c>
      <c r="AQ23" s="539">
        <f t="shared" si="28"/>
        <v>0</v>
      </c>
      <c r="AR23" s="539">
        <f t="shared" si="28"/>
        <v>0</v>
      </c>
      <c r="AS23" s="539">
        <f t="shared" si="28"/>
        <v>0</v>
      </c>
      <c r="AT23" s="539">
        <f t="shared" si="28"/>
        <v>0</v>
      </c>
      <c r="AU23" s="539">
        <f t="shared" si="28"/>
        <v>0</v>
      </c>
      <c r="AV23" s="539">
        <f t="shared" si="28"/>
        <v>0</v>
      </c>
      <c r="AW23" s="539">
        <f t="shared" si="29"/>
        <v>0</v>
      </c>
      <c r="AX23" s="539">
        <f t="shared" si="29"/>
        <v>0</v>
      </c>
      <c r="AY23" s="539">
        <f t="shared" si="29"/>
        <v>0</v>
      </c>
      <c r="AZ23" s="539">
        <f t="shared" si="29"/>
        <v>0</v>
      </c>
      <c r="BA23" s="539">
        <f t="shared" si="29"/>
        <v>0</v>
      </c>
      <c r="BB23" s="539">
        <f t="shared" si="29"/>
        <v>0</v>
      </c>
      <c r="BC23" s="539">
        <f t="shared" si="29"/>
        <v>0</v>
      </c>
      <c r="BD23" s="539">
        <f t="shared" si="29"/>
        <v>0</v>
      </c>
      <c r="BE23" s="539">
        <f t="shared" si="29"/>
        <v>0</v>
      </c>
      <c r="BF23" s="539">
        <f t="shared" si="29"/>
        <v>0</v>
      </c>
      <c r="BG23" s="539">
        <f t="shared" si="30"/>
        <v>0</v>
      </c>
      <c r="BH23" s="539">
        <f t="shared" si="30"/>
        <v>0</v>
      </c>
      <c r="BI23" s="539">
        <f t="shared" si="30"/>
        <v>0</v>
      </c>
      <c r="BJ23" s="539">
        <f t="shared" si="30"/>
        <v>0</v>
      </c>
      <c r="BK23" s="539">
        <f t="shared" si="30"/>
        <v>0</v>
      </c>
      <c r="BL23" s="539">
        <f t="shared" si="30"/>
        <v>0</v>
      </c>
      <c r="BM23" s="539">
        <f t="shared" si="30"/>
        <v>0</v>
      </c>
      <c r="BN23" s="539">
        <f t="shared" si="30"/>
        <v>0</v>
      </c>
      <c r="BO23" s="539">
        <f t="shared" si="30"/>
        <v>0</v>
      </c>
      <c r="BP23" s="539">
        <f t="shared" si="30"/>
        <v>0</v>
      </c>
      <c r="BQ23" s="539">
        <f t="shared" si="31"/>
        <v>0</v>
      </c>
      <c r="BR23" s="539">
        <f t="shared" si="31"/>
        <v>0</v>
      </c>
      <c r="BS23" s="539">
        <f t="shared" si="31"/>
        <v>0</v>
      </c>
      <c r="BT23" s="539">
        <f t="shared" si="31"/>
        <v>0</v>
      </c>
      <c r="BU23" s="539">
        <f t="shared" si="31"/>
        <v>0</v>
      </c>
      <c r="BV23" s="539">
        <f t="shared" si="31"/>
        <v>0</v>
      </c>
      <c r="BW23" s="539">
        <f t="shared" si="31"/>
        <v>0</v>
      </c>
      <c r="BX23" s="539">
        <f t="shared" si="31"/>
        <v>0</v>
      </c>
      <c r="BY23" s="539">
        <f t="shared" si="31"/>
        <v>0</v>
      </c>
      <c r="BZ23" s="539">
        <f t="shared" si="31"/>
        <v>0</v>
      </c>
      <c r="CA23" s="539">
        <f t="shared" si="32"/>
        <v>0</v>
      </c>
      <c r="CB23" s="539">
        <f t="shared" si="32"/>
        <v>0</v>
      </c>
      <c r="CC23" s="539">
        <f t="shared" si="32"/>
        <v>0</v>
      </c>
      <c r="CD23" s="539">
        <f t="shared" si="32"/>
        <v>0</v>
      </c>
      <c r="CE23" s="539">
        <f t="shared" si="32"/>
        <v>0</v>
      </c>
      <c r="CF23" s="539">
        <f t="shared" si="32"/>
        <v>0</v>
      </c>
      <c r="CG23" s="539">
        <f t="shared" si="32"/>
        <v>0</v>
      </c>
      <c r="CH23" s="539">
        <f t="shared" si="32"/>
        <v>0</v>
      </c>
      <c r="CI23" s="539">
        <f t="shared" si="32"/>
        <v>0</v>
      </c>
      <c r="CJ23" s="539">
        <f t="shared" si="32"/>
        <v>0</v>
      </c>
      <c r="CK23" s="539">
        <f t="shared" si="32"/>
        <v>0</v>
      </c>
      <c r="CL23" s="540">
        <f t="shared" si="32"/>
        <v>0</v>
      </c>
    </row>
    <row r="24" spans="1:90" s="478" customFormat="1" hidden="1" outlineLevel="1" x14ac:dyDescent="0.25">
      <c r="A24" s="535">
        <v>3485</v>
      </c>
      <c r="B24" s="738">
        <v>45603</v>
      </c>
      <c r="C24" s="536">
        <v>45603</v>
      </c>
      <c r="D24" s="537">
        <f t="shared" si="7"/>
        <v>45626</v>
      </c>
      <c r="E24" s="478" t="s">
        <v>481</v>
      </c>
      <c r="F24" s="538">
        <f>+EOMONTH(C24, 0)</f>
        <v>45626</v>
      </c>
      <c r="G24" s="495">
        <v>0</v>
      </c>
      <c r="H24" s="496">
        <v>0</v>
      </c>
      <c r="I24" s="496">
        <v>0</v>
      </c>
      <c r="J24" s="496">
        <v>0</v>
      </c>
      <c r="K24" s="496">
        <v>0</v>
      </c>
      <c r="L24" s="496">
        <v>0</v>
      </c>
      <c r="M24" s="496">
        <v>0</v>
      </c>
      <c r="N24" s="496">
        <v>0</v>
      </c>
      <c r="O24" s="496">
        <v>0</v>
      </c>
      <c r="P24" s="496">
        <v>0</v>
      </c>
      <c r="Q24" s="496">
        <v>3485</v>
      </c>
      <c r="R24" s="496">
        <v>0</v>
      </c>
      <c r="S24" s="496">
        <v>0</v>
      </c>
      <c r="T24" s="496">
        <v>0</v>
      </c>
      <c r="U24" s="496">
        <v>0</v>
      </c>
      <c r="V24" s="496">
        <v>0</v>
      </c>
      <c r="W24" s="496">
        <v>0</v>
      </c>
      <c r="X24" s="762">
        <v>0</v>
      </c>
      <c r="Y24" s="539">
        <f t="shared" si="26"/>
        <v>0</v>
      </c>
      <c r="Z24" s="539">
        <f t="shared" si="26"/>
        <v>0</v>
      </c>
      <c r="AA24" s="539">
        <f t="shared" si="26"/>
        <v>0</v>
      </c>
      <c r="AB24" s="539">
        <f t="shared" si="26"/>
        <v>0</v>
      </c>
      <c r="AC24" s="539">
        <f t="shared" si="27"/>
        <v>0</v>
      </c>
      <c r="AD24" s="539">
        <f t="shared" si="27"/>
        <v>0</v>
      </c>
      <c r="AE24" s="539">
        <f t="shared" si="27"/>
        <v>0</v>
      </c>
      <c r="AF24" s="539">
        <f t="shared" si="27"/>
        <v>0</v>
      </c>
      <c r="AG24" s="539">
        <f t="shared" si="27"/>
        <v>0</v>
      </c>
      <c r="AH24" s="539">
        <f t="shared" si="27"/>
        <v>0</v>
      </c>
      <c r="AI24" s="539">
        <f t="shared" si="27"/>
        <v>0</v>
      </c>
      <c r="AJ24" s="539">
        <f t="shared" si="27"/>
        <v>0</v>
      </c>
      <c r="AK24" s="539">
        <f t="shared" si="27"/>
        <v>0</v>
      </c>
      <c r="AL24" s="539">
        <f t="shared" si="27"/>
        <v>0</v>
      </c>
      <c r="AM24" s="539">
        <f t="shared" si="28"/>
        <v>0</v>
      </c>
      <c r="AN24" s="539">
        <f t="shared" si="28"/>
        <v>0</v>
      </c>
      <c r="AO24" s="539">
        <f t="shared" si="28"/>
        <v>0</v>
      </c>
      <c r="AP24" s="539">
        <f t="shared" si="28"/>
        <v>0</v>
      </c>
      <c r="AQ24" s="539">
        <f t="shared" si="28"/>
        <v>0</v>
      </c>
      <c r="AR24" s="539">
        <f t="shared" si="28"/>
        <v>0</v>
      </c>
      <c r="AS24" s="539">
        <f t="shared" si="28"/>
        <v>0</v>
      </c>
      <c r="AT24" s="539">
        <f t="shared" si="28"/>
        <v>0</v>
      </c>
      <c r="AU24" s="539">
        <f t="shared" si="28"/>
        <v>0</v>
      </c>
      <c r="AV24" s="539">
        <f t="shared" si="28"/>
        <v>0</v>
      </c>
      <c r="AW24" s="539">
        <f t="shared" si="29"/>
        <v>0</v>
      </c>
      <c r="AX24" s="539">
        <f t="shared" si="29"/>
        <v>0</v>
      </c>
      <c r="AY24" s="539">
        <f t="shared" si="29"/>
        <v>0</v>
      </c>
      <c r="AZ24" s="539">
        <f t="shared" si="29"/>
        <v>0</v>
      </c>
      <c r="BA24" s="539">
        <f t="shared" si="29"/>
        <v>0</v>
      </c>
      <c r="BB24" s="539">
        <f t="shared" si="29"/>
        <v>0</v>
      </c>
      <c r="BC24" s="539">
        <f t="shared" si="29"/>
        <v>0</v>
      </c>
      <c r="BD24" s="539">
        <f t="shared" si="29"/>
        <v>0</v>
      </c>
      <c r="BE24" s="539">
        <f t="shared" si="29"/>
        <v>0</v>
      </c>
      <c r="BF24" s="539">
        <f t="shared" si="29"/>
        <v>0</v>
      </c>
      <c r="BG24" s="539">
        <f t="shared" si="30"/>
        <v>0</v>
      </c>
      <c r="BH24" s="539">
        <f t="shared" si="30"/>
        <v>0</v>
      </c>
      <c r="BI24" s="539">
        <f t="shared" si="30"/>
        <v>0</v>
      </c>
      <c r="BJ24" s="539">
        <f t="shared" si="30"/>
        <v>0</v>
      </c>
      <c r="BK24" s="539">
        <f t="shared" si="30"/>
        <v>0</v>
      </c>
      <c r="BL24" s="539">
        <f t="shared" si="30"/>
        <v>0</v>
      </c>
      <c r="BM24" s="539">
        <f t="shared" si="30"/>
        <v>0</v>
      </c>
      <c r="BN24" s="539">
        <f t="shared" si="30"/>
        <v>0</v>
      </c>
      <c r="BO24" s="539">
        <f t="shared" si="30"/>
        <v>0</v>
      </c>
      <c r="BP24" s="539">
        <f t="shared" si="30"/>
        <v>0</v>
      </c>
      <c r="BQ24" s="539">
        <f t="shared" si="31"/>
        <v>0</v>
      </c>
      <c r="BR24" s="539">
        <f t="shared" si="31"/>
        <v>0</v>
      </c>
      <c r="BS24" s="539">
        <f t="shared" si="31"/>
        <v>0</v>
      </c>
      <c r="BT24" s="539">
        <f t="shared" si="31"/>
        <v>0</v>
      </c>
      <c r="BU24" s="539">
        <f t="shared" si="31"/>
        <v>0</v>
      </c>
      <c r="BV24" s="539">
        <f t="shared" si="31"/>
        <v>0</v>
      </c>
      <c r="BW24" s="539">
        <f t="shared" si="31"/>
        <v>0</v>
      </c>
      <c r="BX24" s="539">
        <f t="shared" si="31"/>
        <v>0</v>
      </c>
      <c r="BY24" s="539">
        <f t="shared" si="31"/>
        <v>0</v>
      </c>
      <c r="BZ24" s="539">
        <f t="shared" si="31"/>
        <v>0</v>
      </c>
      <c r="CA24" s="539">
        <f t="shared" si="32"/>
        <v>0</v>
      </c>
      <c r="CB24" s="539">
        <f t="shared" si="32"/>
        <v>0</v>
      </c>
      <c r="CC24" s="539">
        <f t="shared" si="32"/>
        <v>0</v>
      </c>
      <c r="CD24" s="539">
        <f t="shared" si="32"/>
        <v>0</v>
      </c>
      <c r="CE24" s="539">
        <f t="shared" si="32"/>
        <v>0</v>
      </c>
      <c r="CF24" s="539">
        <f t="shared" si="32"/>
        <v>0</v>
      </c>
      <c r="CG24" s="539">
        <f t="shared" si="32"/>
        <v>0</v>
      </c>
      <c r="CH24" s="539">
        <f t="shared" si="32"/>
        <v>0</v>
      </c>
      <c r="CI24" s="539">
        <f t="shared" si="32"/>
        <v>0</v>
      </c>
      <c r="CJ24" s="539">
        <f t="shared" si="32"/>
        <v>0</v>
      </c>
      <c r="CK24" s="539">
        <f t="shared" si="32"/>
        <v>0</v>
      </c>
      <c r="CL24" s="540">
        <f t="shared" si="32"/>
        <v>0</v>
      </c>
    </row>
    <row r="25" spans="1:90" s="478" customFormat="1" outlineLevel="1" x14ac:dyDescent="0.25">
      <c r="A25" s="535">
        <v>15862</v>
      </c>
      <c r="B25" s="738">
        <v>45772</v>
      </c>
      <c r="C25" s="536">
        <v>45747</v>
      </c>
      <c r="D25" s="537">
        <f t="shared" si="7"/>
        <v>45747</v>
      </c>
      <c r="E25" s="478" t="s">
        <v>480</v>
      </c>
      <c r="F25" s="538">
        <f>+EOMONTH(C25, 2)</f>
        <v>45808</v>
      </c>
      <c r="G25" s="495">
        <v>0</v>
      </c>
      <c r="H25" s="496">
        <v>0</v>
      </c>
      <c r="I25" s="496">
        <v>0</v>
      </c>
      <c r="J25" s="496">
        <v>0</v>
      </c>
      <c r="K25" s="496">
        <v>0</v>
      </c>
      <c r="L25" s="496">
        <v>0</v>
      </c>
      <c r="M25" s="496">
        <v>0</v>
      </c>
      <c r="N25" s="496">
        <v>0</v>
      </c>
      <c r="O25" s="496">
        <v>0</v>
      </c>
      <c r="P25" s="496">
        <v>0</v>
      </c>
      <c r="Q25" s="496">
        <f t="shared" ref="Q25:X35" si="34">+IF(AND($C25&lt;Q$2, $F25&gt;Q$2), $A25/$E$4, 0)</f>
        <v>0</v>
      </c>
      <c r="R25" s="496">
        <f t="shared" si="34"/>
        <v>0</v>
      </c>
      <c r="S25" s="496">
        <f t="shared" si="34"/>
        <v>0</v>
      </c>
      <c r="T25" s="496">
        <f t="shared" si="34"/>
        <v>0</v>
      </c>
      <c r="U25" s="496">
        <f t="shared" si="34"/>
        <v>0</v>
      </c>
      <c r="V25" s="496">
        <v>11761.5</v>
      </c>
      <c r="W25" s="496">
        <v>4100.5</v>
      </c>
      <c r="X25" s="762">
        <v>0</v>
      </c>
      <c r="Y25" s="539">
        <f t="shared" si="26"/>
        <v>0</v>
      </c>
      <c r="Z25" s="539">
        <f t="shared" si="26"/>
        <v>0</v>
      </c>
      <c r="AA25" s="539">
        <f t="shared" si="26"/>
        <v>0</v>
      </c>
      <c r="AB25" s="539">
        <f t="shared" si="26"/>
        <v>0</v>
      </c>
      <c r="AC25" s="539">
        <f t="shared" si="27"/>
        <v>0</v>
      </c>
      <c r="AD25" s="539">
        <f t="shared" si="27"/>
        <v>0</v>
      </c>
      <c r="AE25" s="539">
        <f t="shared" si="27"/>
        <v>0</v>
      </c>
      <c r="AF25" s="539">
        <f t="shared" si="27"/>
        <v>0</v>
      </c>
      <c r="AG25" s="539">
        <f t="shared" si="27"/>
        <v>0</v>
      </c>
      <c r="AH25" s="539">
        <f t="shared" si="27"/>
        <v>0</v>
      </c>
      <c r="AI25" s="539">
        <f t="shared" si="27"/>
        <v>0</v>
      </c>
      <c r="AJ25" s="539">
        <f t="shared" si="27"/>
        <v>0</v>
      </c>
      <c r="AK25" s="539">
        <f t="shared" si="27"/>
        <v>0</v>
      </c>
      <c r="AL25" s="539">
        <f t="shared" si="27"/>
        <v>0</v>
      </c>
      <c r="AM25" s="539">
        <f t="shared" si="28"/>
        <v>0</v>
      </c>
      <c r="AN25" s="539">
        <f t="shared" si="28"/>
        <v>0</v>
      </c>
      <c r="AO25" s="539">
        <f t="shared" si="28"/>
        <v>0</v>
      </c>
      <c r="AP25" s="539">
        <f t="shared" si="28"/>
        <v>0</v>
      </c>
      <c r="AQ25" s="539">
        <f t="shared" si="28"/>
        <v>0</v>
      </c>
      <c r="AR25" s="539">
        <f t="shared" si="28"/>
        <v>0</v>
      </c>
      <c r="AS25" s="539">
        <f t="shared" si="28"/>
        <v>0</v>
      </c>
      <c r="AT25" s="539">
        <f t="shared" si="28"/>
        <v>0</v>
      </c>
      <c r="AU25" s="539">
        <f t="shared" si="28"/>
        <v>0</v>
      </c>
      <c r="AV25" s="539">
        <f t="shared" si="28"/>
        <v>0</v>
      </c>
      <c r="AW25" s="539">
        <f t="shared" si="29"/>
        <v>0</v>
      </c>
      <c r="AX25" s="539">
        <f t="shared" si="29"/>
        <v>0</v>
      </c>
      <c r="AY25" s="539">
        <f t="shared" si="29"/>
        <v>0</v>
      </c>
      <c r="AZ25" s="539">
        <f t="shared" si="29"/>
        <v>0</v>
      </c>
      <c r="BA25" s="539">
        <f t="shared" si="29"/>
        <v>0</v>
      </c>
      <c r="BB25" s="539">
        <f t="shared" si="29"/>
        <v>0</v>
      </c>
      <c r="BC25" s="539">
        <f t="shared" si="29"/>
        <v>0</v>
      </c>
      <c r="BD25" s="539">
        <f t="shared" si="29"/>
        <v>0</v>
      </c>
      <c r="BE25" s="539">
        <f t="shared" si="29"/>
        <v>0</v>
      </c>
      <c r="BF25" s="539">
        <f t="shared" si="29"/>
        <v>0</v>
      </c>
      <c r="BG25" s="539">
        <f t="shared" si="30"/>
        <v>0</v>
      </c>
      <c r="BH25" s="539">
        <f t="shared" si="30"/>
        <v>0</v>
      </c>
      <c r="BI25" s="539">
        <f t="shared" si="30"/>
        <v>0</v>
      </c>
      <c r="BJ25" s="539">
        <f t="shared" si="30"/>
        <v>0</v>
      </c>
      <c r="BK25" s="539">
        <f t="shared" si="30"/>
        <v>0</v>
      </c>
      <c r="BL25" s="539">
        <f t="shared" si="30"/>
        <v>0</v>
      </c>
      <c r="BM25" s="539">
        <f t="shared" si="30"/>
        <v>0</v>
      </c>
      <c r="BN25" s="539">
        <f t="shared" si="30"/>
        <v>0</v>
      </c>
      <c r="BO25" s="539">
        <f t="shared" si="30"/>
        <v>0</v>
      </c>
      <c r="BP25" s="539">
        <f t="shared" si="30"/>
        <v>0</v>
      </c>
      <c r="BQ25" s="539">
        <f t="shared" si="31"/>
        <v>0</v>
      </c>
      <c r="BR25" s="539">
        <f t="shared" si="31"/>
        <v>0</v>
      </c>
      <c r="BS25" s="539">
        <f t="shared" si="31"/>
        <v>0</v>
      </c>
      <c r="BT25" s="539">
        <f t="shared" si="31"/>
        <v>0</v>
      </c>
      <c r="BU25" s="539">
        <f t="shared" si="31"/>
        <v>0</v>
      </c>
      <c r="BV25" s="539">
        <f t="shared" si="31"/>
        <v>0</v>
      </c>
      <c r="BW25" s="539">
        <f t="shared" si="31"/>
        <v>0</v>
      </c>
      <c r="BX25" s="539">
        <f t="shared" si="31"/>
        <v>0</v>
      </c>
      <c r="BY25" s="539">
        <f t="shared" si="31"/>
        <v>0</v>
      </c>
      <c r="BZ25" s="539">
        <f t="shared" si="31"/>
        <v>0</v>
      </c>
      <c r="CA25" s="539">
        <f t="shared" si="32"/>
        <v>0</v>
      </c>
      <c r="CB25" s="539">
        <f t="shared" si="32"/>
        <v>0</v>
      </c>
      <c r="CC25" s="539">
        <f t="shared" si="32"/>
        <v>0</v>
      </c>
      <c r="CD25" s="539">
        <f t="shared" si="32"/>
        <v>0</v>
      </c>
      <c r="CE25" s="539">
        <f t="shared" si="32"/>
        <v>0</v>
      </c>
      <c r="CF25" s="539">
        <f t="shared" si="32"/>
        <v>0</v>
      </c>
      <c r="CG25" s="539">
        <f t="shared" si="32"/>
        <v>0</v>
      </c>
      <c r="CH25" s="539">
        <f t="shared" si="32"/>
        <v>0</v>
      </c>
      <c r="CI25" s="539">
        <f t="shared" si="32"/>
        <v>0</v>
      </c>
      <c r="CJ25" s="539">
        <f t="shared" si="32"/>
        <v>0</v>
      </c>
      <c r="CK25" s="539">
        <f t="shared" si="32"/>
        <v>0</v>
      </c>
      <c r="CL25" s="540">
        <f t="shared" si="32"/>
        <v>0</v>
      </c>
    </row>
    <row r="26" spans="1:90" outlineLevel="1" x14ac:dyDescent="0.25">
      <c r="A26" s="294"/>
      <c r="C26" s="309">
        <v>0</v>
      </c>
      <c r="D26" s="310">
        <f t="shared" si="7"/>
        <v>31</v>
      </c>
      <c r="F26" s="144">
        <f t="shared" ref="F26:F28" si="35">+EOMONTH(C26, $E$4)</f>
        <v>121</v>
      </c>
      <c r="G26" s="495">
        <v>0</v>
      </c>
      <c r="H26" s="496">
        <v>0</v>
      </c>
      <c r="I26" s="496">
        <v>0</v>
      </c>
      <c r="J26" s="496">
        <v>0</v>
      </c>
      <c r="K26" s="496">
        <v>0</v>
      </c>
      <c r="L26" s="496">
        <v>0</v>
      </c>
      <c r="M26" s="496">
        <v>0</v>
      </c>
      <c r="N26" s="496">
        <v>0</v>
      </c>
      <c r="O26" s="496">
        <v>0</v>
      </c>
      <c r="P26" s="496">
        <v>0</v>
      </c>
      <c r="Q26" s="496">
        <f t="shared" si="34"/>
        <v>0</v>
      </c>
      <c r="R26" s="496">
        <f t="shared" si="34"/>
        <v>0</v>
      </c>
      <c r="S26" s="496">
        <f t="shared" si="34"/>
        <v>0</v>
      </c>
      <c r="T26" s="496">
        <f t="shared" si="34"/>
        <v>0</v>
      </c>
      <c r="U26" s="496">
        <f t="shared" si="34"/>
        <v>0</v>
      </c>
      <c r="V26" s="496">
        <v>0</v>
      </c>
      <c r="W26" s="496">
        <v>0</v>
      </c>
      <c r="X26" s="762">
        <v>0</v>
      </c>
      <c r="Y26" s="146">
        <f t="shared" si="26"/>
        <v>0</v>
      </c>
      <c r="Z26" s="146">
        <f t="shared" si="26"/>
        <v>0</v>
      </c>
      <c r="AA26" s="146">
        <f t="shared" si="26"/>
        <v>0</v>
      </c>
      <c r="AB26" s="146">
        <f t="shared" si="26"/>
        <v>0</v>
      </c>
      <c r="AC26" s="146">
        <f t="shared" si="27"/>
        <v>0</v>
      </c>
      <c r="AD26" s="146">
        <f t="shared" si="27"/>
        <v>0</v>
      </c>
      <c r="AE26" s="146">
        <f t="shared" si="27"/>
        <v>0</v>
      </c>
      <c r="AF26" s="146">
        <f t="shared" si="27"/>
        <v>0</v>
      </c>
      <c r="AG26" s="146">
        <f t="shared" si="27"/>
        <v>0</v>
      </c>
      <c r="AH26" s="146">
        <f t="shared" si="27"/>
        <v>0</v>
      </c>
      <c r="AI26" s="146">
        <f t="shared" si="27"/>
        <v>0</v>
      </c>
      <c r="AJ26" s="146">
        <f t="shared" si="27"/>
        <v>0</v>
      </c>
      <c r="AK26" s="146">
        <f t="shared" si="27"/>
        <v>0</v>
      </c>
      <c r="AL26" s="146">
        <f t="shared" si="27"/>
        <v>0</v>
      </c>
      <c r="AM26" s="146">
        <f t="shared" si="28"/>
        <v>0</v>
      </c>
      <c r="AN26" s="146">
        <f t="shared" si="28"/>
        <v>0</v>
      </c>
      <c r="AO26" s="146">
        <f t="shared" si="28"/>
        <v>0</v>
      </c>
      <c r="AP26" s="146">
        <f t="shared" si="28"/>
        <v>0</v>
      </c>
      <c r="AQ26" s="146">
        <f t="shared" si="28"/>
        <v>0</v>
      </c>
      <c r="AR26" s="146">
        <f t="shared" si="28"/>
        <v>0</v>
      </c>
      <c r="AS26" s="146">
        <f t="shared" si="28"/>
        <v>0</v>
      </c>
      <c r="AT26" s="146">
        <f t="shared" si="28"/>
        <v>0</v>
      </c>
      <c r="AU26" s="146">
        <f t="shared" si="28"/>
        <v>0</v>
      </c>
      <c r="AV26" s="146">
        <f t="shared" si="28"/>
        <v>0</v>
      </c>
      <c r="AW26" s="146">
        <f t="shared" si="29"/>
        <v>0</v>
      </c>
      <c r="AX26" s="146">
        <f t="shared" si="29"/>
        <v>0</v>
      </c>
      <c r="AY26" s="146">
        <f t="shared" si="29"/>
        <v>0</v>
      </c>
      <c r="AZ26" s="146">
        <f t="shared" si="29"/>
        <v>0</v>
      </c>
      <c r="BA26" s="146">
        <f t="shared" si="29"/>
        <v>0</v>
      </c>
      <c r="BB26" s="146">
        <f t="shared" si="29"/>
        <v>0</v>
      </c>
      <c r="BC26" s="146">
        <f t="shared" si="29"/>
        <v>0</v>
      </c>
      <c r="BD26" s="146">
        <f t="shared" si="29"/>
        <v>0</v>
      </c>
      <c r="BE26" s="146">
        <f t="shared" si="29"/>
        <v>0</v>
      </c>
      <c r="BF26" s="146">
        <f t="shared" si="29"/>
        <v>0</v>
      </c>
      <c r="BG26" s="146">
        <f t="shared" si="30"/>
        <v>0</v>
      </c>
      <c r="BH26" s="146">
        <f t="shared" si="30"/>
        <v>0</v>
      </c>
      <c r="BI26" s="146">
        <f t="shared" si="30"/>
        <v>0</v>
      </c>
      <c r="BJ26" s="146">
        <f t="shared" si="30"/>
        <v>0</v>
      </c>
      <c r="BK26" s="146">
        <f t="shared" si="30"/>
        <v>0</v>
      </c>
      <c r="BL26" s="146">
        <f t="shared" si="30"/>
        <v>0</v>
      </c>
      <c r="BM26" s="146">
        <f t="shared" si="30"/>
        <v>0</v>
      </c>
      <c r="BN26" s="146">
        <f t="shared" si="30"/>
        <v>0</v>
      </c>
      <c r="BO26" s="146">
        <f t="shared" si="30"/>
        <v>0</v>
      </c>
      <c r="BP26" s="146">
        <f t="shared" si="30"/>
        <v>0</v>
      </c>
      <c r="BQ26" s="146">
        <f t="shared" si="31"/>
        <v>0</v>
      </c>
      <c r="BR26" s="146">
        <f t="shared" si="31"/>
        <v>0</v>
      </c>
      <c r="BS26" s="146">
        <f t="shared" si="31"/>
        <v>0</v>
      </c>
      <c r="BT26" s="146">
        <f t="shared" si="31"/>
        <v>0</v>
      </c>
      <c r="BU26" s="146">
        <f t="shared" si="31"/>
        <v>0</v>
      </c>
      <c r="BV26" s="146">
        <f t="shared" si="31"/>
        <v>0</v>
      </c>
      <c r="BW26" s="146">
        <f t="shared" si="31"/>
        <v>0</v>
      </c>
      <c r="BX26" s="146">
        <f t="shared" si="31"/>
        <v>0</v>
      </c>
      <c r="BY26" s="146">
        <f t="shared" si="31"/>
        <v>0</v>
      </c>
      <c r="BZ26" s="146">
        <f t="shared" si="31"/>
        <v>0</v>
      </c>
      <c r="CA26" s="146">
        <f t="shared" si="32"/>
        <v>0</v>
      </c>
      <c r="CB26" s="146">
        <f t="shared" si="32"/>
        <v>0</v>
      </c>
      <c r="CC26" s="146">
        <f t="shared" si="32"/>
        <v>0</v>
      </c>
      <c r="CD26" s="146">
        <f t="shared" si="32"/>
        <v>0</v>
      </c>
      <c r="CE26" s="146">
        <f t="shared" si="32"/>
        <v>0</v>
      </c>
      <c r="CF26" s="146">
        <f t="shared" si="32"/>
        <v>0</v>
      </c>
      <c r="CG26" s="146">
        <f t="shared" si="32"/>
        <v>0</v>
      </c>
      <c r="CH26" s="146">
        <f t="shared" si="32"/>
        <v>0</v>
      </c>
      <c r="CI26" s="146">
        <f t="shared" si="32"/>
        <v>0</v>
      </c>
      <c r="CJ26" s="146">
        <f t="shared" si="32"/>
        <v>0</v>
      </c>
      <c r="CK26" s="146">
        <f t="shared" si="32"/>
        <v>0</v>
      </c>
      <c r="CL26" s="312">
        <f t="shared" si="32"/>
        <v>0</v>
      </c>
    </row>
    <row r="27" spans="1:90" outlineLevel="1" x14ac:dyDescent="0.25">
      <c r="A27" s="294"/>
      <c r="C27" s="309">
        <v>0</v>
      </c>
      <c r="D27" s="310">
        <f t="shared" si="7"/>
        <v>31</v>
      </c>
      <c r="F27" s="144">
        <f t="shared" si="35"/>
        <v>121</v>
      </c>
      <c r="G27" s="495">
        <v>0</v>
      </c>
      <c r="H27" s="496">
        <v>0</v>
      </c>
      <c r="I27" s="496">
        <v>0</v>
      </c>
      <c r="J27" s="496">
        <v>0</v>
      </c>
      <c r="K27" s="496">
        <v>0</v>
      </c>
      <c r="L27" s="496">
        <v>0</v>
      </c>
      <c r="M27" s="496">
        <v>0</v>
      </c>
      <c r="N27" s="496">
        <v>0</v>
      </c>
      <c r="O27" s="496">
        <v>0</v>
      </c>
      <c r="P27" s="496">
        <v>0</v>
      </c>
      <c r="Q27" s="496">
        <f t="shared" si="34"/>
        <v>0</v>
      </c>
      <c r="R27" s="496">
        <f t="shared" si="34"/>
        <v>0</v>
      </c>
      <c r="S27" s="496">
        <f t="shared" si="34"/>
        <v>0</v>
      </c>
      <c r="T27" s="496">
        <f t="shared" si="34"/>
        <v>0</v>
      </c>
      <c r="U27" s="496">
        <f t="shared" si="34"/>
        <v>0</v>
      </c>
      <c r="V27" s="496">
        <f t="shared" si="34"/>
        <v>0</v>
      </c>
      <c r="W27" s="496">
        <f t="shared" si="34"/>
        <v>0</v>
      </c>
      <c r="X27" s="762">
        <f t="shared" si="34"/>
        <v>0</v>
      </c>
      <c r="Y27" s="146">
        <f t="shared" si="26"/>
        <v>0</v>
      </c>
      <c r="Z27" s="146">
        <f t="shared" si="26"/>
        <v>0</v>
      </c>
      <c r="AA27" s="146">
        <f t="shared" si="26"/>
        <v>0</v>
      </c>
      <c r="AB27" s="146">
        <f t="shared" si="26"/>
        <v>0</v>
      </c>
      <c r="AC27" s="146">
        <f t="shared" si="27"/>
        <v>0</v>
      </c>
      <c r="AD27" s="146">
        <f t="shared" si="27"/>
        <v>0</v>
      </c>
      <c r="AE27" s="146">
        <f t="shared" si="27"/>
        <v>0</v>
      </c>
      <c r="AF27" s="146">
        <f t="shared" si="27"/>
        <v>0</v>
      </c>
      <c r="AG27" s="146">
        <f t="shared" si="27"/>
        <v>0</v>
      </c>
      <c r="AH27" s="146">
        <f t="shared" si="27"/>
        <v>0</v>
      </c>
      <c r="AI27" s="146">
        <f t="shared" si="27"/>
        <v>0</v>
      </c>
      <c r="AJ27" s="146">
        <f t="shared" si="27"/>
        <v>0</v>
      </c>
      <c r="AK27" s="146">
        <f t="shared" si="27"/>
        <v>0</v>
      </c>
      <c r="AL27" s="146">
        <f t="shared" si="27"/>
        <v>0</v>
      </c>
      <c r="AM27" s="146">
        <f t="shared" si="28"/>
        <v>0</v>
      </c>
      <c r="AN27" s="146">
        <f t="shared" si="28"/>
        <v>0</v>
      </c>
      <c r="AO27" s="146">
        <f t="shared" si="28"/>
        <v>0</v>
      </c>
      <c r="AP27" s="146">
        <f t="shared" si="28"/>
        <v>0</v>
      </c>
      <c r="AQ27" s="146">
        <f t="shared" si="28"/>
        <v>0</v>
      </c>
      <c r="AR27" s="146">
        <f t="shared" si="28"/>
        <v>0</v>
      </c>
      <c r="AS27" s="146">
        <f t="shared" si="28"/>
        <v>0</v>
      </c>
      <c r="AT27" s="146">
        <f t="shared" si="28"/>
        <v>0</v>
      </c>
      <c r="AU27" s="146">
        <f t="shared" si="28"/>
        <v>0</v>
      </c>
      <c r="AV27" s="146">
        <f t="shared" si="28"/>
        <v>0</v>
      </c>
      <c r="AW27" s="146">
        <f t="shared" si="29"/>
        <v>0</v>
      </c>
      <c r="AX27" s="146">
        <f t="shared" si="29"/>
        <v>0</v>
      </c>
      <c r="AY27" s="146">
        <f t="shared" si="29"/>
        <v>0</v>
      </c>
      <c r="AZ27" s="146">
        <f t="shared" si="29"/>
        <v>0</v>
      </c>
      <c r="BA27" s="146">
        <f t="shared" si="29"/>
        <v>0</v>
      </c>
      <c r="BB27" s="146">
        <f t="shared" si="29"/>
        <v>0</v>
      </c>
      <c r="BC27" s="146">
        <f t="shared" si="29"/>
        <v>0</v>
      </c>
      <c r="BD27" s="146">
        <f t="shared" si="29"/>
        <v>0</v>
      </c>
      <c r="BE27" s="146">
        <f t="shared" si="29"/>
        <v>0</v>
      </c>
      <c r="BF27" s="146">
        <f t="shared" si="29"/>
        <v>0</v>
      </c>
      <c r="BG27" s="146">
        <f t="shared" si="30"/>
        <v>0</v>
      </c>
      <c r="BH27" s="146">
        <f t="shared" si="30"/>
        <v>0</v>
      </c>
      <c r="BI27" s="146">
        <f t="shared" si="30"/>
        <v>0</v>
      </c>
      <c r="BJ27" s="146">
        <f t="shared" si="30"/>
        <v>0</v>
      </c>
      <c r="BK27" s="146">
        <f t="shared" si="30"/>
        <v>0</v>
      </c>
      <c r="BL27" s="146">
        <f t="shared" si="30"/>
        <v>0</v>
      </c>
      <c r="BM27" s="146">
        <f t="shared" si="30"/>
        <v>0</v>
      </c>
      <c r="BN27" s="146">
        <f t="shared" si="30"/>
        <v>0</v>
      </c>
      <c r="BO27" s="146">
        <f t="shared" si="30"/>
        <v>0</v>
      </c>
      <c r="BP27" s="146">
        <f t="shared" si="30"/>
        <v>0</v>
      </c>
      <c r="BQ27" s="146">
        <f t="shared" si="31"/>
        <v>0</v>
      </c>
      <c r="BR27" s="146">
        <f t="shared" si="31"/>
        <v>0</v>
      </c>
      <c r="BS27" s="146">
        <f t="shared" si="31"/>
        <v>0</v>
      </c>
      <c r="BT27" s="146">
        <f t="shared" si="31"/>
        <v>0</v>
      </c>
      <c r="BU27" s="146">
        <f t="shared" si="31"/>
        <v>0</v>
      </c>
      <c r="BV27" s="146">
        <f t="shared" si="31"/>
        <v>0</v>
      </c>
      <c r="BW27" s="146">
        <f t="shared" si="31"/>
        <v>0</v>
      </c>
      <c r="BX27" s="146">
        <f t="shared" si="31"/>
        <v>0</v>
      </c>
      <c r="BY27" s="146">
        <f t="shared" si="31"/>
        <v>0</v>
      </c>
      <c r="BZ27" s="146">
        <f t="shared" si="31"/>
        <v>0</v>
      </c>
      <c r="CA27" s="146">
        <f t="shared" si="32"/>
        <v>0</v>
      </c>
      <c r="CB27" s="146">
        <f t="shared" si="32"/>
        <v>0</v>
      </c>
      <c r="CC27" s="146">
        <f t="shared" si="32"/>
        <v>0</v>
      </c>
      <c r="CD27" s="146">
        <f t="shared" si="32"/>
        <v>0</v>
      </c>
      <c r="CE27" s="146">
        <f t="shared" si="32"/>
        <v>0</v>
      </c>
      <c r="CF27" s="146">
        <f t="shared" si="32"/>
        <v>0</v>
      </c>
      <c r="CG27" s="146">
        <f t="shared" si="32"/>
        <v>0</v>
      </c>
      <c r="CH27" s="146">
        <f t="shared" si="32"/>
        <v>0</v>
      </c>
      <c r="CI27" s="146">
        <f t="shared" si="32"/>
        <v>0</v>
      </c>
      <c r="CJ27" s="146">
        <f t="shared" si="32"/>
        <v>0</v>
      </c>
      <c r="CK27" s="146">
        <f t="shared" si="32"/>
        <v>0</v>
      </c>
      <c r="CL27" s="312">
        <f t="shared" si="32"/>
        <v>0</v>
      </c>
    </row>
    <row r="28" spans="1:90" outlineLevel="1" x14ac:dyDescent="0.25">
      <c r="A28" s="294"/>
      <c r="C28" s="309">
        <v>0</v>
      </c>
      <c r="D28" s="310">
        <f t="shared" si="7"/>
        <v>31</v>
      </c>
      <c r="F28" s="144">
        <f t="shared" si="35"/>
        <v>121</v>
      </c>
      <c r="G28" s="495">
        <v>0</v>
      </c>
      <c r="H28" s="496">
        <v>0</v>
      </c>
      <c r="I28" s="496">
        <v>0</v>
      </c>
      <c r="J28" s="496">
        <v>0</v>
      </c>
      <c r="K28" s="496">
        <v>0</v>
      </c>
      <c r="L28" s="496">
        <v>0</v>
      </c>
      <c r="M28" s="496">
        <v>0</v>
      </c>
      <c r="N28" s="496">
        <v>0</v>
      </c>
      <c r="O28" s="496">
        <v>0</v>
      </c>
      <c r="P28" s="496">
        <v>0</v>
      </c>
      <c r="Q28" s="496">
        <f t="shared" si="34"/>
        <v>0</v>
      </c>
      <c r="R28" s="496">
        <f t="shared" si="34"/>
        <v>0</v>
      </c>
      <c r="S28" s="496">
        <f t="shared" si="34"/>
        <v>0</v>
      </c>
      <c r="T28" s="496">
        <f t="shared" si="34"/>
        <v>0</v>
      </c>
      <c r="U28" s="496">
        <f t="shared" si="34"/>
        <v>0</v>
      </c>
      <c r="V28" s="496">
        <f t="shared" si="34"/>
        <v>0</v>
      </c>
      <c r="W28" s="496">
        <f t="shared" si="34"/>
        <v>0</v>
      </c>
      <c r="X28" s="762">
        <f t="shared" si="34"/>
        <v>0</v>
      </c>
      <c r="Y28" s="146">
        <f t="shared" si="26"/>
        <v>0</v>
      </c>
      <c r="Z28" s="146">
        <f t="shared" si="26"/>
        <v>0</v>
      </c>
      <c r="AA28" s="146">
        <f t="shared" si="26"/>
        <v>0</v>
      </c>
      <c r="AB28" s="146">
        <f t="shared" si="26"/>
        <v>0</v>
      </c>
      <c r="AC28" s="146">
        <f t="shared" si="27"/>
        <v>0</v>
      </c>
      <c r="AD28" s="146">
        <f t="shared" si="27"/>
        <v>0</v>
      </c>
      <c r="AE28" s="146">
        <f t="shared" si="27"/>
        <v>0</v>
      </c>
      <c r="AF28" s="146">
        <f t="shared" si="27"/>
        <v>0</v>
      </c>
      <c r="AG28" s="146">
        <f t="shared" si="27"/>
        <v>0</v>
      </c>
      <c r="AH28" s="146">
        <f t="shared" si="27"/>
        <v>0</v>
      </c>
      <c r="AI28" s="146">
        <f t="shared" si="27"/>
        <v>0</v>
      </c>
      <c r="AJ28" s="146">
        <f t="shared" si="27"/>
        <v>0</v>
      </c>
      <c r="AK28" s="146">
        <f t="shared" si="27"/>
        <v>0</v>
      </c>
      <c r="AL28" s="146">
        <f t="shared" si="27"/>
        <v>0</v>
      </c>
      <c r="AM28" s="146">
        <f t="shared" si="28"/>
        <v>0</v>
      </c>
      <c r="AN28" s="146">
        <f t="shared" si="28"/>
        <v>0</v>
      </c>
      <c r="AO28" s="146">
        <f t="shared" si="28"/>
        <v>0</v>
      </c>
      <c r="AP28" s="146">
        <f t="shared" si="28"/>
        <v>0</v>
      </c>
      <c r="AQ28" s="146">
        <f t="shared" si="28"/>
        <v>0</v>
      </c>
      <c r="AR28" s="146">
        <f t="shared" si="28"/>
        <v>0</v>
      </c>
      <c r="AS28" s="146">
        <f t="shared" si="28"/>
        <v>0</v>
      </c>
      <c r="AT28" s="146">
        <f t="shared" si="28"/>
        <v>0</v>
      </c>
      <c r="AU28" s="146">
        <f t="shared" si="28"/>
        <v>0</v>
      </c>
      <c r="AV28" s="146">
        <f t="shared" si="28"/>
        <v>0</v>
      </c>
      <c r="AW28" s="146">
        <f t="shared" si="29"/>
        <v>0</v>
      </c>
      <c r="AX28" s="146">
        <f t="shared" si="29"/>
        <v>0</v>
      </c>
      <c r="AY28" s="146">
        <f t="shared" si="29"/>
        <v>0</v>
      </c>
      <c r="AZ28" s="146">
        <f t="shared" si="29"/>
        <v>0</v>
      </c>
      <c r="BA28" s="146">
        <f t="shared" si="29"/>
        <v>0</v>
      </c>
      <c r="BB28" s="146">
        <f t="shared" si="29"/>
        <v>0</v>
      </c>
      <c r="BC28" s="146">
        <f t="shared" si="29"/>
        <v>0</v>
      </c>
      <c r="BD28" s="146">
        <f t="shared" si="29"/>
        <v>0</v>
      </c>
      <c r="BE28" s="146">
        <f t="shared" si="29"/>
        <v>0</v>
      </c>
      <c r="BF28" s="146">
        <f t="shared" si="29"/>
        <v>0</v>
      </c>
      <c r="BG28" s="146">
        <f t="shared" si="30"/>
        <v>0</v>
      </c>
      <c r="BH28" s="146">
        <f t="shared" si="30"/>
        <v>0</v>
      </c>
      <c r="BI28" s="146">
        <f t="shared" si="30"/>
        <v>0</v>
      </c>
      <c r="BJ28" s="146">
        <f t="shared" si="30"/>
        <v>0</v>
      </c>
      <c r="BK28" s="146">
        <f t="shared" si="30"/>
        <v>0</v>
      </c>
      <c r="BL28" s="146">
        <f t="shared" si="30"/>
        <v>0</v>
      </c>
      <c r="BM28" s="146">
        <f t="shared" si="30"/>
        <v>0</v>
      </c>
      <c r="BN28" s="146">
        <f t="shared" si="30"/>
        <v>0</v>
      </c>
      <c r="BO28" s="146">
        <f t="shared" si="30"/>
        <v>0</v>
      </c>
      <c r="BP28" s="146">
        <f t="shared" si="30"/>
        <v>0</v>
      </c>
      <c r="BQ28" s="146">
        <f t="shared" si="31"/>
        <v>0</v>
      </c>
      <c r="BR28" s="146">
        <f t="shared" si="31"/>
        <v>0</v>
      </c>
      <c r="BS28" s="146">
        <f t="shared" si="31"/>
        <v>0</v>
      </c>
      <c r="BT28" s="146">
        <f t="shared" si="31"/>
        <v>0</v>
      </c>
      <c r="BU28" s="146">
        <f t="shared" si="31"/>
        <v>0</v>
      </c>
      <c r="BV28" s="146">
        <f t="shared" si="31"/>
        <v>0</v>
      </c>
      <c r="BW28" s="146">
        <f t="shared" si="31"/>
        <v>0</v>
      </c>
      <c r="BX28" s="146">
        <f t="shared" si="31"/>
        <v>0</v>
      </c>
      <c r="BY28" s="146">
        <f t="shared" si="31"/>
        <v>0</v>
      </c>
      <c r="BZ28" s="146">
        <f t="shared" si="31"/>
        <v>0</v>
      </c>
      <c r="CA28" s="146">
        <f t="shared" si="32"/>
        <v>0</v>
      </c>
      <c r="CB28" s="146">
        <f t="shared" si="32"/>
        <v>0</v>
      </c>
      <c r="CC28" s="146">
        <f t="shared" si="32"/>
        <v>0</v>
      </c>
      <c r="CD28" s="146">
        <f t="shared" si="32"/>
        <v>0</v>
      </c>
      <c r="CE28" s="146">
        <f t="shared" si="32"/>
        <v>0</v>
      </c>
      <c r="CF28" s="146">
        <f t="shared" si="32"/>
        <v>0</v>
      </c>
      <c r="CG28" s="146">
        <f t="shared" si="32"/>
        <v>0</v>
      </c>
      <c r="CH28" s="146">
        <f t="shared" si="32"/>
        <v>0</v>
      </c>
      <c r="CI28" s="146">
        <f t="shared" si="32"/>
        <v>0</v>
      </c>
      <c r="CJ28" s="146">
        <f t="shared" si="32"/>
        <v>0</v>
      </c>
      <c r="CK28" s="146">
        <f t="shared" si="32"/>
        <v>0</v>
      </c>
      <c r="CL28" s="312">
        <f t="shared" si="32"/>
        <v>0</v>
      </c>
    </row>
    <row r="29" spans="1:90" outlineLevel="1" x14ac:dyDescent="0.25">
      <c r="A29" s="294"/>
      <c r="C29" s="309">
        <v>0</v>
      </c>
      <c r="D29" s="310">
        <f t="shared" si="7"/>
        <v>31</v>
      </c>
      <c r="F29" s="144">
        <f>+EOMONTH(C29, $E$4)</f>
        <v>121</v>
      </c>
      <c r="G29" s="495">
        <v>0</v>
      </c>
      <c r="H29" s="496">
        <v>0</v>
      </c>
      <c r="I29" s="496">
        <v>0</v>
      </c>
      <c r="J29" s="496">
        <v>0</v>
      </c>
      <c r="K29" s="496">
        <v>0</v>
      </c>
      <c r="L29" s="496">
        <v>0</v>
      </c>
      <c r="M29" s="496">
        <v>0</v>
      </c>
      <c r="N29" s="496">
        <v>0</v>
      </c>
      <c r="O29" s="496">
        <v>0</v>
      </c>
      <c r="P29" s="496">
        <v>0</v>
      </c>
      <c r="Q29" s="496">
        <f t="shared" si="34"/>
        <v>0</v>
      </c>
      <c r="R29" s="496">
        <f t="shared" si="34"/>
        <v>0</v>
      </c>
      <c r="S29" s="496">
        <f t="shared" si="34"/>
        <v>0</v>
      </c>
      <c r="T29" s="496">
        <f t="shared" si="34"/>
        <v>0</v>
      </c>
      <c r="U29" s="496">
        <f t="shared" si="34"/>
        <v>0</v>
      </c>
      <c r="V29" s="496">
        <f t="shared" si="34"/>
        <v>0</v>
      </c>
      <c r="W29" s="496">
        <f t="shared" si="34"/>
        <v>0</v>
      </c>
      <c r="X29" s="762">
        <f t="shared" si="34"/>
        <v>0</v>
      </c>
      <c r="Y29" s="146">
        <f t="shared" si="26"/>
        <v>0</v>
      </c>
      <c r="Z29" s="146">
        <f t="shared" si="26"/>
        <v>0</v>
      </c>
      <c r="AA29" s="146">
        <f t="shared" si="26"/>
        <v>0</v>
      </c>
      <c r="AB29" s="146">
        <f t="shared" si="26"/>
        <v>0</v>
      </c>
      <c r="AC29" s="146">
        <f t="shared" si="27"/>
        <v>0</v>
      </c>
      <c r="AD29" s="146">
        <f t="shared" si="27"/>
        <v>0</v>
      </c>
      <c r="AE29" s="146">
        <f t="shared" si="27"/>
        <v>0</v>
      </c>
      <c r="AF29" s="146">
        <f t="shared" si="27"/>
        <v>0</v>
      </c>
      <c r="AG29" s="146">
        <f t="shared" si="27"/>
        <v>0</v>
      </c>
      <c r="AH29" s="146">
        <f t="shared" si="27"/>
        <v>0</v>
      </c>
      <c r="AI29" s="146">
        <f t="shared" si="27"/>
        <v>0</v>
      </c>
      <c r="AJ29" s="146">
        <f t="shared" si="27"/>
        <v>0</v>
      </c>
      <c r="AK29" s="146">
        <f t="shared" si="27"/>
        <v>0</v>
      </c>
      <c r="AL29" s="146">
        <f t="shared" si="27"/>
        <v>0</v>
      </c>
      <c r="AM29" s="146">
        <f t="shared" si="28"/>
        <v>0</v>
      </c>
      <c r="AN29" s="146">
        <f t="shared" si="28"/>
        <v>0</v>
      </c>
      <c r="AO29" s="146">
        <f t="shared" si="28"/>
        <v>0</v>
      </c>
      <c r="AP29" s="146">
        <f t="shared" si="28"/>
        <v>0</v>
      </c>
      <c r="AQ29" s="146">
        <f t="shared" si="28"/>
        <v>0</v>
      </c>
      <c r="AR29" s="146">
        <f t="shared" si="28"/>
        <v>0</v>
      </c>
      <c r="AS29" s="146">
        <f t="shared" si="28"/>
        <v>0</v>
      </c>
      <c r="AT29" s="146">
        <f t="shared" si="28"/>
        <v>0</v>
      </c>
      <c r="AU29" s="146">
        <f t="shared" si="28"/>
        <v>0</v>
      </c>
      <c r="AV29" s="146">
        <f t="shared" si="28"/>
        <v>0</v>
      </c>
      <c r="AW29" s="146">
        <f t="shared" si="29"/>
        <v>0</v>
      </c>
      <c r="AX29" s="146">
        <f t="shared" si="29"/>
        <v>0</v>
      </c>
      <c r="AY29" s="146">
        <f t="shared" si="29"/>
        <v>0</v>
      </c>
      <c r="AZ29" s="146">
        <f t="shared" si="29"/>
        <v>0</v>
      </c>
      <c r="BA29" s="146">
        <f t="shared" si="29"/>
        <v>0</v>
      </c>
      <c r="BB29" s="146">
        <f t="shared" si="29"/>
        <v>0</v>
      </c>
      <c r="BC29" s="146">
        <f t="shared" si="29"/>
        <v>0</v>
      </c>
      <c r="BD29" s="146">
        <f t="shared" si="29"/>
        <v>0</v>
      </c>
      <c r="BE29" s="146">
        <f t="shared" si="29"/>
        <v>0</v>
      </c>
      <c r="BF29" s="146">
        <f t="shared" si="29"/>
        <v>0</v>
      </c>
      <c r="BG29" s="146">
        <f t="shared" si="30"/>
        <v>0</v>
      </c>
      <c r="BH29" s="146">
        <f t="shared" si="30"/>
        <v>0</v>
      </c>
      <c r="BI29" s="146">
        <f t="shared" si="30"/>
        <v>0</v>
      </c>
      <c r="BJ29" s="146">
        <f t="shared" si="30"/>
        <v>0</v>
      </c>
      <c r="BK29" s="146">
        <f t="shared" si="30"/>
        <v>0</v>
      </c>
      <c r="BL29" s="146">
        <f t="shared" si="30"/>
        <v>0</v>
      </c>
      <c r="BM29" s="146">
        <f t="shared" si="30"/>
        <v>0</v>
      </c>
      <c r="BN29" s="146">
        <f t="shared" si="30"/>
        <v>0</v>
      </c>
      <c r="BO29" s="146">
        <f t="shared" si="30"/>
        <v>0</v>
      </c>
      <c r="BP29" s="146">
        <f t="shared" si="30"/>
        <v>0</v>
      </c>
      <c r="BQ29" s="146">
        <f t="shared" si="31"/>
        <v>0</v>
      </c>
      <c r="BR29" s="146">
        <f t="shared" si="31"/>
        <v>0</v>
      </c>
      <c r="BS29" s="146">
        <f t="shared" si="31"/>
        <v>0</v>
      </c>
      <c r="BT29" s="146">
        <f t="shared" si="31"/>
        <v>0</v>
      </c>
      <c r="BU29" s="146">
        <f t="shared" si="31"/>
        <v>0</v>
      </c>
      <c r="BV29" s="146">
        <f t="shared" si="31"/>
        <v>0</v>
      </c>
      <c r="BW29" s="146">
        <f t="shared" si="31"/>
        <v>0</v>
      </c>
      <c r="BX29" s="146">
        <f t="shared" si="31"/>
        <v>0</v>
      </c>
      <c r="BY29" s="146">
        <f t="shared" si="31"/>
        <v>0</v>
      </c>
      <c r="BZ29" s="146">
        <f t="shared" si="31"/>
        <v>0</v>
      </c>
      <c r="CA29" s="146">
        <f t="shared" si="32"/>
        <v>0</v>
      </c>
      <c r="CB29" s="146">
        <f t="shared" si="32"/>
        <v>0</v>
      </c>
      <c r="CC29" s="146">
        <f t="shared" si="32"/>
        <v>0</v>
      </c>
      <c r="CD29" s="146">
        <f t="shared" si="32"/>
        <v>0</v>
      </c>
      <c r="CE29" s="146">
        <f t="shared" si="32"/>
        <v>0</v>
      </c>
      <c r="CF29" s="146">
        <f t="shared" si="32"/>
        <v>0</v>
      </c>
      <c r="CG29" s="146">
        <f t="shared" si="32"/>
        <v>0</v>
      </c>
      <c r="CH29" s="146">
        <f t="shared" si="32"/>
        <v>0</v>
      </c>
      <c r="CI29" s="146">
        <f t="shared" si="32"/>
        <v>0</v>
      </c>
      <c r="CJ29" s="146">
        <f t="shared" si="32"/>
        <v>0</v>
      </c>
      <c r="CK29" s="146">
        <f t="shared" si="32"/>
        <v>0</v>
      </c>
      <c r="CL29" s="312">
        <f t="shared" si="32"/>
        <v>0</v>
      </c>
    </row>
    <row r="30" spans="1:90" outlineLevel="1" x14ac:dyDescent="0.25">
      <c r="A30" s="294"/>
      <c r="C30" s="309">
        <v>0</v>
      </c>
      <c r="D30" s="310">
        <f t="shared" si="7"/>
        <v>31</v>
      </c>
      <c r="F30" s="144">
        <f t="shared" ref="F30:F31" si="36">+EOMONTH(C30, $E$4)</f>
        <v>121</v>
      </c>
      <c r="G30" s="495">
        <v>0</v>
      </c>
      <c r="H30" s="496">
        <v>0</v>
      </c>
      <c r="I30" s="496">
        <v>0</v>
      </c>
      <c r="J30" s="496">
        <v>0</v>
      </c>
      <c r="K30" s="496">
        <v>0</v>
      </c>
      <c r="L30" s="496">
        <v>0</v>
      </c>
      <c r="M30" s="496">
        <v>0</v>
      </c>
      <c r="N30" s="496">
        <v>0</v>
      </c>
      <c r="O30" s="496">
        <v>0</v>
      </c>
      <c r="P30" s="496">
        <v>0</v>
      </c>
      <c r="Q30" s="496">
        <f t="shared" si="34"/>
        <v>0</v>
      </c>
      <c r="R30" s="496">
        <f t="shared" si="34"/>
        <v>0</v>
      </c>
      <c r="S30" s="496">
        <f t="shared" si="34"/>
        <v>0</v>
      </c>
      <c r="T30" s="496">
        <f t="shared" si="34"/>
        <v>0</v>
      </c>
      <c r="U30" s="496">
        <f t="shared" si="34"/>
        <v>0</v>
      </c>
      <c r="V30" s="496">
        <f t="shared" si="34"/>
        <v>0</v>
      </c>
      <c r="W30" s="496">
        <f t="shared" si="34"/>
        <v>0</v>
      </c>
      <c r="X30" s="762">
        <f t="shared" si="34"/>
        <v>0</v>
      </c>
      <c r="Y30" s="146">
        <f t="shared" ref="Y30:AB35" si="37">+IF(AND($C30&lt;Y$2, $F30&gt;Y$2), $A30/$E$4, 0)</f>
        <v>0</v>
      </c>
      <c r="Z30" s="146">
        <f t="shared" si="37"/>
        <v>0</v>
      </c>
      <c r="AA30" s="146">
        <f t="shared" si="37"/>
        <v>0</v>
      </c>
      <c r="AB30" s="146">
        <f t="shared" si="37"/>
        <v>0</v>
      </c>
      <c r="AC30" s="146">
        <f t="shared" ref="AC30:AL35" si="38">+IF(AND($C30&lt;AC$2, $F30&gt;AC$2), $A30/$E$4, 0)</f>
        <v>0</v>
      </c>
      <c r="AD30" s="146">
        <f t="shared" si="38"/>
        <v>0</v>
      </c>
      <c r="AE30" s="146">
        <f t="shared" si="38"/>
        <v>0</v>
      </c>
      <c r="AF30" s="146">
        <f t="shared" si="38"/>
        <v>0</v>
      </c>
      <c r="AG30" s="146">
        <f t="shared" si="38"/>
        <v>0</v>
      </c>
      <c r="AH30" s="146">
        <f t="shared" si="38"/>
        <v>0</v>
      </c>
      <c r="AI30" s="146">
        <f t="shared" si="38"/>
        <v>0</v>
      </c>
      <c r="AJ30" s="146">
        <f t="shared" si="38"/>
        <v>0</v>
      </c>
      <c r="AK30" s="146">
        <f t="shared" si="38"/>
        <v>0</v>
      </c>
      <c r="AL30" s="146">
        <f t="shared" si="38"/>
        <v>0</v>
      </c>
      <c r="AM30" s="146">
        <f t="shared" ref="AM30:AV35" si="39">+IF(AND($C30&lt;AM$2, $F30&gt;AM$2), $A30/$E$4, 0)</f>
        <v>0</v>
      </c>
      <c r="AN30" s="146">
        <f t="shared" si="39"/>
        <v>0</v>
      </c>
      <c r="AO30" s="146">
        <f t="shared" si="39"/>
        <v>0</v>
      </c>
      <c r="AP30" s="146">
        <f t="shared" si="39"/>
        <v>0</v>
      </c>
      <c r="AQ30" s="146">
        <f t="shared" si="39"/>
        <v>0</v>
      </c>
      <c r="AR30" s="146">
        <f t="shared" si="39"/>
        <v>0</v>
      </c>
      <c r="AS30" s="146">
        <f t="shared" si="39"/>
        <v>0</v>
      </c>
      <c r="AT30" s="146">
        <f t="shared" si="39"/>
        <v>0</v>
      </c>
      <c r="AU30" s="146">
        <f t="shared" si="39"/>
        <v>0</v>
      </c>
      <c r="AV30" s="146">
        <f t="shared" si="39"/>
        <v>0</v>
      </c>
      <c r="AW30" s="146">
        <f t="shared" ref="AW30:BF35" si="40">+IF(AND($C30&lt;AW$2, $F30&gt;AW$2), $A30/$E$4, 0)</f>
        <v>0</v>
      </c>
      <c r="AX30" s="146">
        <f t="shared" si="40"/>
        <v>0</v>
      </c>
      <c r="AY30" s="146">
        <f t="shared" si="40"/>
        <v>0</v>
      </c>
      <c r="AZ30" s="146">
        <f t="shared" si="40"/>
        <v>0</v>
      </c>
      <c r="BA30" s="146">
        <f t="shared" si="40"/>
        <v>0</v>
      </c>
      <c r="BB30" s="146">
        <f t="shared" si="40"/>
        <v>0</v>
      </c>
      <c r="BC30" s="146">
        <f t="shared" si="40"/>
        <v>0</v>
      </c>
      <c r="BD30" s="146">
        <f t="shared" si="40"/>
        <v>0</v>
      </c>
      <c r="BE30" s="146">
        <f t="shared" si="40"/>
        <v>0</v>
      </c>
      <c r="BF30" s="146">
        <f t="shared" si="40"/>
        <v>0</v>
      </c>
      <c r="BG30" s="146">
        <f t="shared" ref="BG30:BP35" si="41">+IF(AND($C30&lt;BG$2, $F30&gt;BG$2), $A30/$E$4, 0)</f>
        <v>0</v>
      </c>
      <c r="BH30" s="146">
        <f t="shared" si="41"/>
        <v>0</v>
      </c>
      <c r="BI30" s="146">
        <f t="shared" si="41"/>
        <v>0</v>
      </c>
      <c r="BJ30" s="146">
        <f t="shared" si="41"/>
        <v>0</v>
      </c>
      <c r="BK30" s="146">
        <f t="shared" si="41"/>
        <v>0</v>
      </c>
      <c r="BL30" s="146">
        <f t="shared" si="41"/>
        <v>0</v>
      </c>
      <c r="BM30" s="146">
        <f t="shared" si="41"/>
        <v>0</v>
      </c>
      <c r="BN30" s="146">
        <f t="shared" si="41"/>
        <v>0</v>
      </c>
      <c r="BO30" s="146">
        <f t="shared" si="41"/>
        <v>0</v>
      </c>
      <c r="BP30" s="146">
        <f t="shared" si="41"/>
        <v>0</v>
      </c>
      <c r="BQ30" s="146">
        <f t="shared" ref="BQ30:BZ35" si="42">+IF(AND($C30&lt;BQ$2, $F30&gt;BQ$2), $A30/$E$4, 0)</f>
        <v>0</v>
      </c>
      <c r="BR30" s="146">
        <f t="shared" si="42"/>
        <v>0</v>
      </c>
      <c r="BS30" s="146">
        <f t="shared" si="42"/>
        <v>0</v>
      </c>
      <c r="BT30" s="146">
        <f t="shared" si="42"/>
        <v>0</v>
      </c>
      <c r="BU30" s="146">
        <f t="shared" si="42"/>
        <v>0</v>
      </c>
      <c r="BV30" s="146">
        <f t="shared" si="42"/>
        <v>0</v>
      </c>
      <c r="BW30" s="146">
        <f t="shared" si="42"/>
        <v>0</v>
      </c>
      <c r="BX30" s="146">
        <f t="shared" si="42"/>
        <v>0</v>
      </c>
      <c r="BY30" s="146">
        <f t="shared" si="42"/>
        <v>0</v>
      </c>
      <c r="BZ30" s="146">
        <f t="shared" si="42"/>
        <v>0</v>
      </c>
      <c r="CA30" s="146">
        <f t="shared" ref="CA30:CL35" si="43">+IF(AND($C30&lt;CA$2, $F30&gt;CA$2), $A30/$E$4, 0)</f>
        <v>0</v>
      </c>
      <c r="CB30" s="146">
        <f t="shared" si="43"/>
        <v>0</v>
      </c>
      <c r="CC30" s="146">
        <f t="shared" si="43"/>
        <v>0</v>
      </c>
      <c r="CD30" s="146">
        <f t="shared" si="43"/>
        <v>0</v>
      </c>
      <c r="CE30" s="146">
        <f t="shared" si="43"/>
        <v>0</v>
      </c>
      <c r="CF30" s="146">
        <f t="shared" si="43"/>
        <v>0</v>
      </c>
      <c r="CG30" s="146">
        <f t="shared" si="43"/>
        <v>0</v>
      </c>
      <c r="CH30" s="146">
        <f t="shared" si="43"/>
        <v>0</v>
      </c>
      <c r="CI30" s="146">
        <f t="shared" si="43"/>
        <v>0</v>
      </c>
      <c r="CJ30" s="146">
        <f t="shared" si="43"/>
        <v>0</v>
      </c>
      <c r="CK30" s="146">
        <f t="shared" si="43"/>
        <v>0</v>
      </c>
      <c r="CL30" s="312">
        <f t="shared" si="43"/>
        <v>0</v>
      </c>
    </row>
    <row r="31" spans="1:90" outlineLevel="1" x14ac:dyDescent="0.25">
      <c r="A31" s="294"/>
      <c r="C31" s="309">
        <v>0</v>
      </c>
      <c r="D31" s="310">
        <f t="shared" si="7"/>
        <v>31</v>
      </c>
      <c r="F31" s="144">
        <f t="shared" si="36"/>
        <v>121</v>
      </c>
      <c r="G31" s="495">
        <v>0</v>
      </c>
      <c r="H31" s="496">
        <v>0</v>
      </c>
      <c r="I31" s="496">
        <v>0</v>
      </c>
      <c r="J31" s="496">
        <v>0</v>
      </c>
      <c r="K31" s="496">
        <v>0</v>
      </c>
      <c r="L31" s="496">
        <v>0</v>
      </c>
      <c r="M31" s="496">
        <v>0</v>
      </c>
      <c r="N31" s="496">
        <v>0</v>
      </c>
      <c r="O31" s="496">
        <v>0</v>
      </c>
      <c r="P31" s="496">
        <v>0</v>
      </c>
      <c r="Q31" s="496">
        <f t="shared" si="34"/>
        <v>0</v>
      </c>
      <c r="R31" s="496">
        <f t="shared" si="34"/>
        <v>0</v>
      </c>
      <c r="S31" s="496">
        <f t="shared" si="34"/>
        <v>0</v>
      </c>
      <c r="T31" s="496">
        <f t="shared" si="34"/>
        <v>0</v>
      </c>
      <c r="U31" s="496">
        <f t="shared" si="34"/>
        <v>0</v>
      </c>
      <c r="V31" s="496">
        <f t="shared" si="34"/>
        <v>0</v>
      </c>
      <c r="W31" s="496">
        <f t="shared" si="34"/>
        <v>0</v>
      </c>
      <c r="X31" s="762">
        <f t="shared" si="34"/>
        <v>0</v>
      </c>
      <c r="Y31" s="146">
        <f t="shared" si="37"/>
        <v>0</v>
      </c>
      <c r="Z31" s="146">
        <f t="shared" si="37"/>
        <v>0</v>
      </c>
      <c r="AA31" s="146">
        <f t="shared" si="37"/>
        <v>0</v>
      </c>
      <c r="AB31" s="146">
        <f t="shared" si="37"/>
        <v>0</v>
      </c>
      <c r="AC31" s="146">
        <f t="shared" si="38"/>
        <v>0</v>
      </c>
      <c r="AD31" s="146">
        <f t="shared" si="38"/>
        <v>0</v>
      </c>
      <c r="AE31" s="146">
        <f t="shared" si="38"/>
        <v>0</v>
      </c>
      <c r="AF31" s="146">
        <f t="shared" si="38"/>
        <v>0</v>
      </c>
      <c r="AG31" s="146">
        <f t="shared" si="38"/>
        <v>0</v>
      </c>
      <c r="AH31" s="146">
        <f t="shared" si="38"/>
        <v>0</v>
      </c>
      <c r="AI31" s="146">
        <f t="shared" si="38"/>
        <v>0</v>
      </c>
      <c r="AJ31" s="146">
        <f t="shared" si="38"/>
        <v>0</v>
      </c>
      <c r="AK31" s="146">
        <f t="shared" si="38"/>
        <v>0</v>
      </c>
      <c r="AL31" s="146">
        <f t="shared" si="38"/>
        <v>0</v>
      </c>
      <c r="AM31" s="146">
        <f t="shared" si="39"/>
        <v>0</v>
      </c>
      <c r="AN31" s="146">
        <f t="shared" si="39"/>
        <v>0</v>
      </c>
      <c r="AO31" s="146">
        <f t="shared" si="39"/>
        <v>0</v>
      </c>
      <c r="AP31" s="146">
        <f t="shared" si="39"/>
        <v>0</v>
      </c>
      <c r="AQ31" s="146">
        <f t="shared" si="39"/>
        <v>0</v>
      </c>
      <c r="AR31" s="146">
        <f t="shared" si="39"/>
        <v>0</v>
      </c>
      <c r="AS31" s="146">
        <f t="shared" si="39"/>
        <v>0</v>
      </c>
      <c r="AT31" s="146">
        <f t="shared" si="39"/>
        <v>0</v>
      </c>
      <c r="AU31" s="146">
        <f t="shared" si="39"/>
        <v>0</v>
      </c>
      <c r="AV31" s="146">
        <f t="shared" si="39"/>
        <v>0</v>
      </c>
      <c r="AW31" s="146">
        <f t="shared" si="40"/>
        <v>0</v>
      </c>
      <c r="AX31" s="146">
        <f t="shared" si="40"/>
        <v>0</v>
      </c>
      <c r="AY31" s="146">
        <f t="shared" si="40"/>
        <v>0</v>
      </c>
      <c r="AZ31" s="146">
        <f t="shared" si="40"/>
        <v>0</v>
      </c>
      <c r="BA31" s="146">
        <f t="shared" si="40"/>
        <v>0</v>
      </c>
      <c r="BB31" s="146">
        <f t="shared" si="40"/>
        <v>0</v>
      </c>
      <c r="BC31" s="146">
        <f t="shared" si="40"/>
        <v>0</v>
      </c>
      <c r="BD31" s="146">
        <f t="shared" si="40"/>
        <v>0</v>
      </c>
      <c r="BE31" s="146">
        <f t="shared" si="40"/>
        <v>0</v>
      </c>
      <c r="BF31" s="146">
        <f t="shared" si="40"/>
        <v>0</v>
      </c>
      <c r="BG31" s="146">
        <f t="shared" si="41"/>
        <v>0</v>
      </c>
      <c r="BH31" s="146">
        <f t="shared" si="41"/>
        <v>0</v>
      </c>
      <c r="BI31" s="146">
        <f t="shared" si="41"/>
        <v>0</v>
      </c>
      <c r="BJ31" s="146">
        <f t="shared" si="41"/>
        <v>0</v>
      </c>
      <c r="BK31" s="146">
        <f t="shared" si="41"/>
        <v>0</v>
      </c>
      <c r="BL31" s="146">
        <f t="shared" si="41"/>
        <v>0</v>
      </c>
      <c r="BM31" s="146">
        <f t="shared" si="41"/>
        <v>0</v>
      </c>
      <c r="BN31" s="146">
        <f t="shared" si="41"/>
        <v>0</v>
      </c>
      <c r="BO31" s="146">
        <f t="shared" si="41"/>
        <v>0</v>
      </c>
      <c r="BP31" s="146">
        <f t="shared" si="41"/>
        <v>0</v>
      </c>
      <c r="BQ31" s="146">
        <f t="shared" si="42"/>
        <v>0</v>
      </c>
      <c r="BR31" s="146">
        <f t="shared" si="42"/>
        <v>0</v>
      </c>
      <c r="BS31" s="146">
        <f t="shared" si="42"/>
        <v>0</v>
      </c>
      <c r="BT31" s="146">
        <f t="shared" si="42"/>
        <v>0</v>
      </c>
      <c r="BU31" s="146">
        <f t="shared" si="42"/>
        <v>0</v>
      </c>
      <c r="BV31" s="146">
        <f t="shared" si="42"/>
        <v>0</v>
      </c>
      <c r="BW31" s="146">
        <f t="shared" si="42"/>
        <v>0</v>
      </c>
      <c r="BX31" s="146">
        <f t="shared" si="42"/>
        <v>0</v>
      </c>
      <c r="BY31" s="146">
        <f t="shared" si="42"/>
        <v>0</v>
      </c>
      <c r="BZ31" s="146">
        <f t="shared" si="42"/>
        <v>0</v>
      </c>
      <c r="CA31" s="146">
        <f t="shared" si="43"/>
        <v>0</v>
      </c>
      <c r="CB31" s="146">
        <f t="shared" si="43"/>
        <v>0</v>
      </c>
      <c r="CC31" s="146">
        <f t="shared" si="43"/>
        <v>0</v>
      </c>
      <c r="CD31" s="146">
        <f t="shared" si="43"/>
        <v>0</v>
      </c>
      <c r="CE31" s="146">
        <f t="shared" si="43"/>
        <v>0</v>
      </c>
      <c r="CF31" s="146">
        <f t="shared" si="43"/>
        <v>0</v>
      </c>
      <c r="CG31" s="146">
        <f t="shared" si="43"/>
        <v>0</v>
      </c>
      <c r="CH31" s="146">
        <f t="shared" si="43"/>
        <v>0</v>
      </c>
      <c r="CI31" s="146">
        <f t="shared" si="43"/>
        <v>0</v>
      </c>
      <c r="CJ31" s="146">
        <f t="shared" si="43"/>
        <v>0</v>
      </c>
      <c r="CK31" s="146">
        <f t="shared" si="43"/>
        <v>0</v>
      </c>
      <c r="CL31" s="312">
        <f t="shared" si="43"/>
        <v>0</v>
      </c>
    </row>
    <row r="32" spans="1:90" outlineLevel="1" x14ac:dyDescent="0.25">
      <c r="A32" s="294"/>
      <c r="C32" s="309">
        <v>0</v>
      </c>
      <c r="D32" s="310">
        <f t="shared" si="7"/>
        <v>31</v>
      </c>
      <c r="F32" s="144">
        <f>+EOMONTH(C32, $E$4)</f>
        <v>121</v>
      </c>
      <c r="G32" s="495">
        <v>0</v>
      </c>
      <c r="H32" s="496">
        <v>0</v>
      </c>
      <c r="I32" s="496">
        <v>0</v>
      </c>
      <c r="J32" s="496">
        <v>0</v>
      </c>
      <c r="K32" s="496">
        <v>0</v>
      </c>
      <c r="L32" s="496">
        <v>0</v>
      </c>
      <c r="M32" s="496">
        <v>0</v>
      </c>
      <c r="N32" s="496">
        <v>0</v>
      </c>
      <c r="O32" s="496">
        <v>0</v>
      </c>
      <c r="P32" s="496">
        <v>0</v>
      </c>
      <c r="Q32" s="496">
        <f t="shared" si="34"/>
        <v>0</v>
      </c>
      <c r="R32" s="496">
        <f t="shared" si="34"/>
        <v>0</v>
      </c>
      <c r="S32" s="496">
        <f t="shared" si="34"/>
        <v>0</v>
      </c>
      <c r="T32" s="496">
        <f t="shared" si="34"/>
        <v>0</v>
      </c>
      <c r="U32" s="496">
        <f t="shared" si="34"/>
        <v>0</v>
      </c>
      <c r="V32" s="496">
        <f t="shared" si="34"/>
        <v>0</v>
      </c>
      <c r="W32" s="496">
        <f t="shared" si="34"/>
        <v>0</v>
      </c>
      <c r="X32" s="762">
        <f t="shared" si="34"/>
        <v>0</v>
      </c>
      <c r="Y32" s="146">
        <f t="shared" si="37"/>
        <v>0</v>
      </c>
      <c r="Z32" s="146">
        <f t="shared" si="37"/>
        <v>0</v>
      </c>
      <c r="AA32" s="146">
        <f t="shared" si="37"/>
        <v>0</v>
      </c>
      <c r="AB32" s="146">
        <f t="shared" si="37"/>
        <v>0</v>
      </c>
      <c r="AC32" s="146">
        <f t="shared" si="38"/>
        <v>0</v>
      </c>
      <c r="AD32" s="146">
        <f t="shared" si="38"/>
        <v>0</v>
      </c>
      <c r="AE32" s="146">
        <f t="shared" si="38"/>
        <v>0</v>
      </c>
      <c r="AF32" s="146">
        <f t="shared" si="38"/>
        <v>0</v>
      </c>
      <c r="AG32" s="146">
        <f t="shared" si="38"/>
        <v>0</v>
      </c>
      <c r="AH32" s="146">
        <f t="shared" si="38"/>
        <v>0</v>
      </c>
      <c r="AI32" s="146">
        <f t="shared" si="38"/>
        <v>0</v>
      </c>
      <c r="AJ32" s="146">
        <f t="shared" si="38"/>
        <v>0</v>
      </c>
      <c r="AK32" s="146">
        <f t="shared" si="38"/>
        <v>0</v>
      </c>
      <c r="AL32" s="146">
        <f t="shared" si="38"/>
        <v>0</v>
      </c>
      <c r="AM32" s="146">
        <f t="shared" si="39"/>
        <v>0</v>
      </c>
      <c r="AN32" s="146">
        <f t="shared" si="39"/>
        <v>0</v>
      </c>
      <c r="AO32" s="146">
        <f t="shared" si="39"/>
        <v>0</v>
      </c>
      <c r="AP32" s="146">
        <f t="shared" si="39"/>
        <v>0</v>
      </c>
      <c r="AQ32" s="146">
        <f t="shared" si="39"/>
        <v>0</v>
      </c>
      <c r="AR32" s="146">
        <f t="shared" si="39"/>
        <v>0</v>
      </c>
      <c r="AS32" s="146">
        <f t="shared" si="39"/>
        <v>0</v>
      </c>
      <c r="AT32" s="146">
        <f t="shared" si="39"/>
        <v>0</v>
      </c>
      <c r="AU32" s="146">
        <f t="shared" si="39"/>
        <v>0</v>
      </c>
      <c r="AV32" s="146">
        <f t="shared" si="39"/>
        <v>0</v>
      </c>
      <c r="AW32" s="146">
        <f t="shared" si="40"/>
        <v>0</v>
      </c>
      <c r="AX32" s="146">
        <f t="shared" si="40"/>
        <v>0</v>
      </c>
      <c r="AY32" s="146">
        <f t="shared" si="40"/>
        <v>0</v>
      </c>
      <c r="AZ32" s="146">
        <f t="shared" si="40"/>
        <v>0</v>
      </c>
      <c r="BA32" s="146">
        <f t="shared" si="40"/>
        <v>0</v>
      </c>
      <c r="BB32" s="146">
        <f t="shared" si="40"/>
        <v>0</v>
      </c>
      <c r="BC32" s="146">
        <f t="shared" si="40"/>
        <v>0</v>
      </c>
      <c r="BD32" s="146">
        <f t="shared" si="40"/>
        <v>0</v>
      </c>
      <c r="BE32" s="146">
        <f t="shared" si="40"/>
        <v>0</v>
      </c>
      <c r="BF32" s="146">
        <f t="shared" si="40"/>
        <v>0</v>
      </c>
      <c r="BG32" s="146">
        <f t="shared" si="41"/>
        <v>0</v>
      </c>
      <c r="BH32" s="146">
        <f t="shared" si="41"/>
        <v>0</v>
      </c>
      <c r="BI32" s="146">
        <f t="shared" si="41"/>
        <v>0</v>
      </c>
      <c r="BJ32" s="146">
        <f t="shared" si="41"/>
        <v>0</v>
      </c>
      <c r="BK32" s="146">
        <f t="shared" si="41"/>
        <v>0</v>
      </c>
      <c r="BL32" s="146">
        <f t="shared" si="41"/>
        <v>0</v>
      </c>
      <c r="BM32" s="146">
        <f t="shared" si="41"/>
        <v>0</v>
      </c>
      <c r="BN32" s="146">
        <f t="shared" si="41"/>
        <v>0</v>
      </c>
      <c r="BO32" s="146">
        <f t="shared" si="41"/>
        <v>0</v>
      </c>
      <c r="BP32" s="146">
        <f t="shared" si="41"/>
        <v>0</v>
      </c>
      <c r="BQ32" s="146">
        <f t="shared" si="42"/>
        <v>0</v>
      </c>
      <c r="BR32" s="146">
        <f t="shared" si="42"/>
        <v>0</v>
      </c>
      <c r="BS32" s="146">
        <f t="shared" si="42"/>
        <v>0</v>
      </c>
      <c r="BT32" s="146">
        <f t="shared" si="42"/>
        <v>0</v>
      </c>
      <c r="BU32" s="146">
        <f t="shared" si="42"/>
        <v>0</v>
      </c>
      <c r="BV32" s="146">
        <f t="shared" si="42"/>
        <v>0</v>
      </c>
      <c r="BW32" s="146">
        <f t="shared" si="42"/>
        <v>0</v>
      </c>
      <c r="BX32" s="146">
        <f t="shared" si="42"/>
        <v>0</v>
      </c>
      <c r="BY32" s="146">
        <f t="shared" si="42"/>
        <v>0</v>
      </c>
      <c r="BZ32" s="146">
        <f t="shared" si="42"/>
        <v>0</v>
      </c>
      <c r="CA32" s="146">
        <f t="shared" si="43"/>
        <v>0</v>
      </c>
      <c r="CB32" s="146">
        <f t="shared" si="43"/>
        <v>0</v>
      </c>
      <c r="CC32" s="146">
        <f t="shared" si="43"/>
        <v>0</v>
      </c>
      <c r="CD32" s="146">
        <f t="shared" si="43"/>
        <v>0</v>
      </c>
      <c r="CE32" s="146">
        <f t="shared" si="43"/>
        <v>0</v>
      </c>
      <c r="CF32" s="146">
        <f t="shared" si="43"/>
        <v>0</v>
      </c>
      <c r="CG32" s="146">
        <f t="shared" si="43"/>
        <v>0</v>
      </c>
      <c r="CH32" s="146">
        <f t="shared" si="43"/>
        <v>0</v>
      </c>
      <c r="CI32" s="146">
        <f t="shared" si="43"/>
        <v>0</v>
      </c>
      <c r="CJ32" s="146">
        <f t="shared" si="43"/>
        <v>0</v>
      </c>
      <c r="CK32" s="146">
        <f t="shared" si="43"/>
        <v>0</v>
      </c>
      <c r="CL32" s="312">
        <f t="shared" si="43"/>
        <v>0</v>
      </c>
    </row>
    <row r="33" spans="1:90" outlineLevel="1" x14ac:dyDescent="0.25">
      <c r="A33" s="294"/>
      <c r="C33" s="309">
        <v>0</v>
      </c>
      <c r="D33" s="310">
        <f t="shared" si="7"/>
        <v>31</v>
      </c>
      <c r="F33" s="144">
        <f t="shared" ref="F33" si="44">+EOMONTH(C33, $E$4)</f>
        <v>121</v>
      </c>
      <c r="G33" s="495">
        <v>0</v>
      </c>
      <c r="H33" s="496">
        <v>0</v>
      </c>
      <c r="I33" s="496">
        <v>0</v>
      </c>
      <c r="J33" s="496">
        <v>0</v>
      </c>
      <c r="K33" s="496">
        <v>0</v>
      </c>
      <c r="L33" s="496">
        <v>0</v>
      </c>
      <c r="M33" s="496">
        <v>0</v>
      </c>
      <c r="N33" s="496">
        <v>0</v>
      </c>
      <c r="O33" s="496">
        <v>0</v>
      </c>
      <c r="P33" s="496">
        <v>0</v>
      </c>
      <c r="Q33" s="496">
        <f t="shared" si="34"/>
        <v>0</v>
      </c>
      <c r="R33" s="496">
        <f t="shared" si="34"/>
        <v>0</v>
      </c>
      <c r="S33" s="496">
        <f t="shared" si="34"/>
        <v>0</v>
      </c>
      <c r="T33" s="496">
        <f t="shared" si="34"/>
        <v>0</v>
      </c>
      <c r="U33" s="496">
        <f t="shared" si="34"/>
        <v>0</v>
      </c>
      <c r="V33" s="496">
        <f t="shared" si="34"/>
        <v>0</v>
      </c>
      <c r="W33" s="496">
        <f t="shared" si="34"/>
        <v>0</v>
      </c>
      <c r="X33" s="762">
        <f t="shared" si="34"/>
        <v>0</v>
      </c>
      <c r="Y33" s="146">
        <f t="shared" si="37"/>
        <v>0</v>
      </c>
      <c r="Z33" s="146">
        <f t="shared" si="37"/>
        <v>0</v>
      </c>
      <c r="AA33" s="146">
        <f t="shared" si="37"/>
        <v>0</v>
      </c>
      <c r="AB33" s="146">
        <f t="shared" si="37"/>
        <v>0</v>
      </c>
      <c r="AC33" s="146">
        <f t="shared" si="38"/>
        <v>0</v>
      </c>
      <c r="AD33" s="146">
        <f t="shared" si="38"/>
        <v>0</v>
      </c>
      <c r="AE33" s="146">
        <f t="shared" si="38"/>
        <v>0</v>
      </c>
      <c r="AF33" s="146">
        <f t="shared" si="38"/>
        <v>0</v>
      </c>
      <c r="AG33" s="146">
        <f t="shared" si="38"/>
        <v>0</v>
      </c>
      <c r="AH33" s="146">
        <f t="shared" si="38"/>
        <v>0</v>
      </c>
      <c r="AI33" s="146">
        <f t="shared" si="38"/>
        <v>0</v>
      </c>
      <c r="AJ33" s="146">
        <f t="shared" si="38"/>
        <v>0</v>
      </c>
      <c r="AK33" s="146">
        <f t="shared" si="38"/>
        <v>0</v>
      </c>
      <c r="AL33" s="146">
        <f t="shared" si="38"/>
        <v>0</v>
      </c>
      <c r="AM33" s="146">
        <f t="shared" si="39"/>
        <v>0</v>
      </c>
      <c r="AN33" s="146">
        <f t="shared" si="39"/>
        <v>0</v>
      </c>
      <c r="AO33" s="146">
        <f t="shared" si="39"/>
        <v>0</v>
      </c>
      <c r="AP33" s="146">
        <f t="shared" si="39"/>
        <v>0</v>
      </c>
      <c r="AQ33" s="146">
        <f t="shared" si="39"/>
        <v>0</v>
      </c>
      <c r="AR33" s="146">
        <f t="shared" si="39"/>
        <v>0</v>
      </c>
      <c r="AS33" s="146">
        <f t="shared" si="39"/>
        <v>0</v>
      </c>
      <c r="AT33" s="146">
        <f t="shared" si="39"/>
        <v>0</v>
      </c>
      <c r="AU33" s="146">
        <f t="shared" si="39"/>
        <v>0</v>
      </c>
      <c r="AV33" s="146">
        <f t="shared" si="39"/>
        <v>0</v>
      </c>
      <c r="AW33" s="146">
        <f t="shared" si="40"/>
        <v>0</v>
      </c>
      <c r="AX33" s="146">
        <f t="shared" si="40"/>
        <v>0</v>
      </c>
      <c r="AY33" s="146">
        <f t="shared" si="40"/>
        <v>0</v>
      </c>
      <c r="AZ33" s="146">
        <f t="shared" si="40"/>
        <v>0</v>
      </c>
      <c r="BA33" s="146">
        <f t="shared" si="40"/>
        <v>0</v>
      </c>
      <c r="BB33" s="146">
        <f t="shared" si="40"/>
        <v>0</v>
      </c>
      <c r="BC33" s="146">
        <f t="shared" si="40"/>
        <v>0</v>
      </c>
      <c r="BD33" s="146">
        <f t="shared" si="40"/>
        <v>0</v>
      </c>
      <c r="BE33" s="146">
        <f t="shared" si="40"/>
        <v>0</v>
      </c>
      <c r="BF33" s="146">
        <f t="shared" si="40"/>
        <v>0</v>
      </c>
      <c r="BG33" s="146">
        <f t="shared" si="41"/>
        <v>0</v>
      </c>
      <c r="BH33" s="146">
        <f t="shared" si="41"/>
        <v>0</v>
      </c>
      <c r="BI33" s="146">
        <f t="shared" si="41"/>
        <v>0</v>
      </c>
      <c r="BJ33" s="146">
        <f t="shared" si="41"/>
        <v>0</v>
      </c>
      <c r="BK33" s="146">
        <f t="shared" si="41"/>
        <v>0</v>
      </c>
      <c r="BL33" s="146">
        <f t="shared" si="41"/>
        <v>0</v>
      </c>
      <c r="BM33" s="146">
        <f t="shared" si="41"/>
        <v>0</v>
      </c>
      <c r="BN33" s="146">
        <f t="shared" si="41"/>
        <v>0</v>
      </c>
      <c r="BO33" s="146">
        <f t="shared" si="41"/>
        <v>0</v>
      </c>
      <c r="BP33" s="146">
        <f t="shared" si="41"/>
        <v>0</v>
      </c>
      <c r="BQ33" s="146">
        <f t="shared" si="42"/>
        <v>0</v>
      </c>
      <c r="BR33" s="146">
        <f t="shared" si="42"/>
        <v>0</v>
      </c>
      <c r="BS33" s="146">
        <f t="shared" si="42"/>
        <v>0</v>
      </c>
      <c r="BT33" s="146">
        <f t="shared" si="42"/>
        <v>0</v>
      </c>
      <c r="BU33" s="146">
        <f t="shared" si="42"/>
        <v>0</v>
      </c>
      <c r="BV33" s="146">
        <f t="shared" si="42"/>
        <v>0</v>
      </c>
      <c r="BW33" s="146">
        <f t="shared" si="42"/>
        <v>0</v>
      </c>
      <c r="BX33" s="146">
        <f t="shared" si="42"/>
        <v>0</v>
      </c>
      <c r="BY33" s="146">
        <f t="shared" si="42"/>
        <v>0</v>
      </c>
      <c r="BZ33" s="146">
        <f t="shared" si="42"/>
        <v>0</v>
      </c>
      <c r="CA33" s="146">
        <f t="shared" si="43"/>
        <v>0</v>
      </c>
      <c r="CB33" s="146">
        <f t="shared" si="43"/>
        <v>0</v>
      </c>
      <c r="CC33" s="146">
        <f t="shared" si="43"/>
        <v>0</v>
      </c>
      <c r="CD33" s="146">
        <f t="shared" si="43"/>
        <v>0</v>
      </c>
      <c r="CE33" s="146">
        <f t="shared" si="43"/>
        <v>0</v>
      </c>
      <c r="CF33" s="146">
        <f t="shared" si="43"/>
        <v>0</v>
      </c>
      <c r="CG33" s="146">
        <f t="shared" si="43"/>
        <v>0</v>
      </c>
      <c r="CH33" s="146">
        <f t="shared" si="43"/>
        <v>0</v>
      </c>
      <c r="CI33" s="146">
        <f t="shared" si="43"/>
        <v>0</v>
      </c>
      <c r="CJ33" s="146">
        <f t="shared" si="43"/>
        <v>0</v>
      </c>
      <c r="CK33" s="146">
        <f t="shared" si="43"/>
        <v>0</v>
      </c>
      <c r="CL33" s="312">
        <f t="shared" si="43"/>
        <v>0</v>
      </c>
    </row>
    <row r="34" spans="1:90" outlineLevel="1" x14ac:dyDescent="0.25">
      <c r="A34" s="294"/>
      <c r="C34" s="309">
        <v>0</v>
      </c>
      <c r="D34" s="310">
        <f t="shared" si="7"/>
        <v>31</v>
      </c>
      <c r="F34" s="144">
        <f>+EOMONTH(C34, $E$4)</f>
        <v>121</v>
      </c>
      <c r="G34" s="495">
        <v>0</v>
      </c>
      <c r="H34" s="496">
        <v>0</v>
      </c>
      <c r="I34" s="496">
        <v>0</v>
      </c>
      <c r="J34" s="496">
        <v>0</v>
      </c>
      <c r="K34" s="496">
        <v>0</v>
      </c>
      <c r="L34" s="496">
        <v>0</v>
      </c>
      <c r="M34" s="496">
        <v>0</v>
      </c>
      <c r="N34" s="496">
        <v>0</v>
      </c>
      <c r="O34" s="496">
        <v>0</v>
      </c>
      <c r="P34" s="496">
        <v>0</v>
      </c>
      <c r="Q34" s="496">
        <f t="shared" si="34"/>
        <v>0</v>
      </c>
      <c r="R34" s="496">
        <f t="shared" si="34"/>
        <v>0</v>
      </c>
      <c r="S34" s="496">
        <f t="shared" si="34"/>
        <v>0</v>
      </c>
      <c r="T34" s="496">
        <f t="shared" si="34"/>
        <v>0</v>
      </c>
      <c r="U34" s="496">
        <f t="shared" si="34"/>
        <v>0</v>
      </c>
      <c r="V34" s="496">
        <f t="shared" si="34"/>
        <v>0</v>
      </c>
      <c r="W34" s="496">
        <f t="shared" si="34"/>
        <v>0</v>
      </c>
      <c r="X34" s="762">
        <f t="shared" si="34"/>
        <v>0</v>
      </c>
      <c r="Y34" s="146">
        <f t="shared" si="37"/>
        <v>0</v>
      </c>
      <c r="Z34" s="146">
        <f t="shared" si="37"/>
        <v>0</v>
      </c>
      <c r="AA34" s="146">
        <f t="shared" si="37"/>
        <v>0</v>
      </c>
      <c r="AB34" s="146">
        <f t="shared" si="37"/>
        <v>0</v>
      </c>
      <c r="AC34" s="146">
        <f t="shared" si="38"/>
        <v>0</v>
      </c>
      <c r="AD34" s="146">
        <f t="shared" si="38"/>
        <v>0</v>
      </c>
      <c r="AE34" s="146">
        <f t="shared" si="38"/>
        <v>0</v>
      </c>
      <c r="AF34" s="146">
        <f t="shared" si="38"/>
        <v>0</v>
      </c>
      <c r="AG34" s="146">
        <f t="shared" si="38"/>
        <v>0</v>
      </c>
      <c r="AH34" s="146">
        <f t="shared" si="38"/>
        <v>0</v>
      </c>
      <c r="AI34" s="146">
        <f t="shared" si="38"/>
        <v>0</v>
      </c>
      <c r="AJ34" s="146">
        <f t="shared" si="38"/>
        <v>0</v>
      </c>
      <c r="AK34" s="146">
        <f t="shared" si="38"/>
        <v>0</v>
      </c>
      <c r="AL34" s="146">
        <f t="shared" si="38"/>
        <v>0</v>
      </c>
      <c r="AM34" s="146">
        <f t="shared" si="39"/>
        <v>0</v>
      </c>
      <c r="AN34" s="146">
        <f t="shared" si="39"/>
        <v>0</v>
      </c>
      <c r="AO34" s="146">
        <f t="shared" si="39"/>
        <v>0</v>
      </c>
      <c r="AP34" s="146">
        <f t="shared" si="39"/>
        <v>0</v>
      </c>
      <c r="AQ34" s="146">
        <f t="shared" si="39"/>
        <v>0</v>
      </c>
      <c r="AR34" s="146">
        <f t="shared" si="39"/>
        <v>0</v>
      </c>
      <c r="AS34" s="146">
        <f t="shared" si="39"/>
        <v>0</v>
      </c>
      <c r="AT34" s="146">
        <f t="shared" si="39"/>
        <v>0</v>
      </c>
      <c r="AU34" s="146">
        <f t="shared" si="39"/>
        <v>0</v>
      </c>
      <c r="AV34" s="146">
        <f t="shared" si="39"/>
        <v>0</v>
      </c>
      <c r="AW34" s="146">
        <f t="shared" si="40"/>
        <v>0</v>
      </c>
      <c r="AX34" s="146">
        <f t="shared" si="40"/>
        <v>0</v>
      </c>
      <c r="AY34" s="146">
        <f t="shared" si="40"/>
        <v>0</v>
      </c>
      <c r="AZ34" s="146">
        <f t="shared" si="40"/>
        <v>0</v>
      </c>
      <c r="BA34" s="146">
        <f t="shared" si="40"/>
        <v>0</v>
      </c>
      <c r="BB34" s="146">
        <f t="shared" si="40"/>
        <v>0</v>
      </c>
      <c r="BC34" s="146">
        <f t="shared" si="40"/>
        <v>0</v>
      </c>
      <c r="BD34" s="146">
        <f t="shared" si="40"/>
        <v>0</v>
      </c>
      <c r="BE34" s="146">
        <f t="shared" si="40"/>
        <v>0</v>
      </c>
      <c r="BF34" s="146">
        <f t="shared" si="40"/>
        <v>0</v>
      </c>
      <c r="BG34" s="146">
        <f t="shared" si="41"/>
        <v>0</v>
      </c>
      <c r="BH34" s="146">
        <f t="shared" si="41"/>
        <v>0</v>
      </c>
      <c r="BI34" s="146">
        <f t="shared" si="41"/>
        <v>0</v>
      </c>
      <c r="BJ34" s="146">
        <f t="shared" si="41"/>
        <v>0</v>
      </c>
      <c r="BK34" s="146">
        <f t="shared" si="41"/>
        <v>0</v>
      </c>
      <c r="BL34" s="146">
        <f t="shared" si="41"/>
        <v>0</v>
      </c>
      <c r="BM34" s="146">
        <f t="shared" si="41"/>
        <v>0</v>
      </c>
      <c r="BN34" s="146">
        <f t="shared" si="41"/>
        <v>0</v>
      </c>
      <c r="BO34" s="146">
        <f t="shared" si="41"/>
        <v>0</v>
      </c>
      <c r="BP34" s="146">
        <f t="shared" si="41"/>
        <v>0</v>
      </c>
      <c r="BQ34" s="146">
        <f t="shared" si="42"/>
        <v>0</v>
      </c>
      <c r="BR34" s="146">
        <f t="shared" si="42"/>
        <v>0</v>
      </c>
      <c r="BS34" s="146">
        <f t="shared" si="42"/>
        <v>0</v>
      </c>
      <c r="BT34" s="146">
        <f t="shared" si="42"/>
        <v>0</v>
      </c>
      <c r="BU34" s="146">
        <f t="shared" si="42"/>
        <v>0</v>
      </c>
      <c r="BV34" s="146">
        <f t="shared" si="42"/>
        <v>0</v>
      </c>
      <c r="BW34" s="146">
        <f t="shared" si="42"/>
        <v>0</v>
      </c>
      <c r="BX34" s="146">
        <f t="shared" si="42"/>
        <v>0</v>
      </c>
      <c r="BY34" s="146">
        <f t="shared" si="42"/>
        <v>0</v>
      </c>
      <c r="BZ34" s="146">
        <f t="shared" si="42"/>
        <v>0</v>
      </c>
      <c r="CA34" s="146">
        <f t="shared" si="43"/>
        <v>0</v>
      </c>
      <c r="CB34" s="146">
        <f t="shared" si="43"/>
        <v>0</v>
      </c>
      <c r="CC34" s="146">
        <f t="shared" si="43"/>
        <v>0</v>
      </c>
      <c r="CD34" s="146">
        <f t="shared" si="43"/>
        <v>0</v>
      </c>
      <c r="CE34" s="146">
        <f t="shared" si="43"/>
        <v>0</v>
      </c>
      <c r="CF34" s="146">
        <f t="shared" si="43"/>
        <v>0</v>
      </c>
      <c r="CG34" s="146">
        <f t="shared" si="43"/>
        <v>0</v>
      </c>
      <c r="CH34" s="146">
        <f t="shared" si="43"/>
        <v>0</v>
      </c>
      <c r="CI34" s="146">
        <f t="shared" si="43"/>
        <v>0</v>
      </c>
      <c r="CJ34" s="146">
        <f t="shared" si="43"/>
        <v>0</v>
      </c>
      <c r="CK34" s="146">
        <f t="shared" si="43"/>
        <v>0</v>
      </c>
      <c r="CL34" s="312">
        <f t="shared" si="43"/>
        <v>0</v>
      </c>
    </row>
    <row r="35" spans="1:90" outlineLevel="1" x14ac:dyDescent="0.25">
      <c r="A35" s="294"/>
      <c r="C35" s="309">
        <v>0</v>
      </c>
      <c r="D35" s="310">
        <f t="shared" si="7"/>
        <v>31</v>
      </c>
      <c r="F35" s="144">
        <f t="shared" ref="F35" si="45">+EOMONTH(C35, $E$4)</f>
        <v>121</v>
      </c>
      <c r="G35" s="495">
        <v>0</v>
      </c>
      <c r="H35" s="496">
        <v>0</v>
      </c>
      <c r="I35" s="496">
        <v>0</v>
      </c>
      <c r="J35" s="496">
        <v>0</v>
      </c>
      <c r="K35" s="496">
        <v>0</v>
      </c>
      <c r="L35" s="496">
        <v>0</v>
      </c>
      <c r="M35" s="496">
        <v>0</v>
      </c>
      <c r="N35" s="496">
        <v>0</v>
      </c>
      <c r="O35" s="496">
        <v>0</v>
      </c>
      <c r="P35" s="496">
        <v>0</v>
      </c>
      <c r="Q35" s="496">
        <f t="shared" si="34"/>
        <v>0</v>
      </c>
      <c r="R35" s="496">
        <f t="shared" si="34"/>
        <v>0</v>
      </c>
      <c r="S35" s="496">
        <f t="shared" si="34"/>
        <v>0</v>
      </c>
      <c r="T35" s="496">
        <f t="shared" si="34"/>
        <v>0</v>
      </c>
      <c r="U35" s="496">
        <f t="shared" si="34"/>
        <v>0</v>
      </c>
      <c r="V35" s="496">
        <f t="shared" si="34"/>
        <v>0</v>
      </c>
      <c r="W35" s="496">
        <f t="shared" si="34"/>
        <v>0</v>
      </c>
      <c r="X35" s="762">
        <f t="shared" si="34"/>
        <v>0</v>
      </c>
      <c r="Y35" s="146">
        <f t="shared" si="37"/>
        <v>0</v>
      </c>
      <c r="Z35" s="146">
        <f t="shared" si="37"/>
        <v>0</v>
      </c>
      <c r="AA35" s="146">
        <f t="shared" si="37"/>
        <v>0</v>
      </c>
      <c r="AB35" s="146">
        <f t="shared" si="37"/>
        <v>0</v>
      </c>
      <c r="AC35" s="146">
        <f t="shared" si="38"/>
        <v>0</v>
      </c>
      <c r="AD35" s="146">
        <f t="shared" si="38"/>
        <v>0</v>
      </c>
      <c r="AE35" s="146">
        <f t="shared" si="38"/>
        <v>0</v>
      </c>
      <c r="AF35" s="146">
        <f t="shared" si="38"/>
        <v>0</v>
      </c>
      <c r="AG35" s="146">
        <f t="shared" si="38"/>
        <v>0</v>
      </c>
      <c r="AH35" s="146">
        <f t="shared" si="38"/>
        <v>0</v>
      </c>
      <c r="AI35" s="146">
        <f t="shared" si="38"/>
        <v>0</v>
      </c>
      <c r="AJ35" s="146">
        <f t="shared" si="38"/>
        <v>0</v>
      </c>
      <c r="AK35" s="146">
        <f t="shared" si="38"/>
        <v>0</v>
      </c>
      <c r="AL35" s="146">
        <f t="shared" si="38"/>
        <v>0</v>
      </c>
      <c r="AM35" s="146">
        <f t="shared" si="39"/>
        <v>0</v>
      </c>
      <c r="AN35" s="146">
        <f t="shared" si="39"/>
        <v>0</v>
      </c>
      <c r="AO35" s="146">
        <f t="shared" si="39"/>
        <v>0</v>
      </c>
      <c r="AP35" s="146">
        <f t="shared" si="39"/>
        <v>0</v>
      </c>
      <c r="AQ35" s="146">
        <f t="shared" si="39"/>
        <v>0</v>
      </c>
      <c r="AR35" s="146">
        <f t="shared" si="39"/>
        <v>0</v>
      </c>
      <c r="AS35" s="146">
        <f t="shared" si="39"/>
        <v>0</v>
      </c>
      <c r="AT35" s="146">
        <f t="shared" si="39"/>
        <v>0</v>
      </c>
      <c r="AU35" s="146">
        <f t="shared" si="39"/>
        <v>0</v>
      </c>
      <c r="AV35" s="146">
        <f t="shared" si="39"/>
        <v>0</v>
      </c>
      <c r="AW35" s="146">
        <f t="shared" si="40"/>
        <v>0</v>
      </c>
      <c r="AX35" s="146">
        <f t="shared" si="40"/>
        <v>0</v>
      </c>
      <c r="AY35" s="146">
        <f t="shared" si="40"/>
        <v>0</v>
      </c>
      <c r="AZ35" s="146">
        <f t="shared" si="40"/>
        <v>0</v>
      </c>
      <c r="BA35" s="146">
        <f t="shared" si="40"/>
        <v>0</v>
      </c>
      <c r="BB35" s="146">
        <f t="shared" si="40"/>
        <v>0</v>
      </c>
      <c r="BC35" s="146">
        <f t="shared" si="40"/>
        <v>0</v>
      </c>
      <c r="BD35" s="146">
        <f t="shared" si="40"/>
        <v>0</v>
      </c>
      <c r="BE35" s="146">
        <f t="shared" si="40"/>
        <v>0</v>
      </c>
      <c r="BF35" s="146">
        <f t="shared" si="40"/>
        <v>0</v>
      </c>
      <c r="BG35" s="146">
        <f t="shared" si="41"/>
        <v>0</v>
      </c>
      <c r="BH35" s="146">
        <f t="shared" si="41"/>
        <v>0</v>
      </c>
      <c r="BI35" s="146">
        <f t="shared" si="41"/>
        <v>0</v>
      </c>
      <c r="BJ35" s="146">
        <f t="shared" si="41"/>
        <v>0</v>
      </c>
      <c r="BK35" s="146">
        <f t="shared" si="41"/>
        <v>0</v>
      </c>
      <c r="BL35" s="146">
        <f t="shared" si="41"/>
        <v>0</v>
      </c>
      <c r="BM35" s="146">
        <f t="shared" si="41"/>
        <v>0</v>
      </c>
      <c r="BN35" s="146">
        <f t="shared" si="41"/>
        <v>0</v>
      </c>
      <c r="BO35" s="146">
        <f t="shared" si="41"/>
        <v>0</v>
      </c>
      <c r="BP35" s="146">
        <f t="shared" si="41"/>
        <v>0</v>
      </c>
      <c r="BQ35" s="146">
        <f t="shared" si="42"/>
        <v>0</v>
      </c>
      <c r="BR35" s="146">
        <f t="shared" si="42"/>
        <v>0</v>
      </c>
      <c r="BS35" s="146">
        <f t="shared" si="42"/>
        <v>0</v>
      </c>
      <c r="BT35" s="146">
        <f t="shared" si="42"/>
        <v>0</v>
      </c>
      <c r="BU35" s="146">
        <f t="shared" si="42"/>
        <v>0</v>
      </c>
      <c r="BV35" s="146">
        <f t="shared" si="42"/>
        <v>0</v>
      </c>
      <c r="BW35" s="146">
        <f t="shared" si="42"/>
        <v>0</v>
      </c>
      <c r="BX35" s="146">
        <f t="shared" si="42"/>
        <v>0</v>
      </c>
      <c r="BY35" s="146">
        <f t="shared" si="42"/>
        <v>0</v>
      </c>
      <c r="BZ35" s="146">
        <f t="shared" si="42"/>
        <v>0</v>
      </c>
      <c r="CA35" s="146">
        <f t="shared" si="43"/>
        <v>0</v>
      </c>
      <c r="CB35" s="146">
        <f t="shared" si="43"/>
        <v>0</v>
      </c>
      <c r="CC35" s="146">
        <f t="shared" si="43"/>
        <v>0</v>
      </c>
      <c r="CD35" s="146">
        <f t="shared" si="43"/>
        <v>0</v>
      </c>
      <c r="CE35" s="146">
        <f t="shared" si="43"/>
        <v>0</v>
      </c>
      <c r="CF35" s="146">
        <f t="shared" si="43"/>
        <v>0</v>
      </c>
      <c r="CG35" s="146">
        <f t="shared" si="43"/>
        <v>0</v>
      </c>
      <c r="CH35" s="146">
        <f t="shared" si="43"/>
        <v>0</v>
      </c>
      <c r="CI35" s="146">
        <f t="shared" si="43"/>
        <v>0</v>
      </c>
      <c r="CJ35" s="146">
        <f t="shared" si="43"/>
        <v>0</v>
      </c>
      <c r="CK35" s="146">
        <f t="shared" si="43"/>
        <v>0</v>
      </c>
      <c r="CL35" s="312">
        <f t="shared" si="43"/>
        <v>0</v>
      </c>
    </row>
    <row r="36" spans="1:90" x14ac:dyDescent="0.25">
      <c r="A36" s="294"/>
      <c r="G36" s="294"/>
      <c r="X36" s="154"/>
      <c r="CL36" s="154"/>
    </row>
    <row r="37" spans="1:90" x14ac:dyDescent="0.25">
      <c r="A37" s="294"/>
      <c r="G37" s="294"/>
      <c r="X37" s="154"/>
      <c r="CL37" s="154"/>
    </row>
    <row r="38" spans="1:90" x14ac:dyDescent="0.25">
      <c r="A38" s="294"/>
      <c r="E38" s="7" t="s">
        <v>336</v>
      </c>
      <c r="G38" s="313">
        <f>+SUM(G9:G35)</f>
        <v>0</v>
      </c>
      <c r="H38" s="314">
        <f>+SUM(H9:H35)</f>
        <v>0</v>
      </c>
      <c r="I38" s="314">
        <f>+SUM(I9:I35)</f>
        <v>0</v>
      </c>
      <c r="J38" s="314">
        <f>+SUM(J9:J35)</f>
        <v>0</v>
      </c>
      <c r="K38" s="344">
        <v>5464.32</v>
      </c>
      <c r="L38" s="344">
        <v>10928.64</v>
      </c>
      <c r="M38" s="344">
        <v>700</v>
      </c>
      <c r="N38" s="344">
        <f>29532+13800+1500+1065</f>
        <v>45897</v>
      </c>
      <c r="O38" s="344">
        <f>45810.3+3200</f>
        <v>49010.3</v>
      </c>
      <c r="P38" s="344">
        <f>+SUM(P10:P35)</f>
        <v>24753.5</v>
      </c>
      <c r="Q38" s="344">
        <f t="shared" ref="Q38:AV38" si="46">+SUM(Q9:Q35)</f>
        <v>23117.99</v>
      </c>
      <c r="R38" s="344">
        <f>+SUM(R9:R35)</f>
        <v>77453.3</v>
      </c>
      <c r="S38" s="344">
        <f>+SUM(S9:S35)</f>
        <v>70951.44</v>
      </c>
      <c r="T38" s="344">
        <f>+SUM(T9:T35)</f>
        <v>20473.86</v>
      </c>
      <c r="U38" s="344">
        <f>+SUM(U9:U35)</f>
        <v>0</v>
      </c>
      <c r="V38" s="344">
        <f>+SUM(V9:V35)</f>
        <v>11761.5</v>
      </c>
      <c r="W38" s="344">
        <f t="shared" si="46"/>
        <v>4100.5</v>
      </c>
      <c r="X38" s="492">
        <f t="shared" ref="X38" si="47">+SUM(X9:X35)</f>
        <v>0</v>
      </c>
      <c r="Y38" s="314">
        <f t="shared" si="46"/>
        <v>6600</v>
      </c>
      <c r="Z38" s="314">
        <f t="shared" si="46"/>
        <v>6600</v>
      </c>
      <c r="AA38" s="314">
        <f t="shared" si="46"/>
        <v>6600</v>
      </c>
      <c r="AB38" s="314">
        <f t="shared" si="46"/>
        <v>6600</v>
      </c>
      <c r="AC38" s="314">
        <f t="shared" si="46"/>
        <v>6600</v>
      </c>
      <c r="AD38" s="314">
        <f t="shared" si="46"/>
        <v>6600</v>
      </c>
      <c r="AE38" s="314">
        <f t="shared" si="46"/>
        <v>19800</v>
      </c>
      <c r="AF38" s="314">
        <f t="shared" si="46"/>
        <v>19800</v>
      </c>
      <c r="AG38" s="314">
        <f t="shared" si="46"/>
        <v>19800</v>
      </c>
      <c r="AH38" s="314">
        <f t="shared" si="46"/>
        <v>19800</v>
      </c>
      <c r="AI38" s="314">
        <f t="shared" si="46"/>
        <v>19800</v>
      </c>
      <c r="AJ38" s="314">
        <f t="shared" si="46"/>
        <v>19800</v>
      </c>
      <c r="AK38" s="314">
        <f t="shared" si="46"/>
        <v>26400</v>
      </c>
      <c r="AL38" s="314">
        <f t="shared" si="46"/>
        <v>26400</v>
      </c>
      <c r="AM38" s="314">
        <f t="shared" si="46"/>
        <v>26400</v>
      </c>
      <c r="AN38" s="314">
        <f t="shared" si="46"/>
        <v>26400</v>
      </c>
      <c r="AO38" s="314">
        <f t="shared" si="46"/>
        <v>26400</v>
      </c>
      <c r="AP38" s="314">
        <f t="shared" si="46"/>
        <v>26400</v>
      </c>
      <c r="AQ38" s="314">
        <f t="shared" si="46"/>
        <v>33000</v>
      </c>
      <c r="AR38" s="314">
        <f t="shared" si="46"/>
        <v>33000</v>
      </c>
      <c r="AS38" s="314">
        <f t="shared" si="46"/>
        <v>33000</v>
      </c>
      <c r="AT38" s="314">
        <f t="shared" si="46"/>
        <v>33000</v>
      </c>
      <c r="AU38" s="314">
        <f t="shared" si="46"/>
        <v>33000</v>
      </c>
      <c r="AV38" s="314">
        <f t="shared" si="46"/>
        <v>33000</v>
      </c>
      <c r="AW38" s="314">
        <f t="shared" ref="AW38:CB38" si="48">+SUM(AW9:AW35)</f>
        <v>33000</v>
      </c>
      <c r="AX38" s="314">
        <f t="shared" si="48"/>
        <v>33000</v>
      </c>
      <c r="AY38" s="314">
        <f t="shared" si="48"/>
        <v>33000</v>
      </c>
      <c r="AZ38" s="314">
        <f t="shared" si="48"/>
        <v>33000</v>
      </c>
      <c r="BA38" s="314">
        <f t="shared" si="48"/>
        <v>33000</v>
      </c>
      <c r="BB38" s="314">
        <f t="shared" si="48"/>
        <v>33000</v>
      </c>
      <c r="BC38" s="314">
        <f t="shared" si="48"/>
        <v>39600</v>
      </c>
      <c r="BD38" s="314">
        <f t="shared" si="48"/>
        <v>39600</v>
      </c>
      <c r="BE38" s="314">
        <f t="shared" si="48"/>
        <v>39600</v>
      </c>
      <c r="BF38" s="314">
        <f t="shared" si="48"/>
        <v>39600</v>
      </c>
      <c r="BG38" s="314">
        <f t="shared" si="48"/>
        <v>39600</v>
      </c>
      <c r="BH38" s="314">
        <f t="shared" si="48"/>
        <v>39600</v>
      </c>
      <c r="BI38" s="314">
        <f t="shared" si="48"/>
        <v>39600</v>
      </c>
      <c r="BJ38" s="314">
        <f t="shared" si="48"/>
        <v>39600</v>
      </c>
      <c r="BK38" s="314">
        <f t="shared" si="48"/>
        <v>39600</v>
      </c>
      <c r="BL38" s="314">
        <f t="shared" si="48"/>
        <v>39600</v>
      </c>
      <c r="BM38" s="314">
        <f t="shared" si="48"/>
        <v>39600</v>
      </c>
      <c r="BN38" s="314">
        <f t="shared" si="48"/>
        <v>39600</v>
      </c>
      <c r="BO38" s="314">
        <f t="shared" si="48"/>
        <v>46200</v>
      </c>
      <c r="BP38" s="314">
        <f t="shared" si="48"/>
        <v>46200</v>
      </c>
      <c r="BQ38" s="314">
        <f t="shared" si="48"/>
        <v>46200</v>
      </c>
      <c r="BR38" s="314">
        <f t="shared" si="48"/>
        <v>46200</v>
      </c>
      <c r="BS38" s="314">
        <f t="shared" si="48"/>
        <v>46200</v>
      </c>
      <c r="BT38" s="314">
        <f t="shared" si="48"/>
        <v>46200</v>
      </c>
      <c r="BU38" s="314">
        <f t="shared" si="48"/>
        <v>52800</v>
      </c>
      <c r="BV38" s="314">
        <f t="shared" si="48"/>
        <v>52800</v>
      </c>
      <c r="BW38" s="314">
        <f t="shared" si="48"/>
        <v>52800</v>
      </c>
      <c r="BX38" s="314">
        <f t="shared" si="48"/>
        <v>52800</v>
      </c>
      <c r="BY38" s="314">
        <f t="shared" si="48"/>
        <v>52800</v>
      </c>
      <c r="BZ38" s="314">
        <f t="shared" si="48"/>
        <v>52800</v>
      </c>
      <c r="CA38" s="314">
        <f t="shared" si="48"/>
        <v>52800</v>
      </c>
      <c r="CB38" s="314">
        <f t="shared" si="48"/>
        <v>52800</v>
      </c>
      <c r="CC38" s="314">
        <f t="shared" ref="CC38:CL38" si="49">+SUM(CC9:CC35)</f>
        <v>52800</v>
      </c>
      <c r="CD38" s="314">
        <f t="shared" si="49"/>
        <v>52800</v>
      </c>
      <c r="CE38" s="314">
        <f t="shared" si="49"/>
        <v>52800</v>
      </c>
      <c r="CF38" s="314">
        <f t="shared" si="49"/>
        <v>52800</v>
      </c>
      <c r="CG38" s="314">
        <f t="shared" si="49"/>
        <v>59400</v>
      </c>
      <c r="CH38" s="314">
        <f t="shared" si="49"/>
        <v>59400</v>
      </c>
      <c r="CI38" s="314">
        <f t="shared" si="49"/>
        <v>59400</v>
      </c>
      <c r="CJ38" s="314">
        <f t="shared" si="49"/>
        <v>59400</v>
      </c>
      <c r="CK38" s="314">
        <f t="shared" si="49"/>
        <v>59400</v>
      </c>
      <c r="CL38" s="315">
        <f t="shared" si="49"/>
        <v>59400</v>
      </c>
    </row>
    <row r="39" spans="1:90" x14ac:dyDescent="0.25">
      <c r="A39" s="294"/>
      <c r="E39" s="7" t="s">
        <v>347</v>
      </c>
      <c r="G39" s="313"/>
      <c r="H39" s="314"/>
      <c r="I39" s="314"/>
      <c r="J39" s="421"/>
      <c r="K39" s="344">
        <f>4860+962.96+14766</f>
        <v>20588.96</v>
      </c>
      <c r="L39" s="344">
        <v>10570</v>
      </c>
      <c r="M39" s="344">
        <v>700</v>
      </c>
      <c r="N39" s="344">
        <f>1500+3810+1065+9990+14766</f>
        <v>31131</v>
      </c>
      <c r="O39" s="344">
        <f>19632.99+3200+26177.31</f>
        <v>49010.3</v>
      </c>
      <c r="P39" s="344">
        <f>5500+14766+700+2272.5+1515</f>
        <v>24753.5</v>
      </c>
      <c r="Q39" s="344">
        <f>19632.99+3485</f>
        <v>23117.99</v>
      </c>
      <c r="R39" s="344">
        <f>41363.58+10000</f>
        <v>51363.58</v>
      </c>
      <c r="S39" s="344">
        <f>55151.44+15800</f>
        <v>70951.44</v>
      </c>
      <c r="T39" s="344">
        <v>0</v>
      </c>
      <c r="U39" s="344">
        <v>46563.58</v>
      </c>
      <c r="V39" s="344">
        <f>15862-1199.8</f>
        <v>14662.2</v>
      </c>
      <c r="W39" s="344">
        <f>1199.8</f>
        <v>1199.8</v>
      </c>
      <c r="X39" s="492">
        <v>0</v>
      </c>
      <c r="Y39" s="314">
        <f>+(Y4*$A$4*Assumptions!$E$44)+(X4*$A$4*Assumptions!$E$45)+(W4*$A$4*Assumptions!$E$46)+SUM(Y10:Y35)</f>
        <v>6600</v>
      </c>
      <c r="Z39" s="314">
        <f>+(Z4*$A$4*Assumptions!$E$44)+(Y4*$A$4*Assumptions!$E$45)+(X4*$A$4*Assumptions!$E$46)+SUM(Z10:Z35)</f>
        <v>8000</v>
      </c>
      <c r="AA39" s="314">
        <f>+(AA4*$A$4*Assumptions!$E$44)+(Z4*$A$4*Assumptions!$E$45)+(Y4*$A$4*Assumptions!$E$46)+SUM(AA10:AA35)</f>
        <v>5400</v>
      </c>
      <c r="AB39" s="314">
        <f>+(AB4*$A$4*Assumptions!$E$44)+(AA4*$A$4*Assumptions!$E$45)+(Z4*$A$4*Assumptions!$E$46)+SUM(AB10:AB35)</f>
        <v>6600</v>
      </c>
      <c r="AC39" s="314">
        <f>+(AC4*$A$4*Assumptions!$E$44)+(AB4*$A$4*Assumptions!$E$45)+(AA4*$A$4*Assumptions!$E$46)+SUM(AC10:AC35)</f>
        <v>8000</v>
      </c>
      <c r="AD39" s="314">
        <f>+(AD4*$A$4*Assumptions!$E$44)+(AC4*$A$4*Assumptions!$E$45)+(AB4*$A$4*Assumptions!$E$46)+SUM(AD10:AD35)</f>
        <v>5400</v>
      </c>
      <c r="AE39" s="314">
        <f>+(AE4*$A$4*Assumptions!$E$44)+(AD4*$A$4*Assumptions!$E$45)+(AC4*$A$4*Assumptions!$E$46)+SUM(AE10:AE35)</f>
        <v>19800</v>
      </c>
      <c r="AF39" s="314">
        <f>+(AF4*$A$4*Assumptions!$E$44)+(AE4*$A$4*Assumptions!$E$45)+(AD4*$A$4*Assumptions!$E$46)+SUM(AF10:AF35)</f>
        <v>24000</v>
      </c>
      <c r="AG39" s="314">
        <f>+(AG4*$A$4*Assumptions!$E$44)+(AF4*$A$4*Assumptions!$E$45)+(AE4*$A$4*Assumptions!$E$46)+SUM(AG10:AG35)</f>
        <v>16200.000000000002</v>
      </c>
      <c r="AH39" s="314">
        <f>+(AH4*$A$4*Assumptions!$E$44)+(AG4*$A$4*Assumptions!$E$45)+(AF4*$A$4*Assumptions!$E$46)+SUM(AH10:AH35)</f>
        <v>19800</v>
      </c>
      <c r="AI39" s="314">
        <f>+(AI4*$A$4*Assumptions!$E$44)+(AH4*$A$4*Assumptions!$E$45)+(AG4*$A$4*Assumptions!$E$46)+SUM(AI10:AI35)</f>
        <v>24000</v>
      </c>
      <c r="AJ39" s="314">
        <f>+(AJ4*$A$4*Assumptions!$E$44)+(AI4*$A$4*Assumptions!$E$45)+(AH4*$A$4*Assumptions!$E$46)+SUM(AJ10:AJ35)</f>
        <v>16200.000000000002</v>
      </c>
      <c r="AK39" s="314">
        <f>+(AK4*$A$4*Assumptions!$E$44)+(AJ4*$A$4*Assumptions!$E$45)+(AI4*$A$4*Assumptions!$E$46)+SUM(AK10:AK35)</f>
        <v>26400</v>
      </c>
      <c r="AL39" s="314">
        <f>+(AL4*$A$4*Assumptions!$E$44)+(AK4*$A$4*Assumptions!$E$45)+(AJ4*$A$4*Assumptions!$E$46)+SUM(AL10:AL35)</f>
        <v>32000</v>
      </c>
      <c r="AM39" s="314">
        <f>+(AM4*$A$4*Assumptions!$E$44)+(AL4*$A$4*Assumptions!$E$45)+(AK4*$A$4*Assumptions!$E$46)+SUM(AM10:AM35)</f>
        <v>21600</v>
      </c>
      <c r="AN39" s="314">
        <f>+(AN4*$A$4*Assumptions!$E$44)+(AM4*$A$4*Assumptions!$E$45)+(AL4*$A$4*Assumptions!$E$46)+SUM(AN10:AN35)</f>
        <v>26400</v>
      </c>
      <c r="AO39" s="314">
        <f>+(AO4*$A$4*Assumptions!$E$44)+(AN4*$A$4*Assumptions!$E$45)+(AM4*$A$4*Assumptions!$E$46)+SUM(AO10:AO35)</f>
        <v>32000</v>
      </c>
      <c r="AP39" s="314">
        <f>+(AP4*$A$4*Assumptions!$E$44)+(AO4*$A$4*Assumptions!$E$45)+(AN4*$A$4*Assumptions!$E$46)+SUM(AP10:AP35)</f>
        <v>21600</v>
      </c>
      <c r="AQ39" s="314">
        <f>+(AQ4*$A$4*Assumptions!$E$44)+(AP4*$A$4*Assumptions!$E$45)+(AO4*$A$4*Assumptions!$E$46)+SUM(AQ10:AQ35)</f>
        <v>33000</v>
      </c>
      <c r="AR39" s="314">
        <f>+(AR4*$A$4*Assumptions!$E$44)+(AQ4*$A$4*Assumptions!$E$45)+(AP4*$A$4*Assumptions!$E$46)+SUM(AR10:AR35)</f>
        <v>40000</v>
      </c>
      <c r="AS39" s="314">
        <f>+(AS4*$A$4*Assumptions!$E$44)+(AR4*$A$4*Assumptions!$E$45)+(AQ4*$A$4*Assumptions!$E$46)+SUM(AS10:AS35)</f>
        <v>27000</v>
      </c>
      <c r="AT39" s="314">
        <f>+(AT4*$A$4*Assumptions!$E$44)+(AS4*$A$4*Assumptions!$E$45)+(AR4*$A$4*Assumptions!$E$46)+SUM(AT10:AT35)</f>
        <v>33000</v>
      </c>
      <c r="AU39" s="314">
        <f>+(AU4*$A$4*Assumptions!$E$44)+(AT4*$A$4*Assumptions!$E$45)+(AS4*$A$4*Assumptions!$E$46)+SUM(AU10:AU35)</f>
        <v>40000</v>
      </c>
      <c r="AV39" s="314">
        <f>+(AV4*$A$4*Assumptions!$E$44)+(AU4*$A$4*Assumptions!$E$45)+(AT4*$A$4*Assumptions!$E$46)+SUM(AV10:AV35)</f>
        <v>27000</v>
      </c>
      <c r="AW39" s="314">
        <f>+(AW4*$A$4*Assumptions!$E$44)+(AV4*$A$4*Assumptions!$E$45)+(AU4*$A$4*Assumptions!$E$46)+SUM(AW10:AW35)</f>
        <v>33000</v>
      </c>
      <c r="AX39" s="314">
        <f>+(AX4*$A$4*Assumptions!$E$44)+(AW4*$A$4*Assumptions!$E$45)+(AV4*$A$4*Assumptions!$E$46)+SUM(AX10:AX35)</f>
        <v>40000</v>
      </c>
      <c r="AY39" s="314">
        <f>+(AY4*$A$4*Assumptions!$E$44)+(AX4*$A$4*Assumptions!$E$45)+(AW4*$A$4*Assumptions!$E$46)+SUM(AY10:AY35)</f>
        <v>27000</v>
      </c>
      <c r="AZ39" s="314">
        <f>+(AZ4*$A$4*Assumptions!$E$44)+(AY4*$A$4*Assumptions!$E$45)+(AX4*$A$4*Assumptions!$E$46)+SUM(AZ10:AZ35)</f>
        <v>33000</v>
      </c>
      <c r="BA39" s="314">
        <f>+(BA4*$A$4*Assumptions!$E$44)+(AZ4*$A$4*Assumptions!$E$45)+(AY4*$A$4*Assumptions!$E$46)+SUM(BA10:BA35)</f>
        <v>40000</v>
      </c>
      <c r="BB39" s="314">
        <f>+(BB4*$A$4*Assumptions!$E$44)+(BA4*$A$4*Assumptions!$E$45)+(AZ4*$A$4*Assumptions!$E$46)+SUM(BB10:BB35)</f>
        <v>27000</v>
      </c>
      <c r="BC39" s="314">
        <f>+(BC4*$A$4*Assumptions!$E$44)+(BB4*$A$4*Assumptions!$E$45)+(BA4*$A$4*Assumptions!$E$46)+SUM(BC10:BC35)</f>
        <v>39600</v>
      </c>
      <c r="BD39" s="314">
        <f>+(BD4*$A$4*Assumptions!$E$44)+(BC4*$A$4*Assumptions!$E$45)+(BB4*$A$4*Assumptions!$E$46)+SUM(BD10:BD35)</f>
        <v>48000</v>
      </c>
      <c r="BE39" s="314">
        <f>+(BE4*$A$4*Assumptions!$E$44)+(BD4*$A$4*Assumptions!$E$45)+(BC4*$A$4*Assumptions!$E$46)+SUM(BE10:BE35)</f>
        <v>32400.000000000004</v>
      </c>
      <c r="BF39" s="314">
        <f>+(BF4*$A$4*Assumptions!$E$44)+(BE4*$A$4*Assumptions!$E$45)+(BD4*$A$4*Assumptions!$E$46)+SUM(BF10:BF35)</f>
        <v>39600</v>
      </c>
      <c r="BG39" s="314">
        <f>+(BG4*$A$4*Assumptions!$E$44)+(BF4*$A$4*Assumptions!$E$45)+(BE4*$A$4*Assumptions!$E$46)+SUM(BG10:BG35)</f>
        <v>48000</v>
      </c>
      <c r="BH39" s="314">
        <f>+(BH4*$A$4*Assumptions!$E$44)+(BG4*$A$4*Assumptions!$E$45)+(BF4*$A$4*Assumptions!$E$46)+SUM(BH10:BH35)</f>
        <v>32400.000000000004</v>
      </c>
      <c r="BI39" s="314">
        <f>+(BI4*$A$4*Assumptions!$E$44)+(BH4*$A$4*Assumptions!$E$45)+(BG4*$A$4*Assumptions!$E$46)+SUM(BI10:BI35)</f>
        <v>39600</v>
      </c>
      <c r="BJ39" s="314">
        <f>+(BJ4*$A$4*Assumptions!$E$44)+(BI4*$A$4*Assumptions!$E$45)+(BH4*$A$4*Assumptions!$E$46)+SUM(BJ10:BJ35)</f>
        <v>48000</v>
      </c>
      <c r="BK39" s="314">
        <f>+(BK4*$A$4*Assumptions!$E$44)+(BJ4*$A$4*Assumptions!$E$45)+(BI4*$A$4*Assumptions!$E$46)+SUM(BK10:BK35)</f>
        <v>32400.000000000004</v>
      </c>
      <c r="BL39" s="314">
        <f>+(BL4*$A$4*Assumptions!$E$44)+(BK4*$A$4*Assumptions!$E$45)+(BJ4*$A$4*Assumptions!$E$46)+SUM(BL10:BL35)</f>
        <v>39600</v>
      </c>
      <c r="BM39" s="314">
        <f>+(BM4*$A$4*Assumptions!$E$44)+(BL4*$A$4*Assumptions!$E$45)+(BK4*$A$4*Assumptions!$E$46)+SUM(BM10:BM35)</f>
        <v>48000</v>
      </c>
      <c r="BN39" s="314">
        <f>+(BN4*$A$4*Assumptions!$E$44)+(BM4*$A$4*Assumptions!$E$45)+(BL4*$A$4*Assumptions!$E$46)+SUM(BN10:BN35)</f>
        <v>32400.000000000004</v>
      </c>
      <c r="BO39" s="314">
        <f>+(BO4*$A$4*Assumptions!$E$44)+(BN4*$A$4*Assumptions!$E$45)+(BM4*$A$4*Assumptions!$E$46)+SUM(BO10:BO35)</f>
        <v>46200</v>
      </c>
      <c r="BP39" s="314">
        <f>+(BP4*$A$4*Assumptions!$E$44)+(BO4*$A$4*Assumptions!$E$45)+(BN4*$A$4*Assumptions!$E$46)+SUM(BP10:BP35)</f>
        <v>56000</v>
      </c>
      <c r="BQ39" s="314">
        <f>+(BQ4*$A$4*Assumptions!$E$44)+(BP4*$A$4*Assumptions!$E$45)+(BO4*$A$4*Assumptions!$E$46)+SUM(BQ10:BQ35)</f>
        <v>37800</v>
      </c>
      <c r="BR39" s="314">
        <f>+(BR4*$A$4*Assumptions!$E$44)+(BQ4*$A$4*Assumptions!$E$45)+(BP4*$A$4*Assumptions!$E$46)+SUM(BR10:BR35)</f>
        <v>46200</v>
      </c>
      <c r="BS39" s="314">
        <f>+(BS4*$A$4*Assumptions!$E$44)+(BR4*$A$4*Assumptions!$E$45)+(BQ4*$A$4*Assumptions!$E$46)+SUM(BS10:BS35)</f>
        <v>56000</v>
      </c>
      <c r="BT39" s="314">
        <f>+(BT4*$A$4*Assumptions!$E$44)+(BS4*$A$4*Assumptions!$E$45)+(BR4*$A$4*Assumptions!$E$46)+SUM(BT10:BT35)</f>
        <v>37800</v>
      </c>
      <c r="BU39" s="314">
        <f>+(BU4*$A$4*Assumptions!$E$44)+(BT4*$A$4*Assumptions!$E$45)+(BS4*$A$4*Assumptions!$E$46)+SUM(BU10:BU35)</f>
        <v>52800</v>
      </c>
      <c r="BV39" s="314">
        <f>+(BV4*$A$4*Assumptions!$E$44)+(BU4*$A$4*Assumptions!$E$45)+(BT4*$A$4*Assumptions!$E$46)+SUM(BV10:BV35)</f>
        <v>64000</v>
      </c>
      <c r="BW39" s="314">
        <f>+(BW4*$A$4*Assumptions!$E$44)+(BV4*$A$4*Assumptions!$E$45)+(BU4*$A$4*Assumptions!$E$46)+SUM(BW10:BW35)</f>
        <v>43200</v>
      </c>
      <c r="BX39" s="314">
        <f>+(BX4*$A$4*Assumptions!$E$44)+(BW4*$A$4*Assumptions!$E$45)+(BV4*$A$4*Assumptions!$E$46)+SUM(BX10:BX35)</f>
        <v>52800</v>
      </c>
      <c r="BY39" s="314">
        <f>+(BY4*$A$4*Assumptions!$E$44)+(BX4*$A$4*Assumptions!$E$45)+(BW4*$A$4*Assumptions!$E$46)+SUM(BY10:BY35)</f>
        <v>64000</v>
      </c>
      <c r="BZ39" s="314">
        <f>+(BZ4*$A$4*Assumptions!$E$44)+(BY4*$A$4*Assumptions!$E$45)+(BX4*$A$4*Assumptions!$E$46)+SUM(BZ10:BZ35)</f>
        <v>43200</v>
      </c>
      <c r="CA39" s="314">
        <f>+(CA4*$A$4*Assumptions!$E$44)+(BZ4*$A$4*Assumptions!$E$45)+(BY4*$A$4*Assumptions!$E$46)+SUM(CA10:CA35)</f>
        <v>52800</v>
      </c>
      <c r="CB39" s="314">
        <f>+(CB4*$A$4*Assumptions!$E$44)+(CA4*$A$4*Assumptions!$E$45)+(BZ4*$A$4*Assumptions!$E$46)+SUM(CB10:CB35)</f>
        <v>64000</v>
      </c>
      <c r="CC39" s="314">
        <f>+(CC4*$A$4*Assumptions!$E$44)+(CB4*$A$4*Assumptions!$E$45)+(CA4*$A$4*Assumptions!$E$46)+SUM(CC10:CC35)</f>
        <v>43200</v>
      </c>
      <c r="CD39" s="314">
        <f>+(CD4*$A$4*Assumptions!$E$44)+(CC4*$A$4*Assumptions!$E$45)+(CB4*$A$4*Assumptions!$E$46)+SUM(CD10:CD35)</f>
        <v>52800</v>
      </c>
      <c r="CE39" s="314">
        <f>+(CE4*$A$4*Assumptions!$E$44)+(CD4*$A$4*Assumptions!$E$45)+(CC4*$A$4*Assumptions!$E$46)+SUM(CE10:CE35)</f>
        <v>64000</v>
      </c>
      <c r="CF39" s="314">
        <f>+(CF4*$A$4*Assumptions!$E$44)+(CE4*$A$4*Assumptions!$E$45)+(CD4*$A$4*Assumptions!$E$46)+SUM(CF10:CF35)</f>
        <v>43200</v>
      </c>
      <c r="CG39" s="314">
        <f>+(CG4*$A$4*Assumptions!$E$44)+(CF4*$A$4*Assumptions!$E$45)+(CE4*$A$4*Assumptions!$E$46)+SUM(CG10:CG35)</f>
        <v>59400</v>
      </c>
      <c r="CH39" s="314">
        <f>+(CH4*$A$4*Assumptions!$E$44)+(CG4*$A$4*Assumptions!$E$45)+(CF4*$A$4*Assumptions!$E$46)+SUM(CH10:CH35)</f>
        <v>72000</v>
      </c>
      <c r="CI39" s="314">
        <f>+(CI4*$A$4*Assumptions!$E$44)+(CH4*$A$4*Assumptions!$E$45)+(CG4*$A$4*Assumptions!$E$46)+SUM(CI10:CI35)</f>
        <v>48600</v>
      </c>
      <c r="CJ39" s="314">
        <f>+(CJ4*$A$4*Assumptions!$E$44)+(CI4*$A$4*Assumptions!$E$45)+(CH4*$A$4*Assumptions!$E$46)+SUM(CJ10:CJ35)</f>
        <v>59400</v>
      </c>
      <c r="CK39" s="314">
        <f>+(CK4*$A$4*Assumptions!$E$44)+(CJ4*$A$4*Assumptions!$E$45)+(CI4*$A$4*Assumptions!$E$46)+SUM(CK10:CK35)</f>
        <v>72000</v>
      </c>
      <c r="CL39" s="315">
        <f>+(CL4*$A$4*Assumptions!$E$44)+(CK4*$A$4*Assumptions!$E$45)+(CJ4*$A$4*Assumptions!$E$46)+SUM(CL10:CL35)</f>
        <v>48600</v>
      </c>
    </row>
    <row r="40" spans="1:90" x14ac:dyDescent="0.25">
      <c r="A40" s="294"/>
      <c r="E40" s="7" t="s">
        <v>348</v>
      </c>
      <c r="G40" s="313"/>
      <c r="H40" s="314">
        <f>+H39+G40</f>
        <v>0</v>
      </c>
      <c r="I40" s="314">
        <f t="shared" ref="I40:J40" si="50">+I39+H40</f>
        <v>0</v>
      </c>
      <c r="J40" s="314">
        <f t="shared" si="50"/>
        <v>0</v>
      </c>
      <c r="K40" s="314">
        <f>+K39+J40-K38</f>
        <v>15124.64</v>
      </c>
      <c r="L40" s="314">
        <f t="shared" ref="L40:BW40" si="51">+L39+K40-L38</f>
        <v>14766</v>
      </c>
      <c r="M40" s="314">
        <f t="shared" si="51"/>
        <v>14766</v>
      </c>
      <c r="N40" s="314">
        <f t="shared" si="51"/>
        <v>0</v>
      </c>
      <c r="O40" s="314">
        <f t="shared" si="51"/>
        <v>0</v>
      </c>
      <c r="P40" s="314">
        <f>+P39+O40-P38</f>
        <v>0</v>
      </c>
      <c r="Q40" s="314">
        <f>+Q39+P40-Q38</f>
        <v>0</v>
      </c>
      <c r="R40" s="314">
        <f>+R39+Q40-R38</f>
        <v>-26089.72</v>
      </c>
      <c r="S40" s="314">
        <f>+S39+R40-S38</f>
        <v>-26089.72</v>
      </c>
      <c r="T40" s="314">
        <f t="shared" si="51"/>
        <v>-46563.58</v>
      </c>
      <c r="U40" s="314">
        <f t="shared" si="51"/>
        <v>0</v>
      </c>
      <c r="V40" s="314">
        <f t="shared" si="51"/>
        <v>2900.7000000000007</v>
      </c>
      <c r="W40" s="314">
        <f t="shared" si="51"/>
        <v>0</v>
      </c>
      <c r="X40" s="315">
        <f t="shared" si="51"/>
        <v>0</v>
      </c>
      <c r="Y40" s="314">
        <f t="shared" si="51"/>
        <v>0</v>
      </c>
      <c r="Z40" s="314">
        <f t="shared" si="51"/>
        <v>1400</v>
      </c>
      <c r="AA40" s="314">
        <f t="shared" si="51"/>
        <v>200</v>
      </c>
      <c r="AB40" s="314">
        <f t="shared" si="51"/>
        <v>200</v>
      </c>
      <c r="AC40" s="314">
        <f t="shared" si="51"/>
        <v>1600</v>
      </c>
      <c r="AD40" s="314">
        <f t="shared" si="51"/>
        <v>400</v>
      </c>
      <c r="AE40" s="314">
        <f t="shared" si="51"/>
        <v>400</v>
      </c>
      <c r="AF40" s="314">
        <f t="shared" si="51"/>
        <v>4600</v>
      </c>
      <c r="AG40" s="314">
        <f t="shared" si="51"/>
        <v>1000</v>
      </c>
      <c r="AH40" s="314">
        <f t="shared" si="51"/>
        <v>1000</v>
      </c>
      <c r="AI40" s="314">
        <f t="shared" si="51"/>
        <v>5200</v>
      </c>
      <c r="AJ40" s="314">
        <f t="shared" si="51"/>
        <v>1600</v>
      </c>
      <c r="AK40" s="314">
        <f t="shared" si="51"/>
        <v>1600</v>
      </c>
      <c r="AL40" s="314">
        <f t="shared" si="51"/>
        <v>7200</v>
      </c>
      <c r="AM40" s="314">
        <f t="shared" si="51"/>
        <v>2400</v>
      </c>
      <c r="AN40" s="314">
        <f t="shared" si="51"/>
        <v>2400</v>
      </c>
      <c r="AO40" s="314">
        <f t="shared" si="51"/>
        <v>8000</v>
      </c>
      <c r="AP40" s="314">
        <f t="shared" si="51"/>
        <v>3200</v>
      </c>
      <c r="AQ40" s="314">
        <f t="shared" si="51"/>
        <v>3200</v>
      </c>
      <c r="AR40" s="314">
        <f t="shared" si="51"/>
        <v>10200</v>
      </c>
      <c r="AS40" s="314">
        <f t="shared" si="51"/>
        <v>4200</v>
      </c>
      <c r="AT40" s="314">
        <f t="shared" si="51"/>
        <v>4200</v>
      </c>
      <c r="AU40" s="314">
        <f t="shared" si="51"/>
        <v>11200</v>
      </c>
      <c r="AV40" s="314">
        <f t="shared" si="51"/>
        <v>5200</v>
      </c>
      <c r="AW40" s="314">
        <f t="shared" si="51"/>
        <v>5200</v>
      </c>
      <c r="AX40" s="314">
        <f t="shared" si="51"/>
        <v>12200</v>
      </c>
      <c r="AY40" s="314">
        <f t="shared" si="51"/>
        <v>6200</v>
      </c>
      <c r="AZ40" s="314">
        <f t="shared" si="51"/>
        <v>6200</v>
      </c>
      <c r="BA40" s="314">
        <f t="shared" si="51"/>
        <v>13200</v>
      </c>
      <c r="BB40" s="314">
        <f t="shared" si="51"/>
        <v>7200</v>
      </c>
      <c r="BC40" s="314">
        <f t="shared" si="51"/>
        <v>7200</v>
      </c>
      <c r="BD40" s="314">
        <f t="shared" si="51"/>
        <v>15600</v>
      </c>
      <c r="BE40" s="314">
        <f t="shared" si="51"/>
        <v>8400</v>
      </c>
      <c r="BF40" s="314">
        <f t="shared" si="51"/>
        <v>8400</v>
      </c>
      <c r="BG40" s="314">
        <f t="shared" si="51"/>
        <v>16800</v>
      </c>
      <c r="BH40" s="314">
        <f t="shared" si="51"/>
        <v>9600</v>
      </c>
      <c r="BI40" s="314">
        <f t="shared" si="51"/>
        <v>9600</v>
      </c>
      <c r="BJ40" s="314">
        <f t="shared" si="51"/>
        <v>18000</v>
      </c>
      <c r="BK40" s="314">
        <f t="shared" si="51"/>
        <v>10800</v>
      </c>
      <c r="BL40" s="314">
        <f t="shared" si="51"/>
        <v>10800</v>
      </c>
      <c r="BM40" s="314">
        <f t="shared" si="51"/>
        <v>19200</v>
      </c>
      <c r="BN40" s="314">
        <f t="shared" si="51"/>
        <v>12000</v>
      </c>
      <c r="BO40" s="314">
        <f t="shared" si="51"/>
        <v>12000</v>
      </c>
      <c r="BP40" s="314">
        <f t="shared" si="51"/>
        <v>21800</v>
      </c>
      <c r="BQ40" s="314">
        <f t="shared" si="51"/>
        <v>13400</v>
      </c>
      <c r="BR40" s="314">
        <f t="shared" si="51"/>
        <v>13400</v>
      </c>
      <c r="BS40" s="314">
        <f t="shared" si="51"/>
        <v>23200</v>
      </c>
      <c r="BT40" s="314">
        <f t="shared" si="51"/>
        <v>14800</v>
      </c>
      <c r="BU40" s="314">
        <f t="shared" si="51"/>
        <v>14800</v>
      </c>
      <c r="BV40" s="314">
        <f t="shared" si="51"/>
        <v>26000</v>
      </c>
      <c r="BW40" s="314">
        <f t="shared" si="51"/>
        <v>16400</v>
      </c>
      <c r="BX40" s="314">
        <f t="shared" ref="BX40:CL40" si="52">+BX39+BW40-BX38</f>
        <v>16400</v>
      </c>
      <c r="BY40" s="314">
        <f t="shared" si="52"/>
        <v>27600</v>
      </c>
      <c r="BZ40" s="314">
        <f t="shared" si="52"/>
        <v>18000</v>
      </c>
      <c r="CA40" s="314">
        <f t="shared" si="52"/>
        <v>18000</v>
      </c>
      <c r="CB40" s="314">
        <f t="shared" si="52"/>
        <v>29200</v>
      </c>
      <c r="CC40" s="314">
        <f t="shared" si="52"/>
        <v>19600</v>
      </c>
      <c r="CD40" s="314">
        <f t="shared" si="52"/>
        <v>19600</v>
      </c>
      <c r="CE40" s="314">
        <f t="shared" si="52"/>
        <v>30800</v>
      </c>
      <c r="CF40" s="314">
        <f t="shared" si="52"/>
        <v>21200</v>
      </c>
      <c r="CG40" s="314">
        <f t="shared" si="52"/>
        <v>21200</v>
      </c>
      <c r="CH40" s="314">
        <f t="shared" si="52"/>
        <v>33800</v>
      </c>
      <c r="CI40" s="314">
        <f t="shared" si="52"/>
        <v>23000</v>
      </c>
      <c r="CJ40" s="314">
        <f t="shared" si="52"/>
        <v>23000</v>
      </c>
      <c r="CK40" s="314">
        <f t="shared" si="52"/>
        <v>35600</v>
      </c>
      <c r="CL40" s="315">
        <f t="shared" si="52"/>
        <v>24800</v>
      </c>
    </row>
    <row r="41" spans="1:90" x14ac:dyDescent="0.25">
      <c r="A41" s="316"/>
      <c r="B41" s="740"/>
      <c r="C41" s="248"/>
      <c r="D41" s="248"/>
      <c r="E41" s="317" t="s">
        <v>0</v>
      </c>
      <c r="F41" s="248"/>
      <c r="G41" s="313">
        <f t="shared" ref="G41:AL41" si="53">+SUM(G38:G38)</f>
        <v>0</v>
      </c>
      <c r="H41" s="314">
        <f t="shared" si="53"/>
        <v>0</v>
      </c>
      <c r="I41" s="314">
        <f t="shared" si="53"/>
        <v>0</v>
      </c>
      <c r="J41" s="314">
        <f t="shared" si="53"/>
        <v>0</v>
      </c>
      <c r="K41" s="314">
        <f>+SUM(K38:K38)</f>
        <v>5464.32</v>
      </c>
      <c r="L41" s="314">
        <f t="shared" si="53"/>
        <v>10928.64</v>
      </c>
      <c r="M41" s="314">
        <f t="shared" si="53"/>
        <v>700</v>
      </c>
      <c r="N41" s="314">
        <f t="shared" si="53"/>
        <v>45897</v>
      </c>
      <c r="O41" s="314">
        <f t="shared" ref="O41" si="54">+SUM(O38:O38)</f>
        <v>49010.3</v>
      </c>
      <c r="P41" s="314">
        <f t="shared" ref="P41" si="55">+SUM(P38:P38)</f>
        <v>24753.5</v>
      </c>
      <c r="Q41" s="314">
        <f t="shared" si="53"/>
        <v>23117.99</v>
      </c>
      <c r="R41" s="314">
        <f t="shared" ref="R41:S41" si="56">+SUM(R38:R38)</f>
        <v>77453.3</v>
      </c>
      <c r="S41" s="314">
        <f t="shared" si="56"/>
        <v>70951.44</v>
      </c>
      <c r="T41" s="314">
        <f t="shared" si="53"/>
        <v>20473.86</v>
      </c>
      <c r="U41" s="314">
        <f t="shared" ref="U41:V41" si="57">+SUM(U38:U38)</f>
        <v>0</v>
      </c>
      <c r="V41" s="314">
        <f t="shared" si="57"/>
        <v>11761.5</v>
      </c>
      <c r="W41" s="314">
        <f t="shared" si="53"/>
        <v>4100.5</v>
      </c>
      <c r="X41" s="315">
        <f t="shared" ref="X41" si="58">+SUM(X38:X38)</f>
        <v>0</v>
      </c>
      <c r="Y41" s="314">
        <f t="shared" si="53"/>
        <v>6600</v>
      </c>
      <c r="Z41" s="314">
        <f t="shared" si="53"/>
        <v>6600</v>
      </c>
      <c r="AA41" s="314">
        <f t="shared" si="53"/>
        <v>6600</v>
      </c>
      <c r="AB41" s="314">
        <f t="shared" si="53"/>
        <v>6600</v>
      </c>
      <c r="AC41" s="314">
        <f t="shared" si="53"/>
        <v>6600</v>
      </c>
      <c r="AD41" s="314">
        <f t="shared" si="53"/>
        <v>6600</v>
      </c>
      <c r="AE41" s="314">
        <f t="shared" si="53"/>
        <v>19800</v>
      </c>
      <c r="AF41" s="314">
        <f t="shared" si="53"/>
        <v>19800</v>
      </c>
      <c r="AG41" s="314">
        <f t="shared" si="53"/>
        <v>19800</v>
      </c>
      <c r="AH41" s="314">
        <f t="shared" si="53"/>
        <v>19800</v>
      </c>
      <c r="AI41" s="314">
        <f t="shared" si="53"/>
        <v>19800</v>
      </c>
      <c r="AJ41" s="314">
        <f t="shared" si="53"/>
        <v>19800</v>
      </c>
      <c r="AK41" s="314">
        <f t="shared" si="53"/>
        <v>26400</v>
      </c>
      <c r="AL41" s="314">
        <f t="shared" si="53"/>
        <v>26400</v>
      </c>
      <c r="AM41" s="314">
        <f t="shared" ref="AM41:BR41" si="59">+SUM(AM38:AM38)</f>
        <v>26400</v>
      </c>
      <c r="AN41" s="314">
        <f t="shared" si="59"/>
        <v>26400</v>
      </c>
      <c r="AO41" s="314">
        <f t="shared" si="59"/>
        <v>26400</v>
      </c>
      <c r="AP41" s="314">
        <f t="shared" si="59"/>
        <v>26400</v>
      </c>
      <c r="AQ41" s="314">
        <f t="shared" si="59"/>
        <v>33000</v>
      </c>
      <c r="AR41" s="314">
        <f t="shared" si="59"/>
        <v>33000</v>
      </c>
      <c r="AS41" s="314">
        <f t="shared" si="59"/>
        <v>33000</v>
      </c>
      <c r="AT41" s="314">
        <f t="shared" si="59"/>
        <v>33000</v>
      </c>
      <c r="AU41" s="314">
        <f t="shared" si="59"/>
        <v>33000</v>
      </c>
      <c r="AV41" s="314">
        <f t="shared" si="59"/>
        <v>33000</v>
      </c>
      <c r="AW41" s="314">
        <f t="shared" si="59"/>
        <v>33000</v>
      </c>
      <c r="AX41" s="314">
        <f t="shared" si="59"/>
        <v>33000</v>
      </c>
      <c r="AY41" s="314">
        <f t="shared" si="59"/>
        <v>33000</v>
      </c>
      <c r="AZ41" s="314">
        <f t="shared" si="59"/>
        <v>33000</v>
      </c>
      <c r="BA41" s="314">
        <f t="shared" si="59"/>
        <v>33000</v>
      </c>
      <c r="BB41" s="314">
        <f t="shared" si="59"/>
        <v>33000</v>
      </c>
      <c r="BC41" s="314">
        <f t="shared" si="59"/>
        <v>39600</v>
      </c>
      <c r="BD41" s="314">
        <f t="shared" si="59"/>
        <v>39600</v>
      </c>
      <c r="BE41" s="314">
        <f t="shared" si="59"/>
        <v>39600</v>
      </c>
      <c r="BF41" s="314">
        <f t="shared" si="59"/>
        <v>39600</v>
      </c>
      <c r="BG41" s="314">
        <f t="shared" si="59"/>
        <v>39600</v>
      </c>
      <c r="BH41" s="314">
        <f t="shared" si="59"/>
        <v>39600</v>
      </c>
      <c r="BI41" s="314">
        <f t="shared" si="59"/>
        <v>39600</v>
      </c>
      <c r="BJ41" s="314">
        <f t="shared" si="59"/>
        <v>39600</v>
      </c>
      <c r="BK41" s="314">
        <f t="shared" si="59"/>
        <v>39600</v>
      </c>
      <c r="BL41" s="314">
        <f t="shared" si="59"/>
        <v>39600</v>
      </c>
      <c r="BM41" s="314">
        <f t="shared" si="59"/>
        <v>39600</v>
      </c>
      <c r="BN41" s="314">
        <f t="shared" si="59"/>
        <v>39600</v>
      </c>
      <c r="BO41" s="314">
        <f t="shared" si="59"/>
        <v>46200</v>
      </c>
      <c r="BP41" s="314">
        <f t="shared" si="59"/>
        <v>46200</v>
      </c>
      <c r="BQ41" s="314">
        <f t="shared" si="59"/>
        <v>46200</v>
      </c>
      <c r="BR41" s="314">
        <f t="shared" si="59"/>
        <v>46200</v>
      </c>
      <c r="BS41" s="314">
        <f t="shared" ref="BS41:CL41" si="60">+SUM(BS38:BS38)</f>
        <v>46200</v>
      </c>
      <c r="BT41" s="314">
        <f t="shared" si="60"/>
        <v>46200</v>
      </c>
      <c r="BU41" s="314">
        <f t="shared" si="60"/>
        <v>52800</v>
      </c>
      <c r="BV41" s="314">
        <f t="shared" si="60"/>
        <v>52800</v>
      </c>
      <c r="BW41" s="314">
        <f t="shared" si="60"/>
        <v>52800</v>
      </c>
      <c r="BX41" s="314">
        <f t="shared" si="60"/>
        <v>52800</v>
      </c>
      <c r="BY41" s="314">
        <f t="shared" si="60"/>
        <v>52800</v>
      </c>
      <c r="BZ41" s="314">
        <f t="shared" si="60"/>
        <v>52800</v>
      </c>
      <c r="CA41" s="314">
        <f t="shared" si="60"/>
        <v>52800</v>
      </c>
      <c r="CB41" s="314">
        <f t="shared" si="60"/>
        <v>52800</v>
      </c>
      <c r="CC41" s="314">
        <f t="shared" si="60"/>
        <v>52800</v>
      </c>
      <c r="CD41" s="314">
        <f t="shared" si="60"/>
        <v>52800</v>
      </c>
      <c r="CE41" s="314">
        <f t="shared" si="60"/>
        <v>52800</v>
      </c>
      <c r="CF41" s="314">
        <f t="shared" si="60"/>
        <v>52800</v>
      </c>
      <c r="CG41" s="314">
        <f t="shared" si="60"/>
        <v>59400</v>
      </c>
      <c r="CH41" s="314">
        <f t="shared" si="60"/>
        <v>59400</v>
      </c>
      <c r="CI41" s="314">
        <f t="shared" si="60"/>
        <v>59400</v>
      </c>
      <c r="CJ41" s="314">
        <f t="shared" si="60"/>
        <v>59400</v>
      </c>
      <c r="CK41" s="314">
        <f t="shared" si="60"/>
        <v>59400</v>
      </c>
      <c r="CL41" s="315">
        <f t="shared" si="60"/>
        <v>59400</v>
      </c>
    </row>
    <row r="42" spans="1:90" x14ac:dyDescent="0.25">
      <c r="K42" s="9"/>
      <c r="P42" s="9"/>
    </row>
    <row r="43" spans="1:90" x14ac:dyDescent="0.25">
      <c r="N43" s="9"/>
    </row>
    <row r="44" spans="1:90" x14ac:dyDescent="0.25">
      <c r="E44" s="7"/>
    </row>
  </sheetData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workbookViewId="0"/>
  </sheetViews>
  <sheetFormatPr defaultColWidth="9.140625" defaultRowHeight="15" x14ac:dyDescent="0.25"/>
  <cols>
    <col min="1" max="1" width="17.28515625" style="21" bestFit="1" customWidth="1"/>
    <col min="2" max="2" width="7.42578125" style="21" bestFit="1" customWidth="1"/>
    <col min="3" max="3" width="8.42578125" style="21" bestFit="1" customWidth="1"/>
    <col min="4" max="4" width="12.85546875" style="21" bestFit="1" customWidth="1"/>
    <col min="5" max="5" width="7.28515625" style="21" bestFit="1" customWidth="1"/>
    <col min="6" max="6" width="31.5703125" style="21" bestFit="1" customWidth="1"/>
    <col min="7" max="7" width="21" style="21" bestFit="1" customWidth="1"/>
    <col min="8" max="8" width="43.28515625" style="21" bestFit="1" customWidth="1"/>
    <col min="9" max="9" width="7" style="21" bestFit="1" customWidth="1"/>
    <col min="10" max="10" width="106.140625" style="21" bestFit="1" customWidth="1"/>
    <col min="11" max="11" width="8.5703125" style="21" bestFit="1" customWidth="1"/>
    <col min="12" max="13" width="9.140625" style="21"/>
    <col min="14" max="14" width="39.140625" style="21" bestFit="1" customWidth="1"/>
    <col min="15" max="15" width="17.28515625" style="21" bestFit="1" customWidth="1"/>
    <col min="16" max="16" width="12.7109375" style="21" bestFit="1" customWidth="1"/>
    <col min="17" max="17" width="11.5703125" style="21" bestFit="1" customWidth="1"/>
    <col min="18" max="16384" width="9.140625" style="21"/>
  </cols>
  <sheetData>
    <row r="1" spans="1:14" x14ac:dyDescent="0.25">
      <c r="A1" s="21" t="s">
        <v>54</v>
      </c>
      <c r="B1" s="21" t="s">
        <v>55</v>
      </c>
      <c r="C1" s="21" t="s">
        <v>56</v>
      </c>
      <c r="D1" s="21" t="s">
        <v>57</v>
      </c>
      <c r="E1" s="21" t="s">
        <v>58</v>
      </c>
      <c r="F1" s="21" t="s">
        <v>59</v>
      </c>
      <c r="G1" s="21" t="s">
        <v>60</v>
      </c>
      <c r="H1" s="21" t="s">
        <v>61</v>
      </c>
      <c r="I1" s="21" t="s">
        <v>62</v>
      </c>
      <c r="J1" s="22" t="s">
        <v>63</v>
      </c>
      <c r="K1" s="21" t="s">
        <v>64</v>
      </c>
    </row>
    <row r="2" spans="1:14" x14ac:dyDescent="0.25">
      <c r="A2" s="23" t="s">
        <v>65</v>
      </c>
      <c r="B2" s="24">
        <v>44836</v>
      </c>
      <c r="C2" s="23">
        <v>1</v>
      </c>
      <c r="D2" s="23">
        <v>50</v>
      </c>
      <c r="E2" s="23">
        <v>50</v>
      </c>
      <c r="F2" s="23" t="s">
        <v>66</v>
      </c>
      <c r="G2" s="23" t="s">
        <v>66</v>
      </c>
      <c r="H2" s="23" t="s">
        <v>67</v>
      </c>
      <c r="I2" s="23" t="s">
        <v>68</v>
      </c>
      <c r="J2" s="25" t="s">
        <v>68</v>
      </c>
      <c r="K2" s="23">
        <v>50</v>
      </c>
      <c r="N2" s="21" t="s">
        <v>69</v>
      </c>
    </row>
    <row r="3" spans="1:14" x14ac:dyDescent="0.25">
      <c r="A3" s="23" t="s">
        <v>65</v>
      </c>
      <c r="B3" s="24">
        <v>44846</v>
      </c>
      <c r="C3" s="23">
        <v>2</v>
      </c>
      <c r="D3" s="23">
        <v>50</v>
      </c>
      <c r="E3" s="23">
        <v>100</v>
      </c>
      <c r="F3" s="23" t="s">
        <v>66</v>
      </c>
      <c r="G3" s="23" t="s">
        <v>66</v>
      </c>
      <c r="H3" s="23" t="s">
        <v>70</v>
      </c>
      <c r="I3" s="23" t="s">
        <v>68</v>
      </c>
      <c r="J3" s="23" t="s">
        <v>71</v>
      </c>
      <c r="K3" s="23">
        <v>100</v>
      </c>
    </row>
    <row r="4" spans="1:14" x14ac:dyDescent="0.25">
      <c r="A4" s="23" t="s">
        <v>65</v>
      </c>
      <c r="B4" s="24">
        <v>44858</v>
      </c>
      <c r="C4" s="23">
        <v>1</v>
      </c>
      <c r="D4" s="23">
        <v>50</v>
      </c>
      <c r="E4" s="23">
        <v>50</v>
      </c>
      <c r="F4" s="23" t="s">
        <v>66</v>
      </c>
      <c r="G4" s="23" t="s">
        <v>66</v>
      </c>
      <c r="H4" s="23" t="s">
        <v>72</v>
      </c>
      <c r="I4" s="23" t="s">
        <v>68</v>
      </c>
      <c r="J4" s="23" t="s">
        <v>71</v>
      </c>
      <c r="K4" s="23">
        <v>50</v>
      </c>
    </row>
    <row r="5" spans="1:14" x14ac:dyDescent="0.25">
      <c r="A5" s="23" t="s">
        <v>65</v>
      </c>
      <c r="B5" s="24">
        <v>44859</v>
      </c>
      <c r="C5" s="23">
        <v>0.75</v>
      </c>
      <c r="D5" s="23">
        <v>50</v>
      </c>
      <c r="E5" s="23">
        <v>37.5</v>
      </c>
      <c r="F5" s="23" t="s">
        <v>66</v>
      </c>
      <c r="G5" s="23" t="s">
        <v>66</v>
      </c>
      <c r="H5" s="23" t="s">
        <v>73</v>
      </c>
      <c r="I5" s="23" t="s">
        <v>68</v>
      </c>
      <c r="J5" s="23" t="s">
        <v>71</v>
      </c>
      <c r="K5" s="23">
        <v>37.5</v>
      </c>
    </row>
    <row r="6" spans="1:14" x14ac:dyDescent="0.25">
      <c r="A6" s="23" t="s">
        <v>65</v>
      </c>
      <c r="B6" s="24">
        <v>44861</v>
      </c>
      <c r="C6" s="23">
        <v>1</v>
      </c>
      <c r="D6" s="23">
        <v>50</v>
      </c>
      <c r="E6" s="23">
        <v>50</v>
      </c>
      <c r="F6" s="23" t="s">
        <v>66</v>
      </c>
      <c r="G6" s="23" t="s">
        <v>66</v>
      </c>
      <c r="H6" s="23" t="s">
        <v>74</v>
      </c>
      <c r="I6" s="23" t="s">
        <v>68</v>
      </c>
      <c r="J6" s="23" t="s">
        <v>71</v>
      </c>
      <c r="K6" s="23">
        <v>50</v>
      </c>
    </row>
    <row r="7" spans="1:14" x14ac:dyDescent="0.25">
      <c r="A7" s="23" t="s">
        <v>75</v>
      </c>
      <c r="B7" s="24">
        <v>44849</v>
      </c>
      <c r="C7" s="23">
        <v>1</v>
      </c>
      <c r="D7" s="23">
        <v>60</v>
      </c>
      <c r="E7" s="23">
        <v>60</v>
      </c>
      <c r="F7" s="23" t="s">
        <v>66</v>
      </c>
      <c r="G7" s="23" t="s">
        <v>66</v>
      </c>
      <c r="H7" s="23" t="s">
        <v>76</v>
      </c>
      <c r="I7" s="23" t="s">
        <v>68</v>
      </c>
      <c r="J7" s="23" t="s">
        <v>71</v>
      </c>
      <c r="K7" s="23">
        <v>60</v>
      </c>
    </row>
    <row r="8" spans="1:14" x14ac:dyDescent="0.25">
      <c r="A8" s="23" t="s">
        <v>77</v>
      </c>
      <c r="B8" s="24">
        <v>44852</v>
      </c>
      <c r="C8" s="23">
        <v>3.5</v>
      </c>
      <c r="D8" s="23">
        <v>50</v>
      </c>
      <c r="E8" s="23">
        <v>175</v>
      </c>
      <c r="F8" s="23" t="s">
        <v>66</v>
      </c>
      <c r="G8" s="23" t="s">
        <v>66</v>
      </c>
      <c r="H8" s="23" t="s">
        <v>78</v>
      </c>
      <c r="I8" s="23" t="s">
        <v>66</v>
      </c>
      <c r="J8" s="23" t="s">
        <v>79</v>
      </c>
      <c r="K8" s="23">
        <v>200</v>
      </c>
    </row>
    <row r="9" spans="1:14" x14ac:dyDescent="0.25">
      <c r="A9" s="23" t="s">
        <v>77</v>
      </c>
      <c r="B9" s="24">
        <v>44857</v>
      </c>
      <c r="C9" s="23">
        <v>1</v>
      </c>
      <c r="D9" s="23">
        <v>50</v>
      </c>
      <c r="E9" s="23">
        <v>50</v>
      </c>
      <c r="F9" s="23" t="s">
        <v>66</v>
      </c>
      <c r="G9" s="23" t="s">
        <v>66</v>
      </c>
      <c r="H9" s="23" t="s">
        <v>80</v>
      </c>
      <c r="I9" s="23" t="s">
        <v>68</v>
      </c>
      <c r="J9" s="23" t="s">
        <v>81</v>
      </c>
      <c r="K9" s="23">
        <v>50</v>
      </c>
    </row>
    <row r="10" spans="1:14" x14ac:dyDescent="0.25">
      <c r="A10" s="23" t="s">
        <v>82</v>
      </c>
      <c r="B10" s="24">
        <v>44837</v>
      </c>
      <c r="C10" s="23">
        <v>1</v>
      </c>
      <c r="D10" s="23">
        <v>50</v>
      </c>
      <c r="E10" s="23">
        <v>50</v>
      </c>
      <c r="F10" s="23" t="s">
        <v>66</v>
      </c>
      <c r="G10" s="23" t="s">
        <v>66</v>
      </c>
      <c r="H10" s="23" t="s">
        <v>83</v>
      </c>
      <c r="I10" s="23" t="s">
        <v>68</v>
      </c>
      <c r="J10" s="23" t="s">
        <v>71</v>
      </c>
      <c r="K10" s="23">
        <v>50</v>
      </c>
    </row>
    <row r="11" spans="1:14" x14ac:dyDescent="0.25">
      <c r="A11" s="23" t="s">
        <v>84</v>
      </c>
      <c r="B11" s="24">
        <v>44842</v>
      </c>
      <c r="C11" s="23">
        <v>1</v>
      </c>
      <c r="D11" s="23">
        <v>60</v>
      </c>
      <c r="E11" s="23">
        <v>60</v>
      </c>
      <c r="F11" s="23" t="s">
        <v>66</v>
      </c>
      <c r="G11" s="23" t="s">
        <v>66</v>
      </c>
      <c r="H11" s="23" t="s">
        <v>85</v>
      </c>
      <c r="I11" s="23" t="s">
        <v>68</v>
      </c>
      <c r="J11" s="23" t="s">
        <v>71</v>
      </c>
      <c r="K11" s="23">
        <v>60</v>
      </c>
    </row>
    <row r="12" spans="1:14" x14ac:dyDescent="0.25">
      <c r="A12" s="23" t="s">
        <v>84</v>
      </c>
      <c r="B12" s="24">
        <v>44846</v>
      </c>
      <c r="C12" s="23">
        <v>1</v>
      </c>
      <c r="D12" s="23">
        <v>60</v>
      </c>
      <c r="E12" s="23">
        <v>60</v>
      </c>
      <c r="F12" s="23" t="s">
        <v>66</v>
      </c>
      <c r="G12" s="23" t="s">
        <v>66</v>
      </c>
      <c r="H12" s="23" t="s">
        <v>85</v>
      </c>
      <c r="I12" s="23" t="s">
        <v>68</v>
      </c>
      <c r="J12" s="23" t="s">
        <v>71</v>
      </c>
      <c r="K12" s="23">
        <v>60</v>
      </c>
    </row>
    <row r="13" spans="1:14" x14ac:dyDescent="0.25">
      <c r="A13" s="23" t="s">
        <v>84</v>
      </c>
      <c r="B13" s="24">
        <v>44853</v>
      </c>
      <c r="C13" s="23">
        <v>1.25</v>
      </c>
      <c r="D13" s="23">
        <v>60</v>
      </c>
      <c r="E13" s="23">
        <v>75</v>
      </c>
      <c r="F13" s="23" t="s">
        <v>66</v>
      </c>
      <c r="G13" s="23" t="s">
        <v>66</v>
      </c>
      <c r="H13" s="23" t="s">
        <v>86</v>
      </c>
      <c r="I13" s="23" t="s">
        <v>68</v>
      </c>
      <c r="J13" s="23" t="s">
        <v>71</v>
      </c>
      <c r="K13" s="23">
        <v>75</v>
      </c>
    </row>
    <row r="14" spans="1:14" x14ac:dyDescent="0.25">
      <c r="A14" s="23" t="s">
        <v>87</v>
      </c>
      <c r="B14" s="24">
        <v>44856</v>
      </c>
      <c r="C14" s="23">
        <v>1</v>
      </c>
      <c r="D14" s="23">
        <v>60</v>
      </c>
      <c r="E14" s="23">
        <v>60</v>
      </c>
      <c r="F14" s="23" t="s">
        <v>66</v>
      </c>
      <c r="G14" s="23" t="s">
        <v>66</v>
      </c>
      <c r="H14" s="23" t="s">
        <v>85</v>
      </c>
      <c r="I14" s="23" t="s">
        <v>68</v>
      </c>
      <c r="J14" s="23" t="s">
        <v>71</v>
      </c>
      <c r="K14" s="23">
        <v>60</v>
      </c>
      <c r="N14" s="21" t="s">
        <v>88</v>
      </c>
    </row>
    <row r="15" spans="1:14" x14ac:dyDescent="0.25">
      <c r="A15" s="23" t="s">
        <v>89</v>
      </c>
      <c r="B15" s="24">
        <v>44845</v>
      </c>
      <c r="C15" s="23">
        <v>1</v>
      </c>
      <c r="D15" s="23">
        <v>50</v>
      </c>
      <c r="E15" s="23">
        <v>50</v>
      </c>
      <c r="F15" s="23" t="s">
        <v>66</v>
      </c>
      <c r="G15" s="23" t="s">
        <v>66</v>
      </c>
      <c r="H15" s="23" t="s">
        <v>90</v>
      </c>
      <c r="I15" s="23" t="s">
        <v>68</v>
      </c>
      <c r="J15" s="23" t="s">
        <v>71</v>
      </c>
      <c r="K15" s="23">
        <v>50</v>
      </c>
    </row>
    <row r="16" spans="1:14" x14ac:dyDescent="0.25">
      <c r="A16" s="23" t="s">
        <v>89</v>
      </c>
      <c r="B16" s="24">
        <v>44851</v>
      </c>
      <c r="C16" s="23">
        <v>1.5</v>
      </c>
      <c r="D16" s="23">
        <v>50</v>
      </c>
      <c r="E16" s="23">
        <v>75</v>
      </c>
      <c r="F16" s="23" t="s">
        <v>66</v>
      </c>
      <c r="G16" s="23" t="s">
        <v>66</v>
      </c>
      <c r="H16" s="23" t="s">
        <v>91</v>
      </c>
      <c r="I16" s="23" t="s">
        <v>68</v>
      </c>
      <c r="J16" s="23" t="s">
        <v>71</v>
      </c>
      <c r="K16" s="23">
        <v>75</v>
      </c>
    </row>
    <row r="17" spans="1:17" x14ac:dyDescent="0.25">
      <c r="A17" s="23" t="s">
        <v>92</v>
      </c>
      <c r="B17" s="24">
        <v>44851</v>
      </c>
      <c r="C17" s="23">
        <v>1.5</v>
      </c>
      <c r="D17" s="23">
        <v>50</v>
      </c>
      <c r="E17" s="23">
        <v>75</v>
      </c>
      <c r="F17" s="23" t="s">
        <v>66</v>
      </c>
      <c r="G17" s="23" t="s">
        <v>66</v>
      </c>
      <c r="H17" s="23" t="s">
        <v>93</v>
      </c>
      <c r="I17" s="23" t="s">
        <v>68</v>
      </c>
      <c r="J17" s="23" t="s">
        <v>71</v>
      </c>
      <c r="K17" s="23">
        <v>75</v>
      </c>
    </row>
    <row r="18" spans="1:17" x14ac:dyDescent="0.25">
      <c r="A18" s="23" t="s">
        <v>92</v>
      </c>
      <c r="B18" s="24">
        <v>44857</v>
      </c>
      <c r="C18" s="23">
        <v>1.5</v>
      </c>
      <c r="D18" s="23">
        <v>50</v>
      </c>
      <c r="E18" s="23">
        <v>75</v>
      </c>
      <c r="F18" s="23" t="s">
        <v>66</v>
      </c>
      <c r="G18" s="23" t="s">
        <v>66</v>
      </c>
      <c r="H18" s="23" t="s">
        <v>93</v>
      </c>
      <c r="I18" s="23" t="s">
        <v>68</v>
      </c>
      <c r="J18" s="23" t="s">
        <v>71</v>
      </c>
      <c r="K18" s="23">
        <v>75</v>
      </c>
      <c r="O18" s="31" t="s">
        <v>135</v>
      </c>
      <c r="P18" t="s">
        <v>137</v>
      </c>
      <c r="Q18" t="s">
        <v>138</v>
      </c>
    </row>
    <row r="19" spans="1:17" x14ac:dyDescent="0.25">
      <c r="A19" s="23" t="s">
        <v>94</v>
      </c>
      <c r="B19" s="24">
        <v>44836</v>
      </c>
      <c r="C19" s="23">
        <v>1.5</v>
      </c>
      <c r="D19" s="23">
        <v>50</v>
      </c>
      <c r="E19" s="23">
        <v>75</v>
      </c>
      <c r="F19" s="23" t="s">
        <v>66</v>
      </c>
      <c r="G19" s="23" t="s">
        <v>66</v>
      </c>
      <c r="H19" s="23" t="s">
        <v>95</v>
      </c>
      <c r="I19" s="23" t="s">
        <v>68</v>
      </c>
      <c r="J19" s="25" t="s">
        <v>68</v>
      </c>
      <c r="K19" s="23">
        <v>75</v>
      </c>
      <c r="O19" s="32" t="s">
        <v>65</v>
      </c>
      <c r="P19">
        <v>5.75</v>
      </c>
      <c r="Q19">
        <v>287.5</v>
      </c>
    </row>
    <row r="20" spans="1:17" x14ac:dyDescent="0.25">
      <c r="A20" s="23" t="s">
        <v>96</v>
      </c>
      <c r="B20" s="24">
        <v>44836</v>
      </c>
      <c r="C20" s="23">
        <v>2</v>
      </c>
      <c r="D20" s="23">
        <v>50</v>
      </c>
      <c r="E20" s="23">
        <v>100</v>
      </c>
      <c r="F20" s="23" t="s">
        <v>66</v>
      </c>
      <c r="G20" s="23" t="s">
        <v>66</v>
      </c>
      <c r="H20" s="23" t="s">
        <v>97</v>
      </c>
      <c r="I20" s="23" t="s">
        <v>68</v>
      </c>
      <c r="J20" s="25" t="s">
        <v>68</v>
      </c>
      <c r="K20" s="23">
        <v>100</v>
      </c>
      <c r="O20" s="32" t="s">
        <v>75</v>
      </c>
      <c r="P20">
        <v>1</v>
      </c>
      <c r="Q20">
        <v>60</v>
      </c>
    </row>
    <row r="21" spans="1:17" ht="14.25" customHeight="1" x14ac:dyDescent="0.25">
      <c r="A21" s="23" t="s">
        <v>96</v>
      </c>
      <c r="B21" s="24">
        <v>44854</v>
      </c>
      <c r="C21" s="23">
        <v>1.5</v>
      </c>
      <c r="D21" s="23">
        <v>50</v>
      </c>
      <c r="E21" s="23">
        <v>75</v>
      </c>
      <c r="F21" s="23" t="s">
        <v>66</v>
      </c>
      <c r="G21" s="23" t="s">
        <v>66</v>
      </c>
      <c r="H21" s="23" t="s">
        <v>97</v>
      </c>
      <c r="I21" s="23" t="s">
        <v>68</v>
      </c>
      <c r="J21" s="23" t="s">
        <v>98</v>
      </c>
      <c r="K21" s="23">
        <v>75</v>
      </c>
      <c r="O21" s="32" t="s">
        <v>77</v>
      </c>
      <c r="P21">
        <v>4.5</v>
      </c>
      <c r="Q21">
        <v>225</v>
      </c>
    </row>
    <row r="22" spans="1:17" x14ac:dyDescent="0.25">
      <c r="A22" s="23" t="s">
        <v>99</v>
      </c>
      <c r="B22" s="24">
        <v>44847</v>
      </c>
      <c r="C22" s="23">
        <v>2</v>
      </c>
      <c r="D22" s="23">
        <v>50</v>
      </c>
      <c r="E22" s="23">
        <v>100</v>
      </c>
      <c r="F22" s="23" t="s">
        <v>66</v>
      </c>
      <c r="G22" s="23" t="s">
        <v>66</v>
      </c>
      <c r="H22" s="23" t="s">
        <v>100</v>
      </c>
      <c r="I22" s="23" t="s">
        <v>68</v>
      </c>
      <c r="J22" s="23" t="s">
        <v>71</v>
      </c>
      <c r="K22" s="23">
        <v>100</v>
      </c>
      <c r="O22" s="32" t="s">
        <v>82</v>
      </c>
      <c r="P22">
        <v>1</v>
      </c>
      <c r="Q22">
        <v>50</v>
      </c>
    </row>
    <row r="23" spans="1:17" x14ac:dyDescent="0.25">
      <c r="A23" s="23" t="s">
        <v>101</v>
      </c>
      <c r="B23" s="24">
        <v>44856</v>
      </c>
      <c r="C23" s="23">
        <v>0.5</v>
      </c>
      <c r="D23" s="23">
        <v>60</v>
      </c>
      <c r="E23" s="23">
        <v>30</v>
      </c>
      <c r="F23" s="23" t="s">
        <v>66</v>
      </c>
      <c r="G23" s="23" t="s">
        <v>66</v>
      </c>
      <c r="H23" s="23" t="s">
        <v>102</v>
      </c>
      <c r="I23" s="23" t="s">
        <v>68</v>
      </c>
      <c r="J23" s="23" t="s">
        <v>71</v>
      </c>
      <c r="K23" s="23">
        <v>30</v>
      </c>
      <c r="O23" s="32" t="s">
        <v>84</v>
      </c>
      <c r="P23">
        <v>3.25</v>
      </c>
      <c r="Q23">
        <v>195</v>
      </c>
    </row>
    <row r="24" spans="1:17" x14ac:dyDescent="0.25">
      <c r="A24" s="23" t="s">
        <v>103</v>
      </c>
      <c r="B24" s="24">
        <v>44857</v>
      </c>
      <c r="C24" s="23">
        <v>2</v>
      </c>
      <c r="D24" s="23">
        <v>50</v>
      </c>
      <c r="E24" s="23">
        <v>100</v>
      </c>
      <c r="F24" s="23" t="s">
        <v>66</v>
      </c>
      <c r="G24" s="23" t="s">
        <v>66</v>
      </c>
      <c r="H24" s="23" t="s">
        <v>104</v>
      </c>
      <c r="I24" s="23" t="s">
        <v>68</v>
      </c>
      <c r="J24" s="23" t="s">
        <v>71</v>
      </c>
      <c r="K24" s="23">
        <v>100</v>
      </c>
      <c r="O24" s="32" t="s">
        <v>87</v>
      </c>
      <c r="P24">
        <v>1</v>
      </c>
      <c r="Q24">
        <v>60</v>
      </c>
    </row>
    <row r="25" spans="1:17" x14ac:dyDescent="0.25">
      <c r="A25" s="23" t="s">
        <v>103</v>
      </c>
      <c r="B25" s="24">
        <v>44863</v>
      </c>
      <c r="C25" s="23">
        <v>1</v>
      </c>
      <c r="D25" s="23">
        <v>50</v>
      </c>
      <c r="E25" s="23">
        <v>50</v>
      </c>
      <c r="F25" s="23" t="s">
        <v>66</v>
      </c>
      <c r="G25" s="23" t="s">
        <v>66</v>
      </c>
      <c r="H25" s="23" t="s">
        <v>105</v>
      </c>
      <c r="I25" s="23" t="s">
        <v>68</v>
      </c>
      <c r="J25" s="23" t="s">
        <v>71</v>
      </c>
      <c r="K25" s="23">
        <v>50</v>
      </c>
      <c r="O25" s="32" t="s">
        <v>89</v>
      </c>
      <c r="P25">
        <v>2.5</v>
      </c>
      <c r="Q25">
        <v>125</v>
      </c>
    </row>
    <row r="26" spans="1:17" x14ac:dyDescent="0.25">
      <c r="A26" s="23" t="s">
        <v>103</v>
      </c>
      <c r="B26" s="24">
        <v>44865</v>
      </c>
      <c r="C26" s="23">
        <v>1</v>
      </c>
      <c r="D26" s="23">
        <v>50</v>
      </c>
      <c r="E26" s="23">
        <v>50</v>
      </c>
      <c r="F26" s="23" t="s">
        <v>66</v>
      </c>
      <c r="G26" s="23" t="s">
        <v>66</v>
      </c>
      <c r="H26" s="23" t="s">
        <v>105</v>
      </c>
      <c r="I26" s="23" t="s">
        <v>68</v>
      </c>
      <c r="J26" s="23" t="s">
        <v>71</v>
      </c>
      <c r="K26" s="23">
        <v>50</v>
      </c>
      <c r="O26" s="32" t="s">
        <v>92</v>
      </c>
      <c r="P26">
        <v>3</v>
      </c>
      <c r="Q26">
        <v>150</v>
      </c>
    </row>
    <row r="27" spans="1:17" x14ac:dyDescent="0.25">
      <c r="A27" s="23" t="s">
        <v>106</v>
      </c>
      <c r="B27" s="24">
        <v>44838</v>
      </c>
      <c r="C27" s="23">
        <v>1</v>
      </c>
      <c r="D27" s="23">
        <v>50</v>
      </c>
      <c r="E27" s="23">
        <v>50</v>
      </c>
      <c r="F27" s="23" t="s">
        <v>66</v>
      </c>
      <c r="G27" s="23" t="s">
        <v>66</v>
      </c>
      <c r="H27" s="23" t="s">
        <v>107</v>
      </c>
      <c r="I27" s="23" t="s">
        <v>68</v>
      </c>
      <c r="J27" s="23" t="s">
        <v>71</v>
      </c>
      <c r="K27" s="23">
        <v>50</v>
      </c>
      <c r="O27" s="32" t="s">
        <v>94</v>
      </c>
      <c r="P27">
        <v>1.5</v>
      </c>
      <c r="Q27">
        <v>75</v>
      </c>
    </row>
    <row r="28" spans="1:17" x14ac:dyDescent="0.25">
      <c r="A28" s="23" t="s">
        <v>106</v>
      </c>
      <c r="B28" s="24">
        <v>44840</v>
      </c>
      <c r="C28" s="23">
        <v>2</v>
      </c>
      <c r="D28" s="23">
        <v>50</v>
      </c>
      <c r="E28" s="23">
        <v>100</v>
      </c>
      <c r="F28" s="23" t="s">
        <v>66</v>
      </c>
      <c r="G28" s="23" t="s">
        <v>66</v>
      </c>
      <c r="H28" s="23" t="s">
        <v>107</v>
      </c>
      <c r="I28" s="23" t="s">
        <v>68</v>
      </c>
      <c r="J28" s="23" t="s">
        <v>71</v>
      </c>
      <c r="K28" s="23">
        <v>100</v>
      </c>
      <c r="O28" s="32" t="s">
        <v>96</v>
      </c>
      <c r="P28">
        <v>3.5</v>
      </c>
      <c r="Q28">
        <v>175</v>
      </c>
    </row>
    <row r="29" spans="1:17" x14ac:dyDescent="0.25">
      <c r="A29" s="23" t="s">
        <v>106</v>
      </c>
      <c r="B29" s="24">
        <v>44851</v>
      </c>
      <c r="C29" s="23">
        <v>1.5</v>
      </c>
      <c r="D29" s="23">
        <v>50</v>
      </c>
      <c r="E29" s="23">
        <v>75</v>
      </c>
      <c r="F29" s="23" t="s">
        <v>66</v>
      </c>
      <c r="G29" s="23" t="s">
        <v>66</v>
      </c>
      <c r="H29" s="23" t="s">
        <v>108</v>
      </c>
      <c r="I29" s="23" t="s">
        <v>68</v>
      </c>
      <c r="J29" s="23" t="s">
        <v>71</v>
      </c>
      <c r="K29" s="23">
        <v>75</v>
      </c>
      <c r="O29" s="32" t="s">
        <v>99</v>
      </c>
      <c r="P29">
        <v>2</v>
      </c>
      <c r="Q29">
        <v>100</v>
      </c>
    </row>
    <row r="30" spans="1:17" x14ac:dyDescent="0.25">
      <c r="A30" s="23" t="s">
        <v>106</v>
      </c>
      <c r="B30" s="24">
        <v>44857</v>
      </c>
      <c r="C30" s="23">
        <v>1</v>
      </c>
      <c r="D30" s="23">
        <v>50</v>
      </c>
      <c r="E30" s="23">
        <v>75</v>
      </c>
      <c r="F30" s="23" t="s">
        <v>66</v>
      </c>
      <c r="G30" s="23" t="s">
        <v>66</v>
      </c>
      <c r="H30" s="23" t="s">
        <v>107</v>
      </c>
      <c r="I30" s="23" t="s">
        <v>68</v>
      </c>
      <c r="J30" s="23" t="s">
        <v>71</v>
      </c>
      <c r="K30" s="23">
        <v>75</v>
      </c>
      <c r="O30" s="32" t="s">
        <v>101</v>
      </c>
      <c r="P30">
        <v>0.5</v>
      </c>
      <c r="Q30">
        <v>30</v>
      </c>
    </row>
    <row r="31" spans="1:17" x14ac:dyDescent="0.25">
      <c r="A31" s="23" t="s">
        <v>106</v>
      </c>
      <c r="B31" s="24">
        <v>44858</v>
      </c>
      <c r="C31" s="23">
        <v>1</v>
      </c>
      <c r="D31" s="23">
        <v>50</v>
      </c>
      <c r="E31" s="23">
        <v>50</v>
      </c>
      <c r="F31" s="23" t="s">
        <v>66</v>
      </c>
      <c r="G31" s="23" t="s">
        <v>66</v>
      </c>
      <c r="H31" s="23" t="s">
        <v>107</v>
      </c>
      <c r="I31" s="23" t="s">
        <v>68</v>
      </c>
      <c r="J31" s="23" t="s">
        <v>71</v>
      </c>
      <c r="K31" s="23">
        <v>50</v>
      </c>
      <c r="O31" s="32" t="s">
        <v>103</v>
      </c>
      <c r="P31">
        <v>4</v>
      </c>
      <c r="Q31">
        <v>200</v>
      </c>
    </row>
    <row r="32" spans="1:17" x14ac:dyDescent="0.25">
      <c r="A32" s="23" t="s">
        <v>106</v>
      </c>
      <c r="B32" s="24">
        <v>44859</v>
      </c>
      <c r="C32" s="23">
        <v>1</v>
      </c>
      <c r="D32" s="23">
        <v>50</v>
      </c>
      <c r="E32" s="23">
        <v>50</v>
      </c>
      <c r="F32" s="23" t="s">
        <v>66</v>
      </c>
      <c r="G32" s="23" t="s">
        <v>66</v>
      </c>
      <c r="H32" s="23" t="s">
        <v>107</v>
      </c>
      <c r="I32" s="23" t="s">
        <v>68</v>
      </c>
      <c r="J32" s="23" t="s">
        <v>71</v>
      </c>
      <c r="K32" s="23">
        <v>50</v>
      </c>
      <c r="O32" s="32" t="s">
        <v>106</v>
      </c>
      <c r="P32">
        <v>8.75</v>
      </c>
      <c r="Q32">
        <v>462.5</v>
      </c>
    </row>
    <row r="33" spans="1:17" x14ac:dyDescent="0.25">
      <c r="A33" s="23" t="s">
        <v>106</v>
      </c>
      <c r="B33" s="24">
        <v>44860</v>
      </c>
      <c r="C33" s="23">
        <v>1.25</v>
      </c>
      <c r="D33" s="23">
        <v>50</v>
      </c>
      <c r="E33" s="23">
        <v>62.5</v>
      </c>
      <c r="F33" s="23" t="s">
        <v>66</v>
      </c>
      <c r="G33" s="23" t="s">
        <v>66</v>
      </c>
      <c r="H33" s="23" t="s">
        <v>107</v>
      </c>
      <c r="I33" s="23" t="s">
        <v>68</v>
      </c>
      <c r="J33" s="23" t="s">
        <v>71</v>
      </c>
      <c r="K33" s="23">
        <v>62.5</v>
      </c>
      <c r="O33" s="32" t="s">
        <v>109</v>
      </c>
      <c r="P33">
        <v>1.5</v>
      </c>
      <c r="Q33">
        <v>75</v>
      </c>
    </row>
    <row r="34" spans="1:17" x14ac:dyDescent="0.25">
      <c r="A34" s="23" t="s">
        <v>109</v>
      </c>
      <c r="B34" s="24">
        <v>44846</v>
      </c>
      <c r="C34" s="23">
        <v>1.5</v>
      </c>
      <c r="D34" s="23">
        <v>50</v>
      </c>
      <c r="E34" s="23">
        <v>75</v>
      </c>
      <c r="F34" s="23" t="s">
        <v>66</v>
      </c>
      <c r="G34" s="23" t="s">
        <v>66</v>
      </c>
      <c r="H34" s="23" t="s">
        <v>110</v>
      </c>
      <c r="I34" s="23" t="s">
        <v>68</v>
      </c>
      <c r="J34" s="23" t="s">
        <v>71</v>
      </c>
      <c r="K34" s="23">
        <v>75</v>
      </c>
      <c r="O34" s="32" t="s">
        <v>111</v>
      </c>
      <c r="P34">
        <v>2</v>
      </c>
      <c r="Q34">
        <v>120</v>
      </c>
    </row>
    <row r="35" spans="1:17" x14ac:dyDescent="0.25">
      <c r="A35" s="23" t="s">
        <v>111</v>
      </c>
      <c r="B35" s="24">
        <v>44860</v>
      </c>
      <c r="C35" s="23">
        <v>1</v>
      </c>
      <c r="D35" s="23">
        <v>60</v>
      </c>
      <c r="E35" s="23">
        <v>60</v>
      </c>
      <c r="F35" s="23" t="s">
        <v>112</v>
      </c>
      <c r="G35" s="23" t="s">
        <v>66</v>
      </c>
      <c r="H35" s="23" t="s">
        <v>113</v>
      </c>
      <c r="I35" s="23" t="s">
        <v>68</v>
      </c>
      <c r="J35" s="23" t="s">
        <v>71</v>
      </c>
      <c r="K35" s="23">
        <v>60</v>
      </c>
      <c r="O35" s="32" t="s">
        <v>114</v>
      </c>
      <c r="P35">
        <v>11.5</v>
      </c>
      <c r="Q35">
        <v>450</v>
      </c>
    </row>
    <row r="36" spans="1:17" x14ac:dyDescent="0.25">
      <c r="A36" s="23" t="s">
        <v>111</v>
      </c>
      <c r="B36" s="24">
        <v>44861</v>
      </c>
      <c r="C36" s="23">
        <v>1</v>
      </c>
      <c r="D36" s="23">
        <v>60</v>
      </c>
      <c r="E36" s="23">
        <v>60</v>
      </c>
      <c r="F36" s="23" t="s">
        <v>66</v>
      </c>
      <c r="G36" s="23" t="s">
        <v>66</v>
      </c>
      <c r="H36" s="23" t="s">
        <v>113</v>
      </c>
      <c r="I36" s="23" t="s">
        <v>68</v>
      </c>
      <c r="J36" s="23" t="s">
        <v>71</v>
      </c>
      <c r="K36" s="23">
        <v>60</v>
      </c>
      <c r="O36" s="32" t="s">
        <v>136</v>
      </c>
      <c r="P36">
        <v>57.25</v>
      </c>
      <c r="Q36">
        <v>2840</v>
      </c>
    </row>
    <row r="37" spans="1:17" x14ac:dyDescent="0.25">
      <c r="A37" s="23" t="s">
        <v>114</v>
      </c>
      <c r="B37" s="24">
        <v>44840</v>
      </c>
      <c r="C37" s="23">
        <v>1.5</v>
      </c>
      <c r="D37" s="23">
        <v>50</v>
      </c>
      <c r="E37" s="23">
        <v>75</v>
      </c>
      <c r="F37" s="23" t="s">
        <v>66</v>
      </c>
      <c r="G37" s="23" t="s">
        <v>66</v>
      </c>
      <c r="H37" s="23" t="s">
        <v>115</v>
      </c>
      <c r="I37" s="23" t="s">
        <v>68</v>
      </c>
      <c r="J37" s="23" t="s">
        <v>71</v>
      </c>
      <c r="K37" s="23">
        <v>75</v>
      </c>
    </row>
    <row r="38" spans="1:17" x14ac:dyDescent="0.25">
      <c r="A38" s="23" t="s">
        <v>114</v>
      </c>
      <c r="B38" s="24">
        <v>44855</v>
      </c>
      <c r="C38" s="23">
        <v>2</v>
      </c>
      <c r="D38" s="23">
        <v>50</v>
      </c>
      <c r="E38" s="23">
        <v>100</v>
      </c>
      <c r="F38" s="23" t="s">
        <v>66</v>
      </c>
      <c r="G38" s="23" t="s">
        <v>66</v>
      </c>
      <c r="H38" s="23" t="s">
        <v>100</v>
      </c>
      <c r="I38" s="23" t="s">
        <v>68</v>
      </c>
      <c r="J38" s="23" t="s">
        <v>71</v>
      </c>
      <c r="K38" s="23">
        <v>100</v>
      </c>
    </row>
    <row r="39" spans="1:17" x14ac:dyDescent="0.25">
      <c r="A39" s="23" t="s">
        <v>114</v>
      </c>
      <c r="B39" s="24">
        <v>44857</v>
      </c>
      <c r="C39" s="23">
        <v>0.5</v>
      </c>
      <c r="D39" s="23">
        <v>50</v>
      </c>
      <c r="E39" s="23">
        <v>25</v>
      </c>
      <c r="F39" s="23" t="s">
        <v>68</v>
      </c>
      <c r="G39" s="23" t="s">
        <v>66</v>
      </c>
      <c r="H39" s="23" t="s">
        <v>100</v>
      </c>
      <c r="I39" s="23" t="s">
        <v>68</v>
      </c>
      <c r="J39" s="23" t="s">
        <v>71</v>
      </c>
      <c r="K39" s="23">
        <v>25</v>
      </c>
    </row>
    <row r="40" spans="1:17" x14ac:dyDescent="0.25">
      <c r="A40" s="23" t="s">
        <v>114</v>
      </c>
      <c r="B40" s="24">
        <v>44863</v>
      </c>
      <c r="C40" s="23">
        <v>5</v>
      </c>
      <c r="D40" s="23">
        <v>50</v>
      </c>
      <c r="E40" s="23">
        <v>125</v>
      </c>
      <c r="F40" s="23" t="s">
        <v>66</v>
      </c>
      <c r="G40" s="23" t="s">
        <v>66</v>
      </c>
      <c r="H40" s="23" t="s">
        <v>100</v>
      </c>
      <c r="I40" s="23" t="s">
        <v>68</v>
      </c>
      <c r="J40" s="23" t="s">
        <v>71</v>
      </c>
      <c r="K40" s="23">
        <v>250</v>
      </c>
    </row>
    <row r="41" spans="1:17" x14ac:dyDescent="0.25">
      <c r="A41" s="23" t="s">
        <v>114</v>
      </c>
      <c r="B41" s="24">
        <v>44864</v>
      </c>
      <c r="C41" s="23">
        <v>2.5</v>
      </c>
      <c r="D41" s="23">
        <v>50</v>
      </c>
      <c r="E41" s="23">
        <v>125</v>
      </c>
      <c r="F41" s="23" t="s">
        <v>66</v>
      </c>
      <c r="G41" s="23" t="s">
        <v>66</v>
      </c>
      <c r="H41" s="23" t="s">
        <v>100</v>
      </c>
      <c r="I41" s="23" t="s">
        <v>68</v>
      </c>
      <c r="J41" s="23" t="s">
        <v>116</v>
      </c>
      <c r="K41" s="23">
        <v>125</v>
      </c>
    </row>
    <row r="42" spans="1:17" x14ac:dyDescent="0.25">
      <c r="B42" s="26"/>
    </row>
    <row r="43" spans="1:17" x14ac:dyDescent="0.25">
      <c r="B43" s="26"/>
      <c r="K43" s="21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/>
  </sheetViews>
  <sheetFormatPr defaultColWidth="9.140625" defaultRowHeight="15" x14ac:dyDescent="0.25"/>
  <cols>
    <col min="1" max="1" width="16.28515625" style="21" bestFit="1" customWidth="1"/>
    <col min="2" max="2" width="7" style="21" bestFit="1" customWidth="1"/>
    <col min="3" max="3" width="6.140625" style="21" bestFit="1" customWidth="1"/>
    <col min="4" max="4" width="10.5703125" style="21" bestFit="1" customWidth="1"/>
    <col min="5" max="5" width="5" style="21" bestFit="1" customWidth="1"/>
    <col min="6" max="6" width="7.140625" style="21" bestFit="1" customWidth="1"/>
    <col min="7" max="7" width="38.5703125" style="21" bestFit="1" customWidth="1"/>
    <col min="8" max="8" width="27.140625" style="21" bestFit="1" customWidth="1"/>
    <col min="9" max="9" width="4.7109375" style="21" bestFit="1" customWidth="1"/>
    <col min="10" max="10" width="6.28515625" style="21" bestFit="1" customWidth="1"/>
    <col min="11" max="14" width="9.140625" style="21"/>
    <col min="15" max="15" width="16.28515625" style="21" bestFit="1" customWidth="1"/>
    <col min="16" max="16" width="12.7109375" style="21" bestFit="1" customWidth="1"/>
    <col min="17" max="17" width="11.5703125" style="21" bestFit="1" customWidth="1"/>
    <col min="18" max="16384" width="9.140625" style="21"/>
  </cols>
  <sheetData>
    <row r="1" spans="1:17" x14ac:dyDescent="0.25">
      <c r="A1" s="21" t="s">
        <v>54</v>
      </c>
      <c r="B1" s="21" t="s">
        <v>55</v>
      </c>
      <c r="C1" s="21" t="s">
        <v>56</v>
      </c>
      <c r="D1" s="21" t="s">
        <v>57</v>
      </c>
      <c r="E1" s="21" t="s">
        <v>58</v>
      </c>
      <c r="F1" s="21" t="s">
        <v>59</v>
      </c>
      <c r="G1" s="21" t="s">
        <v>60</v>
      </c>
      <c r="H1" s="21" t="s">
        <v>61</v>
      </c>
      <c r="I1" s="21" t="s">
        <v>62</v>
      </c>
      <c r="J1" s="21" t="s">
        <v>64</v>
      </c>
    </row>
    <row r="2" spans="1:17" x14ac:dyDescent="0.25">
      <c r="A2" s="27" t="s">
        <v>106</v>
      </c>
      <c r="B2" s="28">
        <v>44822</v>
      </c>
      <c r="C2" s="27">
        <v>1</v>
      </c>
      <c r="D2" s="27">
        <v>50</v>
      </c>
      <c r="E2" s="27">
        <v>50</v>
      </c>
      <c r="F2" s="27" t="s">
        <v>66</v>
      </c>
      <c r="G2" s="27" t="s">
        <v>66</v>
      </c>
      <c r="H2" s="27" t="s">
        <v>117</v>
      </c>
      <c r="I2" s="27" t="s">
        <v>68</v>
      </c>
      <c r="J2" s="27">
        <v>50</v>
      </c>
      <c r="M2" s="21" t="s">
        <v>69</v>
      </c>
    </row>
    <row r="3" spans="1:17" x14ac:dyDescent="0.25">
      <c r="A3" s="27" t="s">
        <v>96</v>
      </c>
      <c r="B3" s="28">
        <v>44822</v>
      </c>
      <c r="C3" s="27">
        <v>2</v>
      </c>
      <c r="D3" s="27">
        <v>50</v>
      </c>
      <c r="E3" s="27">
        <v>100</v>
      </c>
      <c r="F3" s="27" t="s">
        <v>66</v>
      </c>
      <c r="G3" s="27" t="s">
        <v>66</v>
      </c>
      <c r="H3" s="27" t="s">
        <v>100</v>
      </c>
      <c r="I3" s="27" t="s">
        <v>68</v>
      </c>
      <c r="J3" s="27">
        <v>100</v>
      </c>
    </row>
    <row r="4" spans="1:17" x14ac:dyDescent="0.25">
      <c r="A4" s="27" t="s">
        <v>77</v>
      </c>
      <c r="B4" s="28">
        <v>44822</v>
      </c>
      <c r="C4" s="27">
        <v>1.5</v>
      </c>
      <c r="D4" s="27">
        <v>50</v>
      </c>
      <c r="E4" s="27">
        <v>75</v>
      </c>
      <c r="F4" s="27" t="s">
        <v>66</v>
      </c>
      <c r="G4" s="27" t="s">
        <v>66</v>
      </c>
      <c r="H4" s="27" t="s">
        <v>118</v>
      </c>
      <c r="I4" s="27">
        <v>25</v>
      </c>
      <c r="J4" s="27">
        <v>100</v>
      </c>
    </row>
    <row r="5" spans="1:17" x14ac:dyDescent="0.25">
      <c r="A5" s="27" t="s">
        <v>92</v>
      </c>
      <c r="B5" s="28">
        <v>44822</v>
      </c>
      <c r="C5" s="27">
        <v>1.5</v>
      </c>
      <c r="D5" s="27">
        <v>50</v>
      </c>
      <c r="E5" s="27">
        <v>75</v>
      </c>
      <c r="F5" s="27" t="s">
        <v>66</v>
      </c>
      <c r="G5" s="27" t="s">
        <v>66</v>
      </c>
      <c r="H5" s="27" t="s">
        <v>119</v>
      </c>
      <c r="I5" s="27" t="s">
        <v>68</v>
      </c>
      <c r="J5" s="27">
        <v>75</v>
      </c>
    </row>
    <row r="6" spans="1:17" x14ac:dyDescent="0.25">
      <c r="A6" s="27" t="s">
        <v>94</v>
      </c>
      <c r="B6" s="28">
        <v>44822</v>
      </c>
      <c r="C6" s="27">
        <v>1.5</v>
      </c>
      <c r="D6" s="27">
        <v>50</v>
      </c>
      <c r="E6" s="27">
        <v>75</v>
      </c>
      <c r="F6" s="27" t="s">
        <v>66</v>
      </c>
      <c r="G6" s="27" t="s">
        <v>66</v>
      </c>
      <c r="H6" s="27" t="s">
        <v>100</v>
      </c>
      <c r="I6" s="27" t="s">
        <v>68</v>
      </c>
      <c r="J6" s="27">
        <v>75</v>
      </c>
    </row>
    <row r="7" spans="1:17" x14ac:dyDescent="0.25">
      <c r="A7" s="27" t="s">
        <v>65</v>
      </c>
      <c r="B7" s="28">
        <v>44823</v>
      </c>
      <c r="C7" s="27">
        <v>2</v>
      </c>
      <c r="D7" s="27">
        <v>50</v>
      </c>
      <c r="E7" s="27">
        <v>100</v>
      </c>
      <c r="F7" s="27" t="s">
        <v>66</v>
      </c>
      <c r="G7" s="27" t="s">
        <v>66</v>
      </c>
      <c r="H7" s="27" t="s">
        <v>120</v>
      </c>
      <c r="I7" s="27" t="s">
        <v>68</v>
      </c>
      <c r="J7" s="27">
        <v>100</v>
      </c>
    </row>
    <row r="8" spans="1:17" x14ac:dyDescent="0.25">
      <c r="A8" s="27" t="s">
        <v>92</v>
      </c>
      <c r="B8" s="28">
        <v>44823</v>
      </c>
      <c r="C8" s="27">
        <v>1</v>
      </c>
      <c r="D8" s="27">
        <v>50</v>
      </c>
      <c r="E8" s="27">
        <v>50</v>
      </c>
      <c r="F8" s="27" t="s">
        <v>66</v>
      </c>
      <c r="G8" s="27" t="s">
        <v>66</v>
      </c>
      <c r="H8" s="27" t="s">
        <v>119</v>
      </c>
      <c r="I8" s="27" t="s">
        <v>68</v>
      </c>
      <c r="J8" s="27">
        <v>50</v>
      </c>
    </row>
    <row r="9" spans="1:17" x14ac:dyDescent="0.25">
      <c r="A9" s="27" t="s">
        <v>96</v>
      </c>
      <c r="B9" s="28">
        <v>44826</v>
      </c>
      <c r="C9" s="27">
        <v>1</v>
      </c>
      <c r="D9" s="27">
        <v>50</v>
      </c>
      <c r="E9" s="27">
        <v>50</v>
      </c>
      <c r="F9" s="27" t="s">
        <v>66</v>
      </c>
      <c r="G9" s="27" t="s">
        <v>66</v>
      </c>
      <c r="H9" s="27" t="s">
        <v>121</v>
      </c>
      <c r="I9" s="27" t="s">
        <v>68</v>
      </c>
      <c r="J9" s="27">
        <v>50</v>
      </c>
    </row>
    <row r="10" spans="1:17" x14ac:dyDescent="0.25">
      <c r="A10" s="27" t="s">
        <v>122</v>
      </c>
      <c r="B10" s="28">
        <v>44827</v>
      </c>
      <c r="C10" s="27">
        <v>0.5</v>
      </c>
      <c r="D10" s="27">
        <v>50</v>
      </c>
      <c r="E10" s="27">
        <v>25</v>
      </c>
      <c r="F10" s="27" t="s">
        <v>68</v>
      </c>
      <c r="G10" s="27" t="s">
        <v>123</v>
      </c>
      <c r="H10" s="27" t="s">
        <v>124</v>
      </c>
      <c r="I10" s="27"/>
      <c r="J10" s="27"/>
      <c r="O10" s="31" t="s">
        <v>135</v>
      </c>
      <c r="P10" t="s">
        <v>137</v>
      </c>
      <c r="Q10" t="s">
        <v>138</v>
      </c>
    </row>
    <row r="11" spans="1:17" x14ac:dyDescent="0.25">
      <c r="A11" s="27" t="s">
        <v>96</v>
      </c>
      <c r="B11" s="28">
        <v>44827</v>
      </c>
      <c r="C11" s="27">
        <v>1</v>
      </c>
      <c r="D11" s="27">
        <v>50</v>
      </c>
      <c r="E11" s="27">
        <v>50</v>
      </c>
      <c r="F11" s="27" t="s">
        <v>66</v>
      </c>
      <c r="G11" s="27" t="s">
        <v>66</v>
      </c>
      <c r="H11" s="27" t="s">
        <v>125</v>
      </c>
      <c r="I11" s="27" t="s">
        <v>68</v>
      </c>
      <c r="J11" s="27">
        <v>50</v>
      </c>
      <c r="O11" s="32" t="s">
        <v>65</v>
      </c>
      <c r="P11">
        <v>2</v>
      </c>
      <c r="Q11">
        <v>100</v>
      </c>
    </row>
    <row r="12" spans="1:17" x14ac:dyDescent="0.25">
      <c r="A12" s="27" t="s">
        <v>82</v>
      </c>
      <c r="B12" s="28">
        <v>44829</v>
      </c>
      <c r="C12" s="27">
        <v>1</v>
      </c>
      <c r="D12" s="27">
        <v>50</v>
      </c>
      <c r="E12" s="27">
        <v>50</v>
      </c>
      <c r="F12" s="27" t="s">
        <v>66</v>
      </c>
      <c r="G12" s="27" t="s">
        <v>66</v>
      </c>
      <c r="H12" s="27" t="s">
        <v>126</v>
      </c>
      <c r="I12" s="27" t="s">
        <v>68</v>
      </c>
      <c r="J12" s="27">
        <v>50</v>
      </c>
      <c r="O12" s="32" t="s">
        <v>77</v>
      </c>
      <c r="P12">
        <v>1.5</v>
      </c>
      <c r="Q12">
        <v>75</v>
      </c>
    </row>
    <row r="13" spans="1:17" x14ac:dyDescent="0.25">
      <c r="A13" s="27" t="s">
        <v>96</v>
      </c>
      <c r="B13" s="28">
        <v>44829</v>
      </c>
      <c r="C13" s="27">
        <v>2</v>
      </c>
      <c r="D13" s="27">
        <v>100</v>
      </c>
      <c r="E13" s="27">
        <v>100</v>
      </c>
      <c r="F13" s="27" t="s">
        <v>66</v>
      </c>
      <c r="G13" s="27" t="s">
        <v>66</v>
      </c>
      <c r="H13" s="27" t="s">
        <v>115</v>
      </c>
      <c r="I13" s="27" t="s">
        <v>68</v>
      </c>
      <c r="J13" s="27">
        <v>100</v>
      </c>
      <c r="O13" s="32" t="s">
        <v>82</v>
      </c>
      <c r="P13">
        <v>2</v>
      </c>
      <c r="Q13">
        <v>100</v>
      </c>
    </row>
    <row r="14" spans="1:17" x14ac:dyDescent="0.25">
      <c r="A14" s="27" t="s">
        <v>127</v>
      </c>
      <c r="B14" s="28">
        <v>44829</v>
      </c>
      <c r="C14" s="27">
        <v>2</v>
      </c>
      <c r="D14" s="27">
        <v>100</v>
      </c>
      <c r="E14" s="27">
        <v>100</v>
      </c>
      <c r="F14" s="27" t="s">
        <v>66</v>
      </c>
      <c r="G14" s="27" t="s">
        <v>66</v>
      </c>
      <c r="H14" s="27" t="s">
        <v>115</v>
      </c>
      <c r="I14" s="27" t="s">
        <v>68</v>
      </c>
      <c r="J14" s="27">
        <v>100</v>
      </c>
      <c r="O14" s="32" t="s">
        <v>92</v>
      </c>
      <c r="P14">
        <v>2.5</v>
      </c>
      <c r="Q14">
        <v>125</v>
      </c>
    </row>
    <row r="15" spans="1:17" x14ac:dyDescent="0.25">
      <c r="A15" s="27" t="s">
        <v>82</v>
      </c>
      <c r="B15" s="28">
        <v>44830</v>
      </c>
      <c r="C15" s="27">
        <v>1</v>
      </c>
      <c r="D15" s="27">
        <v>50</v>
      </c>
      <c r="E15" s="27">
        <v>50</v>
      </c>
      <c r="F15" s="27" t="s">
        <v>66</v>
      </c>
      <c r="G15" s="27" t="s">
        <v>66</v>
      </c>
      <c r="H15" s="27" t="s">
        <v>126</v>
      </c>
      <c r="I15" s="27" t="s">
        <v>68</v>
      </c>
      <c r="J15" s="27">
        <v>50</v>
      </c>
      <c r="O15" s="32" t="s">
        <v>94</v>
      </c>
      <c r="P15">
        <v>1.5</v>
      </c>
      <c r="Q15">
        <v>75</v>
      </c>
    </row>
    <row r="16" spans="1:17" x14ac:dyDescent="0.25">
      <c r="A16" s="27" t="s">
        <v>96</v>
      </c>
      <c r="B16" s="28">
        <v>44832</v>
      </c>
      <c r="C16" s="27">
        <v>1.5</v>
      </c>
      <c r="D16" s="27">
        <v>50</v>
      </c>
      <c r="E16" s="27">
        <v>75</v>
      </c>
      <c r="F16" s="27" t="s">
        <v>66</v>
      </c>
      <c r="G16" s="27" t="s">
        <v>66</v>
      </c>
      <c r="H16" s="27" t="s">
        <v>115</v>
      </c>
      <c r="I16" s="27" t="s">
        <v>68</v>
      </c>
      <c r="J16" s="27">
        <v>75</v>
      </c>
      <c r="O16" s="32" t="s">
        <v>96</v>
      </c>
      <c r="P16">
        <v>7.5</v>
      </c>
      <c r="Q16">
        <v>375</v>
      </c>
    </row>
    <row r="17" spans="2:17" x14ac:dyDescent="0.25">
      <c r="B17" s="26"/>
      <c r="O17" s="32" t="s">
        <v>122</v>
      </c>
      <c r="P17">
        <v>0.5</v>
      </c>
      <c r="Q17">
        <v>25</v>
      </c>
    </row>
    <row r="18" spans="2:17" x14ac:dyDescent="0.25">
      <c r="J18" s="21">
        <f>SUM(J2:J16)</f>
        <v>1025</v>
      </c>
      <c r="O18" s="32" t="s">
        <v>106</v>
      </c>
      <c r="P18">
        <v>1</v>
      </c>
      <c r="Q18">
        <v>50</v>
      </c>
    </row>
    <row r="19" spans="2:17" x14ac:dyDescent="0.25">
      <c r="O19" s="32" t="s">
        <v>127</v>
      </c>
      <c r="P19">
        <v>2</v>
      </c>
      <c r="Q19">
        <v>100</v>
      </c>
    </row>
    <row r="20" spans="2:17" x14ac:dyDescent="0.25">
      <c r="O20" s="32" t="s">
        <v>136</v>
      </c>
      <c r="P20">
        <v>20.5</v>
      </c>
      <c r="Q20">
        <v>1025</v>
      </c>
    </row>
    <row r="21" spans="2:17" x14ac:dyDescent="0.25">
      <c r="O21"/>
      <c r="P21"/>
      <c r="Q21"/>
    </row>
    <row r="22" spans="2:17" x14ac:dyDescent="0.25">
      <c r="O22"/>
      <c r="P22"/>
      <c r="Q22"/>
    </row>
    <row r="23" spans="2:17" x14ac:dyDescent="0.25">
      <c r="O23"/>
      <c r="P23"/>
      <c r="Q23"/>
    </row>
    <row r="24" spans="2:17" x14ac:dyDescent="0.25">
      <c r="O24"/>
      <c r="P24"/>
      <c r="Q24"/>
    </row>
    <row r="25" spans="2:17" x14ac:dyDescent="0.25">
      <c r="O25"/>
      <c r="P25"/>
      <c r="Q25"/>
    </row>
    <row r="26" spans="2:17" x14ac:dyDescent="0.25">
      <c r="O26"/>
      <c r="P26"/>
      <c r="Q26"/>
    </row>
    <row r="27" spans="2:17" x14ac:dyDescent="0.25">
      <c r="O27"/>
      <c r="P27"/>
      <c r="Q27"/>
    </row>
  </sheetData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/>
  </sheetViews>
  <sheetFormatPr defaultColWidth="9.140625" defaultRowHeight="15" x14ac:dyDescent="0.25"/>
  <cols>
    <col min="1" max="1" width="15.140625" style="21" bestFit="1" customWidth="1"/>
    <col min="2" max="2" width="9.7109375" style="21" bestFit="1" customWidth="1"/>
    <col min="3" max="3" width="6.140625" style="21" bestFit="1" customWidth="1"/>
    <col min="4" max="6" width="9.140625" style="21"/>
    <col min="7" max="7" width="18.7109375" style="21" bestFit="1" customWidth="1"/>
    <col min="8" max="14" width="9.140625" style="21"/>
    <col min="15" max="15" width="16.28515625" style="21" bestFit="1" customWidth="1"/>
    <col min="16" max="16" width="12.7109375" style="21" bestFit="1" customWidth="1"/>
    <col min="17" max="17" width="11.5703125" style="21" bestFit="1" customWidth="1"/>
    <col min="18" max="16384" width="9.140625" style="21"/>
  </cols>
  <sheetData>
    <row r="1" spans="1:17" x14ac:dyDescent="0.25">
      <c r="A1" s="21" t="s">
        <v>54</v>
      </c>
      <c r="B1" s="21" t="s">
        <v>55</v>
      </c>
      <c r="C1" s="21" t="s">
        <v>56</v>
      </c>
      <c r="D1" s="21" t="s">
        <v>57</v>
      </c>
      <c r="E1" s="21" t="s">
        <v>58</v>
      </c>
      <c r="F1" s="21" t="s">
        <v>59</v>
      </c>
      <c r="G1" s="21" t="s">
        <v>60</v>
      </c>
      <c r="H1" s="21" t="s">
        <v>61</v>
      </c>
      <c r="I1" s="21" t="s">
        <v>62</v>
      </c>
      <c r="J1" s="21" t="s">
        <v>64</v>
      </c>
    </row>
    <row r="2" spans="1:17" x14ac:dyDescent="0.25">
      <c r="A2" s="29" t="s">
        <v>77</v>
      </c>
      <c r="B2" s="30">
        <v>44793</v>
      </c>
      <c r="C2" s="29">
        <v>0.5</v>
      </c>
      <c r="D2" s="29">
        <v>50</v>
      </c>
      <c r="E2" s="29">
        <f t="shared" ref="E2:E7" si="0">C2*D2</f>
        <v>25</v>
      </c>
      <c r="F2" s="29" t="s">
        <v>66</v>
      </c>
      <c r="G2" s="29" t="s">
        <v>66</v>
      </c>
      <c r="H2" s="29" t="s">
        <v>128</v>
      </c>
      <c r="I2" s="29">
        <v>10</v>
      </c>
      <c r="J2" s="29">
        <f t="shared" ref="J2:J7" si="1">E2+I2</f>
        <v>35</v>
      </c>
    </row>
    <row r="3" spans="1:17" x14ac:dyDescent="0.25">
      <c r="A3" s="29" t="s">
        <v>103</v>
      </c>
      <c r="B3" s="30">
        <v>44794</v>
      </c>
      <c r="C3" s="29">
        <v>1.5</v>
      </c>
      <c r="D3" s="29">
        <v>50</v>
      </c>
      <c r="E3" s="29">
        <f t="shared" si="0"/>
        <v>75</v>
      </c>
      <c r="F3" s="29" t="s">
        <v>68</v>
      </c>
      <c r="G3" s="29" t="s">
        <v>66</v>
      </c>
      <c r="H3" s="29" t="s">
        <v>129</v>
      </c>
      <c r="I3" s="29">
        <v>0</v>
      </c>
      <c r="J3" s="29">
        <f t="shared" si="1"/>
        <v>75</v>
      </c>
    </row>
    <row r="4" spans="1:17" x14ac:dyDescent="0.25">
      <c r="A4" s="29" t="s">
        <v>96</v>
      </c>
      <c r="B4" s="30">
        <v>44794</v>
      </c>
      <c r="C4" s="29">
        <v>1</v>
      </c>
      <c r="D4" s="29">
        <v>50</v>
      </c>
      <c r="E4" s="29">
        <f t="shared" si="0"/>
        <v>50</v>
      </c>
      <c r="F4" s="29" t="s">
        <v>68</v>
      </c>
      <c r="G4" s="29" t="s">
        <v>68</v>
      </c>
      <c r="H4" s="29" t="s">
        <v>130</v>
      </c>
      <c r="I4" s="29"/>
      <c r="J4" s="29">
        <f t="shared" si="1"/>
        <v>50</v>
      </c>
    </row>
    <row r="5" spans="1:17" x14ac:dyDescent="0.25">
      <c r="A5" s="29" t="s">
        <v>114</v>
      </c>
      <c r="B5" s="30">
        <v>44796</v>
      </c>
      <c r="C5" s="29">
        <v>2</v>
      </c>
      <c r="D5" s="29">
        <v>50</v>
      </c>
      <c r="E5" s="29">
        <f t="shared" si="0"/>
        <v>100</v>
      </c>
      <c r="F5" s="29" t="s">
        <v>66</v>
      </c>
      <c r="G5" s="29" t="s">
        <v>66</v>
      </c>
      <c r="H5" s="29" t="s">
        <v>131</v>
      </c>
      <c r="I5" s="29"/>
      <c r="J5" s="29">
        <f t="shared" si="1"/>
        <v>100</v>
      </c>
      <c r="O5" s="31" t="s">
        <v>135</v>
      </c>
      <c r="P5" t="s">
        <v>137</v>
      </c>
      <c r="Q5" t="s">
        <v>138</v>
      </c>
    </row>
    <row r="6" spans="1:17" x14ac:dyDescent="0.25">
      <c r="A6" s="29" t="s">
        <v>96</v>
      </c>
      <c r="B6" s="30">
        <v>44796</v>
      </c>
      <c r="C6" s="29">
        <v>2</v>
      </c>
      <c r="D6" s="29">
        <v>50</v>
      </c>
      <c r="E6" s="29">
        <f t="shared" si="0"/>
        <v>100</v>
      </c>
      <c r="F6" s="29" t="s">
        <v>68</v>
      </c>
      <c r="G6" s="29" t="s">
        <v>68</v>
      </c>
      <c r="H6" s="29" t="s">
        <v>132</v>
      </c>
      <c r="I6" s="29"/>
      <c r="J6" s="29">
        <f t="shared" si="1"/>
        <v>100</v>
      </c>
      <c r="O6" s="32" t="s">
        <v>77</v>
      </c>
      <c r="P6">
        <v>0.5</v>
      </c>
      <c r="Q6">
        <v>25</v>
      </c>
    </row>
    <row r="7" spans="1:17" x14ac:dyDescent="0.25">
      <c r="A7" s="29" t="s">
        <v>133</v>
      </c>
      <c r="B7" s="30">
        <v>44796</v>
      </c>
      <c r="C7" s="29">
        <v>0.5</v>
      </c>
      <c r="D7" s="29">
        <v>50</v>
      </c>
      <c r="E7" s="29">
        <f t="shared" si="0"/>
        <v>25</v>
      </c>
      <c r="F7" s="29" t="s">
        <v>66</v>
      </c>
      <c r="G7" s="29" t="s">
        <v>66</v>
      </c>
      <c r="H7" s="29" t="s">
        <v>134</v>
      </c>
      <c r="I7" s="29"/>
      <c r="J7" s="29">
        <f t="shared" si="1"/>
        <v>25</v>
      </c>
      <c r="O7" s="32" t="s">
        <v>96</v>
      </c>
      <c r="P7">
        <v>3</v>
      </c>
      <c r="Q7">
        <v>150</v>
      </c>
    </row>
    <row r="8" spans="1:17" x14ac:dyDescent="0.25">
      <c r="O8" s="32" t="s">
        <v>133</v>
      </c>
      <c r="P8">
        <v>0.5</v>
      </c>
      <c r="Q8">
        <v>25</v>
      </c>
    </row>
    <row r="9" spans="1:17" x14ac:dyDescent="0.25">
      <c r="O9" s="32" t="s">
        <v>103</v>
      </c>
      <c r="P9">
        <v>1.5</v>
      </c>
      <c r="Q9">
        <v>75</v>
      </c>
    </row>
    <row r="10" spans="1:17" x14ac:dyDescent="0.25">
      <c r="J10" s="21">
        <f>SUM(J2:J7)</f>
        <v>385</v>
      </c>
      <c r="O10" s="32" t="s">
        <v>114</v>
      </c>
      <c r="P10">
        <v>2</v>
      </c>
      <c r="Q10">
        <v>100</v>
      </c>
    </row>
    <row r="11" spans="1:17" x14ac:dyDescent="0.25">
      <c r="O11" s="32" t="s">
        <v>136</v>
      </c>
      <c r="P11">
        <v>7.5</v>
      </c>
      <c r="Q11">
        <v>375</v>
      </c>
    </row>
    <row r="12" spans="1:17" x14ac:dyDescent="0.25">
      <c r="J12" s="21" t="s">
        <v>69</v>
      </c>
      <c r="O12"/>
      <c r="P12"/>
      <c r="Q12"/>
    </row>
    <row r="13" spans="1:17" x14ac:dyDescent="0.25">
      <c r="O13"/>
      <c r="P13"/>
      <c r="Q13"/>
    </row>
    <row r="14" spans="1:17" x14ac:dyDescent="0.25">
      <c r="O14"/>
      <c r="P14"/>
      <c r="Q14"/>
    </row>
    <row r="15" spans="1:17" x14ac:dyDescent="0.25">
      <c r="O15"/>
      <c r="P15"/>
      <c r="Q15"/>
    </row>
    <row r="16" spans="1:17" x14ac:dyDescent="0.25">
      <c r="O16"/>
      <c r="P16"/>
      <c r="Q16"/>
    </row>
    <row r="17" spans="15:17" x14ac:dyDescent="0.25">
      <c r="O17"/>
      <c r="P17"/>
      <c r="Q17"/>
    </row>
    <row r="18" spans="15:17" x14ac:dyDescent="0.25">
      <c r="O18"/>
      <c r="P18"/>
      <c r="Q18"/>
    </row>
    <row r="19" spans="15:17" x14ac:dyDescent="0.25">
      <c r="O19"/>
      <c r="P19"/>
      <c r="Q19"/>
    </row>
    <row r="20" spans="15:17" x14ac:dyDescent="0.25">
      <c r="O20"/>
      <c r="P20"/>
      <c r="Q20"/>
    </row>
    <row r="21" spans="15:17" x14ac:dyDescent="0.25">
      <c r="O21"/>
      <c r="P21"/>
      <c r="Q21"/>
    </row>
    <row r="22" spans="15:17" x14ac:dyDescent="0.25">
      <c r="O22"/>
      <c r="P22"/>
      <c r="Q22"/>
    </row>
  </sheetData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700C-7477-4BF0-B9C8-30493562D33F}">
  <sheetPr>
    <tabColor theme="9" tint="-0.249977111117893"/>
  </sheetPr>
  <dimension ref="B2:CK18"/>
  <sheetViews>
    <sheetView topLeftCell="H1" workbookViewId="0">
      <selection activeCell="X3" sqref="X3:AA3"/>
    </sheetView>
  </sheetViews>
  <sheetFormatPr defaultRowHeight="15" x14ac:dyDescent="0.25"/>
  <cols>
    <col min="3" max="3" width="21.28515625" bestFit="1" customWidth="1"/>
    <col min="4" max="4" width="19.140625" customWidth="1"/>
    <col min="5" max="5" width="1" hidden="1" customWidth="1"/>
    <col min="6" max="14" width="9.7109375" bestFit="1" customWidth="1"/>
    <col min="15" max="16" width="10.7109375" bestFit="1" customWidth="1"/>
    <col min="17" max="17" width="11.140625" bestFit="1" customWidth="1"/>
    <col min="18" max="19" width="10.140625" bestFit="1" customWidth="1"/>
    <col min="20" max="26" width="9.7109375" bestFit="1" customWidth="1"/>
    <col min="27" max="29" width="10.7109375" bestFit="1" customWidth="1"/>
    <col min="30" max="38" width="9.7109375" bestFit="1" customWidth="1"/>
    <col min="39" max="41" width="10.7109375" bestFit="1" customWidth="1"/>
    <col min="42" max="50" width="9.7109375" bestFit="1" customWidth="1"/>
    <col min="51" max="53" width="10.7109375" bestFit="1" customWidth="1"/>
    <col min="54" max="62" width="9.7109375" bestFit="1" customWidth="1"/>
    <col min="63" max="65" width="10.7109375" bestFit="1" customWidth="1"/>
    <col min="66" max="74" width="9.7109375" bestFit="1" customWidth="1"/>
    <col min="75" max="77" width="10.7109375" bestFit="1" customWidth="1"/>
    <col min="78" max="86" width="9.7109375" bestFit="1" customWidth="1"/>
    <col min="87" max="89" width="10.7109375" bestFit="1" customWidth="1"/>
  </cols>
  <sheetData>
    <row r="2" spans="2:89" x14ac:dyDescent="0.25">
      <c r="F2" s="318">
        <v>45322</v>
      </c>
      <c r="G2" s="319">
        <v>45351</v>
      </c>
      <c r="H2" s="292">
        <v>45382</v>
      </c>
      <c r="I2" s="292">
        <v>45412</v>
      </c>
      <c r="J2" s="292">
        <v>45443</v>
      </c>
      <c r="K2" s="292">
        <v>45473</v>
      </c>
      <c r="L2" s="292">
        <v>45504</v>
      </c>
      <c r="M2" s="292">
        <v>45535</v>
      </c>
      <c r="N2" s="292">
        <v>45565</v>
      </c>
      <c r="O2" s="292">
        <v>45596</v>
      </c>
      <c r="P2" s="292">
        <v>45626</v>
      </c>
      <c r="Q2" s="292">
        <v>45657</v>
      </c>
      <c r="R2" s="292">
        <v>45688</v>
      </c>
      <c r="S2" s="292">
        <v>45716</v>
      </c>
      <c r="T2" s="292">
        <v>45747</v>
      </c>
      <c r="U2" s="292">
        <v>45777</v>
      </c>
      <c r="V2" s="292">
        <v>45808</v>
      </c>
      <c r="W2" s="293">
        <v>45838</v>
      </c>
      <c r="X2" s="292">
        <v>45869</v>
      </c>
      <c r="Y2" s="292">
        <v>45900</v>
      </c>
      <c r="Z2" s="292">
        <v>45930</v>
      </c>
      <c r="AA2" s="292">
        <v>45961</v>
      </c>
      <c r="AB2" s="292">
        <v>45991</v>
      </c>
      <c r="AC2" s="292">
        <v>46022</v>
      </c>
      <c r="AD2" s="292">
        <v>46053</v>
      </c>
      <c r="AE2" s="292">
        <v>46081</v>
      </c>
      <c r="AF2" s="292">
        <v>46112</v>
      </c>
      <c r="AG2" s="292">
        <v>46142</v>
      </c>
      <c r="AH2" s="292">
        <v>46173</v>
      </c>
      <c r="AI2" s="292">
        <v>46203</v>
      </c>
      <c r="AJ2" s="292">
        <v>46234</v>
      </c>
      <c r="AK2" s="292">
        <v>46265</v>
      </c>
      <c r="AL2" s="292">
        <v>46295</v>
      </c>
      <c r="AM2" s="292">
        <v>46326</v>
      </c>
      <c r="AN2" s="292">
        <v>46356</v>
      </c>
      <c r="AO2" s="292">
        <v>46387</v>
      </c>
      <c r="AP2" s="292">
        <v>46418</v>
      </c>
      <c r="AQ2" s="292">
        <v>46446</v>
      </c>
      <c r="AR2" s="292">
        <v>46477</v>
      </c>
      <c r="AS2" s="292">
        <v>46507</v>
      </c>
      <c r="AT2" s="292">
        <v>46538</v>
      </c>
      <c r="AU2" s="292">
        <v>46568</v>
      </c>
      <c r="AV2" s="292">
        <v>46599</v>
      </c>
      <c r="AW2" s="292">
        <v>46630</v>
      </c>
      <c r="AX2" s="292">
        <v>46660</v>
      </c>
      <c r="AY2" s="292">
        <v>46691</v>
      </c>
      <c r="AZ2" s="292">
        <v>46721</v>
      </c>
      <c r="BA2" s="292">
        <v>46752</v>
      </c>
      <c r="BB2" s="292">
        <v>46783</v>
      </c>
      <c r="BC2" s="292">
        <v>46812</v>
      </c>
      <c r="BD2" s="292">
        <v>46843</v>
      </c>
      <c r="BE2" s="292">
        <v>46873</v>
      </c>
      <c r="BF2" s="292">
        <v>46904</v>
      </c>
      <c r="BG2" s="292">
        <v>46934</v>
      </c>
      <c r="BH2" s="292">
        <v>46965</v>
      </c>
      <c r="BI2" s="292">
        <v>46996</v>
      </c>
      <c r="BJ2" s="292">
        <v>47026</v>
      </c>
      <c r="BK2" s="292">
        <v>47057</v>
      </c>
      <c r="BL2" s="292">
        <v>47087</v>
      </c>
      <c r="BM2" s="292">
        <v>47118</v>
      </c>
      <c r="BN2" s="292">
        <v>47149</v>
      </c>
      <c r="BO2" s="292">
        <v>47177</v>
      </c>
      <c r="BP2" s="292">
        <v>47208</v>
      </c>
      <c r="BQ2" s="292">
        <v>47238</v>
      </c>
      <c r="BR2" s="292">
        <v>47269</v>
      </c>
      <c r="BS2" s="292">
        <v>47299</v>
      </c>
      <c r="BT2" s="292">
        <v>47330</v>
      </c>
      <c r="BU2" s="292">
        <v>47361</v>
      </c>
      <c r="BV2" s="292">
        <v>47391</v>
      </c>
      <c r="BW2" s="292">
        <v>47422</v>
      </c>
      <c r="BX2" s="292">
        <v>47452</v>
      </c>
      <c r="BY2" s="292">
        <v>47483</v>
      </c>
      <c r="BZ2" s="292">
        <v>47514</v>
      </c>
      <c r="CA2" s="292">
        <v>47542</v>
      </c>
      <c r="CB2" s="292">
        <v>47573</v>
      </c>
      <c r="CC2" s="292">
        <v>47603</v>
      </c>
      <c r="CD2" s="292">
        <v>47634</v>
      </c>
      <c r="CE2" s="292">
        <v>47664</v>
      </c>
      <c r="CF2" s="292">
        <v>47695</v>
      </c>
      <c r="CG2" s="292">
        <v>47726</v>
      </c>
      <c r="CH2" s="292">
        <v>47756</v>
      </c>
      <c r="CI2" s="292">
        <v>47787</v>
      </c>
      <c r="CJ2" s="292">
        <v>47817</v>
      </c>
      <c r="CK2" s="293">
        <v>47848</v>
      </c>
    </row>
    <row r="3" spans="2:89" x14ac:dyDescent="0.25">
      <c r="D3" t="s">
        <v>327</v>
      </c>
      <c r="F3" s="320">
        <v>8</v>
      </c>
      <c r="G3" s="321">
        <v>8</v>
      </c>
      <c r="H3" s="321">
        <v>8</v>
      </c>
      <c r="I3" s="321">
        <v>8</v>
      </c>
      <c r="J3" s="321">
        <v>8</v>
      </c>
      <c r="K3" s="321">
        <v>8</v>
      </c>
      <c r="L3" s="321">
        <v>8</v>
      </c>
      <c r="M3" s="321">
        <v>15</v>
      </c>
      <c r="N3" s="321">
        <v>15</v>
      </c>
      <c r="O3" s="321">
        <v>15</v>
      </c>
      <c r="P3" s="321">
        <v>15</v>
      </c>
      <c r="Q3" s="321">
        <v>15</v>
      </c>
      <c r="R3" s="321">
        <v>15</v>
      </c>
      <c r="S3" s="321">
        <v>15</v>
      </c>
      <c r="T3" s="321">
        <v>15</v>
      </c>
      <c r="U3" s="321">
        <v>15</v>
      </c>
      <c r="V3" s="321">
        <v>15</v>
      </c>
      <c r="W3" s="623">
        <v>15</v>
      </c>
      <c r="X3" s="320">
        <v>15</v>
      </c>
      <c r="Y3" s="320">
        <v>15</v>
      </c>
      <c r="Z3" s="320">
        <v>15</v>
      </c>
      <c r="AA3" s="320">
        <v>15</v>
      </c>
      <c r="AB3" s="320">
        <f t="shared" ref="AB3:AC3" si="0">+AA3</f>
        <v>15</v>
      </c>
      <c r="AC3" s="320">
        <f t="shared" si="0"/>
        <v>15</v>
      </c>
      <c r="AD3" s="320">
        <v>35</v>
      </c>
      <c r="AE3" s="320">
        <f>+AD3</f>
        <v>35</v>
      </c>
      <c r="AF3" s="320">
        <f t="shared" ref="AF3:AI3" si="1">+AE3</f>
        <v>35</v>
      </c>
      <c r="AG3" s="320">
        <f t="shared" si="1"/>
        <v>35</v>
      </c>
      <c r="AH3" s="320">
        <f t="shared" si="1"/>
        <v>35</v>
      </c>
      <c r="AI3" s="320">
        <f t="shared" si="1"/>
        <v>35</v>
      </c>
      <c r="AJ3" s="320">
        <f>+AI3+5</f>
        <v>40</v>
      </c>
      <c r="AK3" s="320">
        <f>+AJ3</f>
        <v>40</v>
      </c>
      <c r="AL3" s="320">
        <f t="shared" ref="AL3:AO3" si="2">+AK3</f>
        <v>40</v>
      </c>
      <c r="AM3" s="320">
        <f t="shared" si="2"/>
        <v>40</v>
      </c>
      <c r="AN3" s="320">
        <f t="shared" si="2"/>
        <v>40</v>
      </c>
      <c r="AO3" s="320">
        <f t="shared" si="2"/>
        <v>40</v>
      </c>
      <c r="AP3" s="320">
        <v>50</v>
      </c>
      <c r="AQ3" s="320">
        <f>+AP3</f>
        <v>50</v>
      </c>
      <c r="AR3" s="320">
        <f t="shared" ref="AR3:AU3" si="3">+AQ3</f>
        <v>50</v>
      </c>
      <c r="AS3" s="320">
        <f t="shared" si="3"/>
        <v>50</v>
      </c>
      <c r="AT3" s="320">
        <f t="shared" si="3"/>
        <v>50</v>
      </c>
      <c r="AU3" s="320">
        <f t="shared" si="3"/>
        <v>50</v>
      </c>
      <c r="AV3" s="320">
        <f>+AU3+5</f>
        <v>55</v>
      </c>
      <c r="AW3" s="320">
        <f>+AV3</f>
        <v>55</v>
      </c>
      <c r="AX3" s="320">
        <f t="shared" ref="AX3:BA3" si="4">+AW3</f>
        <v>55</v>
      </c>
      <c r="AY3" s="320">
        <f t="shared" si="4"/>
        <v>55</v>
      </c>
      <c r="AZ3" s="320">
        <f t="shared" si="4"/>
        <v>55</v>
      </c>
      <c r="BA3" s="320">
        <f t="shared" si="4"/>
        <v>55</v>
      </c>
      <c r="BB3" s="320">
        <f>+BA3+5</f>
        <v>60</v>
      </c>
      <c r="BC3" s="320">
        <f>+BB3</f>
        <v>60</v>
      </c>
      <c r="BD3" s="320">
        <f t="shared" ref="BD3:BG3" si="5">+BC3</f>
        <v>60</v>
      </c>
      <c r="BE3" s="320">
        <f t="shared" si="5"/>
        <v>60</v>
      </c>
      <c r="BF3" s="320">
        <f t="shared" si="5"/>
        <v>60</v>
      </c>
      <c r="BG3" s="320">
        <f t="shared" si="5"/>
        <v>60</v>
      </c>
      <c r="BH3" s="320">
        <f>+BG3+5</f>
        <v>65</v>
      </c>
      <c r="BI3" s="320">
        <f>+BH3</f>
        <v>65</v>
      </c>
      <c r="BJ3" s="320">
        <f t="shared" ref="BJ3:BM3" si="6">+BI3</f>
        <v>65</v>
      </c>
      <c r="BK3" s="320">
        <f t="shared" si="6"/>
        <v>65</v>
      </c>
      <c r="BL3" s="320">
        <f t="shared" si="6"/>
        <v>65</v>
      </c>
      <c r="BM3" s="320">
        <f t="shared" si="6"/>
        <v>65</v>
      </c>
      <c r="BN3" s="320">
        <v>75</v>
      </c>
      <c r="BO3" s="320">
        <f>+BN3</f>
        <v>75</v>
      </c>
      <c r="BP3" s="320">
        <f t="shared" ref="BP3:BS3" si="7">+BO3</f>
        <v>75</v>
      </c>
      <c r="BQ3" s="320">
        <f t="shared" si="7"/>
        <v>75</v>
      </c>
      <c r="BR3" s="320">
        <f t="shared" si="7"/>
        <v>75</v>
      </c>
      <c r="BS3" s="320">
        <f t="shared" si="7"/>
        <v>75</v>
      </c>
      <c r="BT3" s="320">
        <f>+BS3+5</f>
        <v>80</v>
      </c>
      <c r="BU3" s="320">
        <f>+BT3</f>
        <v>80</v>
      </c>
      <c r="BV3" s="320">
        <f t="shared" ref="BV3:BY3" si="8">+BU3</f>
        <v>80</v>
      </c>
      <c r="BW3" s="320">
        <f t="shared" si="8"/>
        <v>80</v>
      </c>
      <c r="BX3" s="320">
        <f t="shared" si="8"/>
        <v>80</v>
      </c>
      <c r="BY3" s="320">
        <f t="shared" si="8"/>
        <v>80</v>
      </c>
      <c r="BZ3" s="320">
        <f>+BY3+5</f>
        <v>85</v>
      </c>
      <c r="CA3" s="320">
        <f>+BZ3</f>
        <v>85</v>
      </c>
      <c r="CB3" s="320">
        <f t="shared" ref="CB3:CE3" si="9">+CA3</f>
        <v>85</v>
      </c>
      <c r="CC3" s="320">
        <f t="shared" si="9"/>
        <v>85</v>
      </c>
      <c r="CD3" s="320">
        <f t="shared" si="9"/>
        <v>85</v>
      </c>
      <c r="CE3" s="320">
        <f t="shared" si="9"/>
        <v>85</v>
      </c>
      <c r="CF3" s="320">
        <f>+CE3+5</f>
        <v>90</v>
      </c>
      <c r="CG3" s="320">
        <f>+CF3</f>
        <v>90</v>
      </c>
      <c r="CH3" s="320">
        <f t="shared" ref="CH3:CK3" si="10">+CG3</f>
        <v>90</v>
      </c>
      <c r="CI3" s="320">
        <f t="shared" si="10"/>
        <v>90</v>
      </c>
      <c r="CJ3" s="320">
        <f t="shared" si="10"/>
        <v>90</v>
      </c>
      <c r="CK3" s="320">
        <f t="shared" si="10"/>
        <v>90</v>
      </c>
    </row>
    <row r="4" spans="2:89" x14ac:dyDescent="0.25">
      <c r="B4" s="322">
        <v>1</v>
      </c>
      <c r="C4" t="s">
        <v>328</v>
      </c>
      <c r="F4" s="320">
        <v>10</v>
      </c>
      <c r="G4" s="320">
        <v>10</v>
      </c>
      <c r="H4" s="320">
        <f t="shared" ref="H4:BS7" si="11">+ROUNDDOWN(H$3*$B4, 0)</f>
        <v>8</v>
      </c>
      <c r="I4" s="320">
        <f t="shared" si="11"/>
        <v>8</v>
      </c>
      <c r="J4" s="320">
        <v>7</v>
      </c>
      <c r="K4" s="320">
        <v>8</v>
      </c>
      <c r="L4" s="320">
        <v>8</v>
      </c>
      <c r="M4" s="320">
        <v>15</v>
      </c>
      <c r="N4" s="320">
        <v>15</v>
      </c>
      <c r="O4" s="320">
        <v>15</v>
      </c>
      <c r="P4" s="320">
        <v>15</v>
      </c>
      <c r="Q4" s="320">
        <v>15</v>
      </c>
      <c r="R4" s="320">
        <v>15</v>
      </c>
      <c r="S4" s="320">
        <v>15</v>
      </c>
      <c r="T4" s="320">
        <v>15</v>
      </c>
      <c r="U4" s="320">
        <v>15</v>
      </c>
      <c r="V4" s="320">
        <f t="shared" si="11"/>
        <v>15</v>
      </c>
      <c r="W4" s="744">
        <f t="shared" si="11"/>
        <v>15</v>
      </c>
      <c r="X4" s="323">
        <f t="shared" si="11"/>
        <v>15</v>
      </c>
      <c r="Y4" s="323">
        <f t="shared" si="11"/>
        <v>15</v>
      </c>
      <c r="Z4" s="323">
        <f t="shared" si="11"/>
        <v>15</v>
      </c>
      <c r="AA4" s="323">
        <f t="shared" si="11"/>
        <v>15</v>
      </c>
      <c r="AB4" s="323">
        <f t="shared" si="11"/>
        <v>15</v>
      </c>
      <c r="AC4" s="323">
        <f t="shared" si="11"/>
        <v>15</v>
      </c>
      <c r="AD4" s="323">
        <f t="shared" si="11"/>
        <v>35</v>
      </c>
      <c r="AE4" s="323">
        <f t="shared" si="11"/>
        <v>35</v>
      </c>
      <c r="AF4" s="323">
        <f t="shared" si="11"/>
        <v>35</v>
      </c>
      <c r="AG4" s="323">
        <f t="shared" si="11"/>
        <v>35</v>
      </c>
      <c r="AH4" s="323">
        <f t="shared" si="11"/>
        <v>35</v>
      </c>
      <c r="AI4" s="323">
        <f t="shared" si="11"/>
        <v>35</v>
      </c>
      <c r="AJ4" s="323">
        <f t="shared" si="11"/>
        <v>40</v>
      </c>
      <c r="AK4" s="323">
        <f t="shared" si="11"/>
        <v>40</v>
      </c>
      <c r="AL4" s="323">
        <f t="shared" si="11"/>
        <v>40</v>
      </c>
      <c r="AM4" s="323">
        <f t="shared" si="11"/>
        <v>40</v>
      </c>
      <c r="AN4" s="323">
        <f t="shared" si="11"/>
        <v>40</v>
      </c>
      <c r="AO4" s="323">
        <f t="shared" si="11"/>
        <v>40</v>
      </c>
      <c r="AP4" s="323">
        <f t="shared" si="11"/>
        <v>50</v>
      </c>
      <c r="AQ4" s="323">
        <f t="shared" si="11"/>
        <v>50</v>
      </c>
      <c r="AR4" s="323">
        <f t="shared" si="11"/>
        <v>50</v>
      </c>
      <c r="AS4" s="323">
        <f t="shared" si="11"/>
        <v>50</v>
      </c>
      <c r="AT4" s="323">
        <f t="shared" si="11"/>
        <v>50</v>
      </c>
      <c r="AU4" s="323">
        <f t="shared" si="11"/>
        <v>50</v>
      </c>
      <c r="AV4" s="323">
        <f t="shared" si="11"/>
        <v>55</v>
      </c>
      <c r="AW4" s="323">
        <f t="shared" si="11"/>
        <v>55</v>
      </c>
      <c r="AX4" s="323">
        <f t="shared" si="11"/>
        <v>55</v>
      </c>
      <c r="AY4" s="323">
        <f t="shared" si="11"/>
        <v>55</v>
      </c>
      <c r="AZ4" s="323">
        <f t="shared" si="11"/>
        <v>55</v>
      </c>
      <c r="BA4" s="323">
        <f t="shared" si="11"/>
        <v>55</v>
      </c>
      <c r="BB4" s="323">
        <f t="shared" si="11"/>
        <v>60</v>
      </c>
      <c r="BC4" s="323">
        <f t="shared" si="11"/>
        <v>60</v>
      </c>
      <c r="BD4" s="323">
        <f t="shared" si="11"/>
        <v>60</v>
      </c>
      <c r="BE4" s="323">
        <f t="shared" si="11"/>
        <v>60</v>
      </c>
      <c r="BF4" s="323">
        <f t="shared" si="11"/>
        <v>60</v>
      </c>
      <c r="BG4" s="323">
        <f t="shared" si="11"/>
        <v>60</v>
      </c>
      <c r="BH4" s="323">
        <f t="shared" si="11"/>
        <v>65</v>
      </c>
      <c r="BI4" s="323">
        <f t="shared" si="11"/>
        <v>65</v>
      </c>
      <c r="BJ4" s="323">
        <f t="shared" si="11"/>
        <v>65</v>
      </c>
      <c r="BK4" s="323">
        <f t="shared" si="11"/>
        <v>65</v>
      </c>
      <c r="BL4" s="323">
        <f t="shared" si="11"/>
        <v>65</v>
      </c>
      <c r="BM4" s="323">
        <f t="shared" si="11"/>
        <v>65</v>
      </c>
      <c r="BN4" s="323">
        <f t="shared" si="11"/>
        <v>75</v>
      </c>
      <c r="BO4" s="323">
        <f t="shared" si="11"/>
        <v>75</v>
      </c>
      <c r="BP4" s="323">
        <f t="shared" si="11"/>
        <v>75</v>
      </c>
      <c r="BQ4" s="323">
        <f t="shared" si="11"/>
        <v>75</v>
      </c>
      <c r="BR4" s="323">
        <f t="shared" si="11"/>
        <v>75</v>
      </c>
      <c r="BS4" s="323">
        <f t="shared" si="11"/>
        <v>75</v>
      </c>
      <c r="BT4" s="323">
        <f t="shared" ref="BT4:CK8" si="12">+ROUNDDOWN(BT$3*$B4, 0)</f>
        <v>80</v>
      </c>
      <c r="BU4" s="323">
        <f t="shared" si="12"/>
        <v>80</v>
      </c>
      <c r="BV4" s="323">
        <f t="shared" si="12"/>
        <v>80</v>
      </c>
      <c r="BW4" s="323">
        <f t="shared" si="12"/>
        <v>80</v>
      </c>
      <c r="BX4" s="323">
        <f t="shared" si="12"/>
        <v>80</v>
      </c>
      <c r="BY4" s="323">
        <f t="shared" si="12"/>
        <v>80</v>
      </c>
      <c r="BZ4" s="323">
        <f t="shared" si="12"/>
        <v>85</v>
      </c>
      <c r="CA4" s="323">
        <f t="shared" si="12"/>
        <v>85</v>
      </c>
      <c r="CB4" s="323">
        <f t="shared" si="12"/>
        <v>85</v>
      </c>
      <c r="CC4" s="323">
        <f t="shared" si="12"/>
        <v>85</v>
      </c>
      <c r="CD4" s="323">
        <f t="shared" si="12"/>
        <v>85</v>
      </c>
      <c r="CE4" s="323">
        <f t="shared" si="12"/>
        <v>85</v>
      </c>
      <c r="CF4" s="323">
        <f t="shared" si="12"/>
        <v>90</v>
      </c>
      <c r="CG4" s="323">
        <f t="shared" si="12"/>
        <v>90</v>
      </c>
      <c r="CH4" s="323">
        <f t="shared" si="12"/>
        <v>90</v>
      </c>
      <c r="CI4" s="323">
        <f t="shared" si="12"/>
        <v>90</v>
      </c>
      <c r="CJ4" s="323">
        <f t="shared" si="12"/>
        <v>90</v>
      </c>
      <c r="CK4" s="323">
        <f t="shared" si="12"/>
        <v>90</v>
      </c>
    </row>
    <row r="5" spans="2:89" x14ac:dyDescent="0.25">
      <c r="B5" s="322">
        <v>0.75</v>
      </c>
      <c r="C5" t="s">
        <v>329</v>
      </c>
      <c r="F5" s="320">
        <v>1</v>
      </c>
      <c r="G5" s="320">
        <v>1</v>
      </c>
      <c r="H5" s="320">
        <f>+ROUNDDOWN(H$3*$B5, 0)</f>
        <v>6</v>
      </c>
      <c r="I5" s="320">
        <f t="shared" si="11"/>
        <v>6</v>
      </c>
      <c r="J5" s="320">
        <v>6</v>
      </c>
      <c r="K5" s="320">
        <v>6</v>
      </c>
      <c r="L5" s="320">
        <v>6</v>
      </c>
      <c r="M5" s="320">
        <v>11</v>
      </c>
      <c r="N5" s="320">
        <v>11</v>
      </c>
      <c r="O5" s="320">
        <v>11</v>
      </c>
      <c r="P5" s="320">
        <v>11</v>
      </c>
      <c r="Q5" s="320">
        <v>11</v>
      </c>
      <c r="R5" s="320">
        <v>11</v>
      </c>
      <c r="S5" s="320">
        <v>11</v>
      </c>
      <c r="T5" s="320">
        <v>11</v>
      </c>
      <c r="U5" s="320">
        <v>11</v>
      </c>
      <c r="V5" s="320">
        <f t="shared" si="11"/>
        <v>11</v>
      </c>
      <c r="W5" s="744">
        <f t="shared" si="11"/>
        <v>11</v>
      </c>
      <c r="X5" s="323">
        <f t="shared" si="11"/>
        <v>11</v>
      </c>
      <c r="Y5" s="323">
        <f t="shared" si="11"/>
        <v>11</v>
      </c>
      <c r="Z5" s="323">
        <f t="shared" si="11"/>
        <v>11</v>
      </c>
      <c r="AA5" s="323">
        <f t="shared" si="11"/>
        <v>11</v>
      </c>
      <c r="AB5" s="323">
        <f t="shared" si="11"/>
        <v>11</v>
      </c>
      <c r="AC5" s="323">
        <f t="shared" si="11"/>
        <v>11</v>
      </c>
      <c r="AD5" s="323">
        <f t="shared" si="11"/>
        <v>26</v>
      </c>
      <c r="AE5" s="323">
        <f t="shared" si="11"/>
        <v>26</v>
      </c>
      <c r="AF5" s="323">
        <f t="shared" si="11"/>
        <v>26</v>
      </c>
      <c r="AG5" s="323">
        <f t="shared" si="11"/>
        <v>26</v>
      </c>
      <c r="AH5" s="323">
        <f t="shared" si="11"/>
        <v>26</v>
      </c>
      <c r="AI5" s="323">
        <f t="shared" si="11"/>
        <v>26</v>
      </c>
      <c r="AJ5" s="323">
        <f t="shared" si="11"/>
        <v>30</v>
      </c>
      <c r="AK5" s="323">
        <f t="shared" si="11"/>
        <v>30</v>
      </c>
      <c r="AL5" s="323">
        <f t="shared" si="11"/>
        <v>30</v>
      </c>
      <c r="AM5" s="323">
        <f t="shared" si="11"/>
        <v>30</v>
      </c>
      <c r="AN5" s="323">
        <f t="shared" si="11"/>
        <v>30</v>
      </c>
      <c r="AO5" s="323">
        <f t="shared" si="11"/>
        <v>30</v>
      </c>
      <c r="AP5" s="323">
        <f t="shared" si="11"/>
        <v>37</v>
      </c>
      <c r="AQ5" s="323">
        <f t="shared" si="11"/>
        <v>37</v>
      </c>
      <c r="AR5" s="323">
        <f t="shared" si="11"/>
        <v>37</v>
      </c>
      <c r="AS5" s="323">
        <f t="shared" si="11"/>
        <v>37</v>
      </c>
      <c r="AT5" s="323">
        <f t="shared" si="11"/>
        <v>37</v>
      </c>
      <c r="AU5" s="323">
        <f t="shared" si="11"/>
        <v>37</v>
      </c>
      <c r="AV5" s="323">
        <f t="shared" si="11"/>
        <v>41</v>
      </c>
      <c r="AW5" s="323">
        <f t="shared" si="11"/>
        <v>41</v>
      </c>
      <c r="AX5" s="323">
        <f t="shared" si="11"/>
        <v>41</v>
      </c>
      <c r="AY5" s="323">
        <f t="shared" si="11"/>
        <v>41</v>
      </c>
      <c r="AZ5" s="323">
        <f t="shared" si="11"/>
        <v>41</v>
      </c>
      <c r="BA5" s="323">
        <f t="shared" si="11"/>
        <v>41</v>
      </c>
      <c r="BB5" s="323">
        <f t="shared" si="11"/>
        <v>45</v>
      </c>
      <c r="BC5" s="323">
        <f t="shared" si="11"/>
        <v>45</v>
      </c>
      <c r="BD5" s="323">
        <f t="shared" si="11"/>
        <v>45</v>
      </c>
      <c r="BE5" s="323">
        <f t="shared" si="11"/>
        <v>45</v>
      </c>
      <c r="BF5" s="323">
        <f t="shared" si="11"/>
        <v>45</v>
      </c>
      <c r="BG5" s="323">
        <f t="shared" si="11"/>
        <v>45</v>
      </c>
      <c r="BH5" s="323">
        <f t="shared" si="11"/>
        <v>48</v>
      </c>
      <c r="BI5" s="323">
        <f t="shared" si="11"/>
        <v>48</v>
      </c>
      <c r="BJ5" s="323">
        <f t="shared" si="11"/>
        <v>48</v>
      </c>
      <c r="BK5" s="323">
        <f t="shared" si="11"/>
        <v>48</v>
      </c>
      <c r="BL5" s="323">
        <f t="shared" si="11"/>
        <v>48</v>
      </c>
      <c r="BM5" s="323">
        <f t="shared" si="11"/>
        <v>48</v>
      </c>
      <c r="BN5" s="323">
        <f t="shared" si="11"/>
        <v>56</v>
      </c>
      <c r="BO5" s="323">
        <f t="shared" si="11"/>
        <v>56</v>
      </c>
      <c r="BP5" s="323">
        <f t="shared" si="11"/>
        <v>56</v>
      </c>
      <c r="BQ5" s="323">
        <f t="shared" si="11"/>
        <v>56</v>
      </c>
      <c r="BR5" s="323">
        <f t="shared" si="11"/>
        <v>56</v>
      </c>
      <c r="BS5" s="323">
        <f t="shared" si="11"/>
        <v>56</v>
      </c>
      <c r="BT5" s="323">
        <f t="shared" si="12"/>
        <v>60</v>
      </c>
      <c r="BU5" s="323">
        <f t="shared" si="12"/>
        <v>60</v>
      </c>
      <c r="BV5" s="323">
        <f t="shared" si="12"/>
        <v>60</v>
      </c>
      <c r="BW5" s="323">
        <f t="shared" si="12"/>
        <v>60</v>
      </c>
      <c r="BX5" s="323">
        <f t="shared" si="12"/>
        <v>60</v>
      </c>
      <c r="BY5" s="323">
        <f t="shared" si="12"/>
        <v>60</v>
      </c>
      <c r="BZ5" s="323">
        <f t="shared" si="12"/>
        <v>63</v>
      </c>
      <c r="CA5" s="323">
        <f t="shared" si="12"/>
        <v>63</v>
      </c>
      <c r="CB5" s="323">
        <f t="shared" si="12"/>
        <v>63</v>
      </c>
      <c r="CC5" s="323">
        <f t="shared" si="12"/>
        <v>63</v>
      </c>
      <c r="CD5" s="323">
        <f t="shared" si="12"/>
        <v>63</v>
      </c>
      <c r="CE5" s="323">
        <f t="shared" si="12"/>
        <v>63</v>
      </c>
      <c r="CF5" s="323">
        <f t="shared" si="12"/>
        <v>67</v>
      </c>
      <c r="CG5" s="323">
        <f t="shared" si="12"/>
        <v>67</v>
      </c>
      <c r="CH5" s="323">
        <f t="shared" si="12"/>
        <v>67</v>
      </c>
      <c r="CI5" s="323">
        <f t="shared" si="12"/>
        <v>67</v>
      </c>
      <c r="CJ5" s="323">
        <f t="shared" si="12"/>
        <v>67</v>
      </c>
      <c r="CK5" s="323">
        <f t="shared" si="12"/>
        <v>67</v>
      </c>
    </row>
    <row r="6" spans="2:89" x14ac:dyDescent="0.25">
      <c r="B6" s="322">
        <v>0.5</v>
      </c>
      <c r="C6" t="s">
        <v>330</v>
      </c>
      <c r="F6" s="320">
        <v>1</v>
      </c>
      <c r="G6" s="320">
        <v>1</v>
      </c>
      <c r="H6" s="320">
        <f t="shared" ref="H6:H7" si="13">+ROUNDDOWN(H$3*$B6, 0)</f>
        <v>4</v>
      </c>
      <c r="I6" s="320">
        <f t="shared" si="11"/>
        <v>4</v>
      </c>
      <c r="J6" s="320">
        <v>4</v>
      </c>
      <c r="K6" s="320">
        <v>4</v>
      </c>
      <c r="L6" s="320">
        <v>4</v>
      </c>
      <c r="M6" s="320">
        <v>7</v>
      </c>
      <c r="N6" s="320">
        <v>7</v>
      </c>
      <c r="O6" s="320">
        <v>7</v>
      </c>
      <c r="P6" s="320">
        <v>7</v>
      </c>
      <c r="Q6" s="320">
        <v>7</v>
      </c>
      <c r="R6" s="320">
        <v>7</v>
      </c>
      <c r="S6" s="320">
        <v>7</v>
      </c>
      <c r="T6" s="320">
        <v>7</v>
      </c>
      <c r="U6" s="320">
        <v>7</v>
      </c>
      <c r="V6" s="320">
        <f t="shared" si="11"/>
        <v>7</v>
      </c>
      <c r="W6" s="744">
        <f t="shared" si="11"/>
        <v>7</v>
      </c>
      <c r="X6" s="323">
        <f t="shared" si="11"/>
        <v>7</v>
      </c>
      <c r="Y6" s="323">
        <f t="shared" si="11"/>
        <v>7</v>
      </c>
      <c r="Z6" s="323">
        <f t="shared" si="11"/>
        <v>7</v>
      </c>
      <c r="AA6" s="323">
        <f t="shared" si="11"/>
        <v>7</v>
      </c>
      <c r="AB6" s="323">
        <f t="shared" si="11"/>
        <v>7</v>
      </c>
      <c r="AC6" s="323">
        <f t="shared" si="11"/>
        <v>7</v>
      </c>
      <c r="AD6" s="323">
        <f t="shared" si="11"/>
        <v>17</v>
      </c>
      <c r="AE6" s="323">
        <f t="shared" si="11"/>
        <v>17</v>
      </c>
      <c r="AF6" s="323">
        <f t="shared" si="11"/>
        <v>17</v>
      </c>
      <c r="AG6" s="323">
        <f t="shared" si="11"/>
        <v>17</v>
      </c>
      <c r="AH6" s="323">
        <f t="shared" si="11"/>
        <v>17</v>
      </c>
      <c r="AI6" s="323">
        <f t="shared" si="11"/>
        <v>17</v>
      </c>
      <c r="AJ6" s="323">
        <f t="shared" si="11"/>
        <v>20</v>
      </c>
      <c r="AK6" s="323">
        <f t="shared" si="11"/>
        <v>20</v>
      </c>
      <c r="AL6" s="323">
        <f t="shared" si="11"/>
        <v>20</v>
      </c>
      <c r="AM6" s="323">
        <f t="shared" si="11"/>
        <v>20</v>
      </c>
      <c r="AN6" s="323">
        <f t="shared" si="11"/>
        <v>20</v>
      </c>
      <c r="AO6" s="323">
        <f t="shared" si="11"/>
        <v>20</v>
      </c>
      <c r="AP6" s="323">
        <f t="shared" si="11"/>
        <v>25</v>
      </c>
      <c r="AQ6" s="323">
        <f t="shared" si="11"/>
        <v>25</v>
      </c>
      <c r="AR6" s="323">
        <f t="shared" si="11"/>
        <v>25</v>
      </c>
      <c r="AS6" s="323">
        <f t="shared" si="11"/>
        <v>25</v>
      </c>
      <c r="AT6" s="323">
        <f t="shared" si="11"/>
        <v>25</v>
      </c>
      <c r="AU6" s="323">
        <f t="shared" si="11"/>
        <v>25</v>
      </c>
      <c r="AV6" s="323">
        <f t="shared" si="11"/>
        <v>27</v>
      </c>
      <c r="AW6" s="323">
        <f t="shared" si="11"/>
        <v>27</v>
      </c>
      <c r="AX6" s="323">
        <f t="shared" si="11"/>
        <v>27</v>
      </c>
      <c r="AY6" s="323">
        <f t="shared" si="11"/>
        <v>27</v>
      </c>
      <c r="AZ6" s="323">
        <f t="shared" si="11"/>
        <v>27</v>
      </c>
      <c r="BA6" s="323">
        <f t="shared" si="11"/>
        <v>27</v>
      </c>
      <c r="BB6" s="323">
        <f t="shared" si="11"/>
        <v>30</v>
      </c>
      <c r="BC6" s="323">
        <f t="shared" si="11"/>
        <v>30</v>
      </c>
      <c r="BD6" s="323">
        <f t="shared" si="11"/>
        <v>30</v>
      </c>
      <c r="BE6" s="323">
        <f t="shared" si="11"/>
        <v>30</v>
      </c>
      <c r="BF6" s="323">
        <f t="shared" si="11"/>
        <v>30</v>
      </c>
      <c r="BG6" s="323">
        <f t="shared" si="11"/>
        <v>30</v>
      </c>
      <c r="BH6" s="323">
        <f t="shared" si="11"/>
        <v>32</v>
      </c>
      <c r="BI6" s="323">
        <f t="shared" si="11"/>
        <v>32</v>
      </c>
      <c r="BJ6" s="323">
        <f t="shared" si="11"/>
        <v>32</v>
      </c>
      <c r="BK6" s="323">
        <f t="shared" si="11"/>
        <v>32</v>
      </c>
      <c r="BL6" s="323">
        <f t="shared" si="11"/>
        <v>32</v>
      </c>
      <c r="BM6" s="323">
        <f t="shared" si="11"/>
        <v>32</v>
      </c>
      <c r="BN6" s="323">
        <f t="shared" si="11"/>
        <v>37</v>
      </c>
      <c r="BO6" s="323">
        <f t="shared" si="11"/>
        <v>37</v>
      </c>
      <c r="BP6" s="323">
        <f t="shared" si="11"/>
        <v>37</v>
      </c>
      <c r="BQ6" s="323">
        <f t="shared" si="11"/>
        <v>37</v>
      </c>
      <c r="BR6" s="323">
        <f t="shared" si="11"/>
        <v>37</v>
      </c>
      <c r="BS6" s="323">
        <f t="shared" si="11"/>
        <v>37</v>
      </c>
      <c r="BT6" s="323">
        <f t="shared" si="12"/>
        <v>40</v>
      </c>
      <c r="BU6" s="323">
        <f t="shared" si="12"/>
        <v>40</v>
      </c>
      <c r="BV6" s="323">
        <f t="shared" si="12"/>
        <v>40</v>
      </c>
      <c r="BW6" s="323">
        <f t="shared" si="12"/>
        <v>40</v>
      </c>
      <c r="BX6" s="323">
        <f t="shared" si="12"/>
        <v>40</v>
      </c>
      <c r="BY6" s="323">
        <f t="shared" si="12"/>
        <v>40</v>
      </c>
      <c r="BZ6" s="323">
        <f t="shared" si="12"/>
        <v>42</v>
      </c>
      <c r="CA6" s="323">
        <f t="shared" si="12"/>
        <v>42</v>
      </c>
      <c r="CB6" s="323">
        <f t="shared" si="12"/>
        <v>42</v>
      </c>
      <c r="CC6" s="323">
        <f t="shared" si="12"/>
        <v>42</v>
      </c>
      <c r="CD6" s="323">
        <f t="shared" si="12"/>
        <v>42</v>
      </c>
      <c r="CE6" s="323">
        <f t="shared" si="12"/>
        <v>42</v>
      </c>
      <c r="CF6" s="323">
        <f t="shared" si="12"/>
        <v>45</v>
      </c>
      <c r="CG6" s="323">
        <f t="shared" si="12"/>
        <v>45</v>
      </c>
      <c r="CH6" s="323">
        <f t="shared" si="12"/>
        <v>45</v>
      </c>
      <c r="CI6" s="323">
        <f t="shared" si="12"/>
        <v>45</v>
      </c>
      <c r="CJ6" s="323">
        <f t="shared" si="12"/>
        <v>45</v>
      </c>
      <c r="CK6" s="323">
        <f t="shared" si="12"/>
        <v>45</v>
      </c>
    </row>
    <row r="7" spans="2:89" x14ac:dyDescent="0.25">
      <c r="B7" s="322">
        <v>0.33</v>
      </c>
      <c r="C7" t="s">
        <v>331</v>
      </c>
      <c r="F7" s="320">
        <v>1</v>
      </c>
      <c r="G7" s="320">
        <v>1</v>
      </c>
      <c r="H7" s="320">
        <f t="shared" si="13"/>
        <v>2</v>
      </c>
      <c r="I7" s="320">
        <f t="shared" si="11"/>
        <v>2</v>
      </c>
      <c r="J7" s="320">
        <v>2</v>
      </c>
      <c r="K7" s="320">
        <v>2</v>
      </c>
      <c r="L7" s="320">
        <v>2</v>
      </c>
      <c r="M7" s="320">
        <v>4</v>
      </c>
      <c r="N7" s="320">
        <v>4</v>
      </c>
      <c r="O7" s="320">
        <v>4</v>
      </c>
      <c r="P7" s="320">
        <v>4</v>
      </c>
      <c r="Q7" s="320">
        <v>4</v>
      </c>
      <c r="R7" s="320">
        <v>4</v>
      </c>
      <c r="S7" s="320">
        <v>4</v>
      </c>
      <c r="T7" s="320">
        <v>4</v>
      </c>
      <c r="U7" s="320">
        <v>4</v>
      </c>
      <c r="V7" s="320">
        <f t="shared" si="11"/>
        <v>4</v>
      </c>
      <c r="W7" s="744">
        <f t="shared" si="11"/>
        <v>4</v>
      </c>
      <c r="X7" s="323">
        <f t="shared" si="11"/>
        <v>4</v>
      </c>
      <c r="Y7" s="323">
        <f t="shared" si="11"/>
        <v>4</v>
      </c>
      <c r="Z7" s="323">
        <f t="shared" si="11"/>
        <v>4</v>
      </c>
      <c r="AA7" s="323">
        <f t="shared" si="11"/>
        <v>4</v>
      </c>
      <c r="AB7" s="323">
        <f t="shared" si="11"/>
        <v>4</v>
      </c>
      <c r="AC7" s="323">
        <f t="shared" si="11"/>
        <v>4</v>
      </c>
      <c r="AD7" s="323">
        <f t="shared" si="11"/>
        <v>11</v>
      </c>
      <c r="AE7" s="323">
        <f t="shared" si="11"/>
        <v>11</v>
      </c>
      <c r="AF7" s="323">
        <f t="shared" si="11"/>
        <v>11</v>
      </c>
      <c r="AG7" s="323">
        <f t="shared" si="11"/>
        <v>11</v>
      </c>
      <c r="AH7" s="323">
        <f t="shared" si="11"/>
        <v>11</v>
      </c>
      <c r="AI7" s="323">
        <f t="shared" si="11"/>
        <v>11</v>
      </c>
      <c r="AJ7" s="323">
        <f t="shared" si="11"/>
        <v>13</v>
      </c>
      <c r="AK7" s="323">
        <f t="shared" si="11"/>
        <v>13</v>
      </c>
      <c r="AL7" s="323">
        <f t="shared" si="11"/>
        <v>13</v>
      </c>
      <c r="AM7" s="323">
        <f t="shared" si="11"/>
        <v>13</v>
      </c>
      <c r="AN7" s="323">
        <f t="shared" si="11"/>
        <v>13</v>
      </c>
      <c r="AO7" s="323">
        <f t="shared" si="11"/>
        <v>13</v>
      </c>
      <c r="AP7" s="323">
        <f t="shared" si="11"/>
        <v>16</v>
      </c>
      <c r="AQ7" s="323">
        <f t="shared" si="11"/>
        <v>16</v>
      </c>
      <c r="AR7" s="323">
        <f t="shared" si="11"/>
        <v>16</v>
      </c>
      <c r="AS7" s="323">
        <f t="shared" si="11"/>
        <v>16</v>
      </c>
      <c r="AT7" s="323">
        <f t="shared" si="11"/>
        <v>16</v>
      </c>
      <c r="AU7" s="323">
        <f t="shared" si="11"/>
        <v>16</v>
      </c>
      <c r="AV7" s="323">
        <f t="shared" si="11"/>
        <v>18</v>
      </c>
      <c r="AW7" s="323">
        <f t="shared" si="11"/>
        <v>18</v>
      </c>
      <c r="AX7" s="323">
        <f t="shared" si="11"/>
        <v>18</v>
      </c>
      <c r="AY7" s="323">
        <f t="shared" si="11"/>
        <v>18</v>
      </c>
      <c r="AZ7" s="323">
        <f t="shared" si="11"/>
        <v>18</v>
      </c>
      <c r="BA7" s="323">
        <f t="shared" si="11"/>
        <v>18</v>
      </c>
      <c r="BB7" s="323">
        <f t="shared" si="11"/>
        <v>19</v>
      </c>
      <c r="BC7" s="323">
        <f t="shared" si="11"/>
        <v>19</v>
      </c>
      <c r="BD7" s="323">
        <f t="shared" si="11"/>
        <v>19</v>
      </c>
      <c r="BE7" s="323">
        <f t="shared" si="11"/>
        <v>19</v>
      </c>
      <c r="BF7" s="323">
        <f t="shared" si="11"/>
        <v>19</v>
      </c>
      <c r="BG7" s="323">
        <f t="shared" si="11"/>
        <v>19</v>
      </c>
      <c r="BH7" s="323">
        <f t="shared" si="11"/>
        <v>21</v>
      </c>
      <c r="BI7" s="323">
        <f t="shared" si="11"/>
        <v>21</v>
      </c>
      <c r="BJ7" s="323">
        <f t="shared" si="11"/>
        <v>21</v>
      </c>
      <c r="BK7" s="323">
        <f t="shared" si="11"/>
        <v>21</v>
      </c>
      <c r="BL7" s="323">
        <f t="shared" si="11"/>
        <v>21</v>
      </c>
      <c r="BM7" s="323">
        <f t="shared" si="11"/>
        <v>21</v>
      </c>
      <c r="BN7" s="323">
        <f t="shared" si="11"/>
        <v>24</v>
      </c>
      <c r="BO7" s="323">
        <f t="shared" si="11"/>
        <v>24</v>
      </c>
      <c r="BP7" s="323">
        <f t="shared" si="11"/>
        <v>24</v>
      </c>
      <c r="BQ7" s="323">
        <f t="shared" si="11"/>
        <v>24</v>
      </c>
      <c r="BR7" s="323">
        <f t="shared" si="11"/>
        <v>24</v>
      </c>
      <c r="BS7" s="323">
        <f t="shared" si="11"/>
        <v>24</v>
      </c>
      <c r="BT7" s="323">
        <f t="shared" si="12"/>
        <v>26</v>
      </c>
      <c r="BU7" s="323">
        <f t="shared" si="12"/>
        <v>26</v>
      </c>
      <c r="BV7" s="323">
        <f t="shared" si="12"/>
        <v>26</v>
      </c>
      <c r="BW7" s="323">
        <f t="shared" si="12"/>
        <v>26</v>
      </c>
      <c r="BX7" s="323">
        <f t="shared" si="12"/>
        <v>26</v>
      </c>
      <c r="BY7" s="323">
        <f t="shared" si="12"/>
        <v>26</v>
      </c>
      <c r="BZ7" s="323">
        <f t="shared" si="12"/>
        <v>28</v>
      </c>
      <c r="CA7" s="323">
        <f t="shared" si="12"/>
        <v>28</v>
      </c>
      <c r="CB7" s="323">
        <f t="shared" si="12"/>
        <v>28</v>
      </c>
      <c r="CC7" s="323">
        <f t="shared" si="12"/>
        <v>28</v>
      </c>
      <c r="CD7" s="323">
        <f t="shared" si="12"/>
        <v>28</v>
      </c>
      <c r="CE7" s="323">
        <f t="shared" si="12"/>
        <v>28</v>
      </c>
      <c r="CF7" s="323">
        <f t="shared" si="12"/>
        <v>29</v>
      </c>
      <c r="CG7" s="323">
        <f t="shared" si="12"/>
        <v>29</v>
      </c>
      <c r="CH7" s="323">
        <f t="shared" si="12"/>
        <v>29</v>
      </c>
      <c r="CI7" s="323">
        <f t="shared" si="12"/>
        <v>29</v>
      </c>
      <c r="CJ7" s="323">
        <f t="shared" si="12"/>
        <v>29</v>
      </c>
      <c r="CK7" s="323">
        <f t="shared" si="12"/>
        <v>29</v>
      </c>
    </row>
    <row r="8" spans="2:89" x14ac:dyDescent="0.25">
      <c r="B8" s="322">
        <v>0.1</v>
      </c>
      <c r="C8" t="s">
        <v>332</v>
      </c>
      <c r="F8" s="320">
        <v>0</v>
      </c>
      <c r="G8" s="320">
        <v>0</v>
      </c>
      <c r="H8" s="320">
        <v>1</v>
      </c>
      <c r="I8" s="320">
        <v>0</v>
      </c>
      <c r="J8" s="320">
        <v>2</v>
      </c>
      <c r="K8" s="320">
        <v>0</v>
      </c>
      <c r="L8" s="320">
        <v>1</v>
      </c>
      <c r="M8" s="320">
        <v>4</v>
      </c>
      <c r="N8" s="320">
        <v>2</v>
      </c>
      <c r="O8" s="320">
        <v>3</v>
      </c>
      <c r="P8" s="320">
        <v>1</v>
      </c>
      <c r="Q8" s="320">
        <v>1</v>
      </c>
      <c r="R8" s="320">
        <v>1</v>
      </c>
      <c r="S8" s="320">
        <v>0</v>
      </c>
      <c r="T8" s="320">
        <v>1</v>
      </c>
      <c r="U8" s="320">
        <v>1</v>
      </c>
      <c r="V8" s="320">
        <f t="shared" ref="V8:BS8" si="14">+ROUNDDOWN(V$3*$B8, 0)</f>
        <v>1</v>
      </c>
      <c r="W8" s="623">
        <f t="shared" si="14"/>
        <v>1</v>
      </c>
      <c r="X8" s="323">
        <f t="shared" si="14"/>
        <v>1</v>
      </c>
      <c r="Y8" s="323">
        <f t="shared" si="14"/>
        <v>1</v>
      </c>
      <c r="Z8" s="323">
        <f t="shared" si="14"/>
        <v>1</v>
      </c>
      <c r="AA8" s="323">
        <f t="shared" si="14"/>
        <v>1</v>
      </c>
      <c r="AB8" s="323">
        <f t="shared" si="14"/>
        <v>1</v>
      </c>
      <c r="AC8" s="323">
        <f t="shared" si="14"/>
        <v>1</v>
      </c>
      <c r="AD8" s="323">
        <f t="shared" si="14"/>
        <v>3</v>
      </c>
      <c r="AE8" s="323">
        <f t="shared" si="14"/>
        <v>3</v>
      </c>
      <c r="AF8" s="323">
        <f t="shared" si="14"/>
        <v>3</v>
      </c>
      <c r="AG8" s="323">
        <f t="shared" si="14"/>
        <v>3</v>
      </c>
      <c r="AH8" s="323">
        <f t="shared" si="14"/>
        <v>3</v>
      </c>
      <c r="AI8" s="323">
        <f t="shared" si="14"/>
        <v>3</v>
      </c>
      <c r="AJ8" s="323">
        <f t="shared" si="14"/>
        <v>4</v>
      </c>
      <c r="AK8" s="323">
        <f t="shared" si="14"/>
        <v>4</v>
      </c>
      <c r="AL8" s="323">
        <f t="shared" si="14"/>
        <v>4</v>
      </c>
      <c r="AM8" s="323">
        <f t="shared" si="14"/>
        <v>4</v>
      </c>
      <c r="AN8" s="323">
        <f t="shared" si="14"/>
        <v>4</v>
      </c>
      <c r="AO8" s="323">
        <f t="shared" si="14"/>
        <v>4</v>
      </c>
      <c r="AP8" s="323">
        <f t="shared" si="14"/>
        <v>5</v>
      </c>
      <c r="AQ8" s="323">
        <f t="shared" si="14"/>
        <v>5</v>
      </c>
      <c r="AR8" s="323">
        <f t="shared" si="14"/>
        <v>5</v>
      </c>
      <c r="AS8" s="323">
        <f t="shared" si="14"/>
        <v>5</v>
      </c>
      <c r="AT8" s="323">
        <f t="shared" si="14"/>
        <v>5</v>
      </c>
      <c r="AU8" s="323">
        <f t="shared" si="14"/>
        <v>5</v>
      </c>
      <c r="AV8" s="323">
        <f t="shared" si="14"/>
        <v>5</v>
      </c>
      <c r="AW8" s="323">
        <f t="shared" si="14"/>
        <v>5</v>
      </c>
      <c r="AX8" s="323">
        <f t="shared" si="14"/>
        <v>5</v>
      </c>
      <c r="AY8" s="323">
        <f t="shared" si="14"/>
        <v>5</v>
      </c>
      <c r="AZ8" s="323">
        <f t="shared" si="14"/>
        <v>5</v>
      </c>
      <c r="BA8" s="323">
        <f t="shared" si="14"/>
        <v>5</v>
      </c>
      <c r="BB8" s="323">
        <f t="shared" si="14"/>
        <v>6</v>
      </c>
      <c r="BC8" s="323">
        <f t="shared" si="14"/>
        <v>6</v>
      </c>
      <c r="BD8" s="323">
        <f t="shared" si="14"/>
        <v>6</v>
      </c>
      <c r="BE8" s="323">
        <f t="shared" si="14"/>
        <v>6</v>
      </c>
      <c r="BF8" s="323">
        <f t="shared" si="14"/>
        <v>6</v>
      </c>
      <c r="BG8" s="323">
        <f t="shared" si="14"/>
        <v>6</v>
      </c>
      <c r="BH8" s="323">
        <f t="shared" si="14"/>
        <v>6</v>
      </c>
      <c r="BI8" s="323">
        <f t="shared" si="14"/>
        <v>6</v>
      </c>
      <c r="BJ8" s="323">
        <f t="shared" si="14"/>
        <v>6</v>
      </c>
      <c r="BK8" s="323">
        <f t="shared" si="14"/>
        <v>6</v>
      </c>
      <c r="BL8" s="323">
        <f t="shared" si="14"/>
        <v>6</v>
      </c>
      <c r="BM8" s="323">
        <f t="shared" si="14"/>
        <v>6</v>
      </c>
      <c r="BN8" s="323">
        <f t="shared" si="14"/>
        <v>7</v>
      </c>
      <c r="BO8" s="323">
        <f t="shared" si="14"/>
        <v>7</v>
      </c>
      <c r="BP8" s="323">
        <f t="shared" si="14"/>
        <v>7</v>
      </c>
      <c r="BQ8" s="323">
        <f t="shared" si="14"/>
        <v>7</v>
      </c>
      <c r="BR8" s="323">
        <f t="shared" si="14"/>
        <v>7</v>
      </c>
      <c r="BS8" s="323">
        <f t="shared" si="14"/>
        <v>7</v>
      </c>
      <c r="BT8" s="323">
        <f t="shared" si="12"/>
        <v>8</v>
      </c>
      <c r="BU8" s="323">
        <f t="shared" si="12"/>
        <v>8</v>
      </c>
      <c r="BV8" s="323">
        <f t="shared" si="12"/>
        <v>8</v>
      </c>
      <c r="BW8" s="323">
        <f t="shared" si="12"/>
        <v>8</v>
      </c>
      <c r="BX8" s="323">
        <f t="shared" si="12"/>
        <v>8</v>
      </c>
      <c r="BY8" s="323">
        <f t="shared" si="12"/>
        <v>8</v>
      </c>
      <c r="BZ8" s="323">
        <f t="shared" si="12"/>
        <v>8</v>
      </c>
      <c r="CA8" s="323">
        <f t="shared" si="12"/>
        <v>8</v>
      </c>
      <c r="CB8" s="323">
        <f t="shared" si="12"/>
        <v>8</v>
      </c>
      <c r="CC8" s="323">
        <f t="shared" si="12"/>
        <v>8</v>
      </c>
      <c r="CD8" s="323">
        <f t="shared" si="12"/>
        <v>8</v>
      </c>
      <c r="CE8" s="323">
        <f t="shared" si="12"/>
        <v>8</v>
      </c>
      <c r="CF8" s="323">
        <f t="shared" si="12"/>
        <v>9</v>
      </c>
      <c r="CG8" s="323">
        <f t="shared" si="12"/>
        <v>9</v>
      </c>
      <c r="CH8" s="323">
        <f t="shared" si="12"/>
        <v>9</v>
      </c>
      <c r="CI8" s="323">
        <f t="shared" si="12"/>
        <v>9</v>
      </c>
      <c r="CJ8" s="323">
        <f t="shared" si="12"/>
        <v>9</v>
      </c>
      <c r="CK8" s="323">
        <f t="shared" si="12"/>
        <v>9</v>
      </c>
    </row>
    <row r="9" spans="2:89" x14ac:dyDescent="0.25"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624"/>
      <c r="X9" s="324"/>
      <c r="Y9" s="324"/>
      <c r="Z9" s="324"/>
      <c r="AA9" s="324"/>
      <c r="AB9" s="324"/>
      <c r="AC9" s="324"/>
      <c r="AD9" s="324"/>
      <c r="AE9" s="324"/>
      <c r="AF9" s="324"/>
      <c r="AG9" s="324"/>
      <c r="AH9" s="324"/>
      <c r="AI9" s="324"/>
      <c r="AJ9" s="324"/>
      <c r="AK9" s="324"/>
      <c r="AL9" s="324"/>
      <c r="AM9" s="324"/>
      <c r="AN9" s="324"/>
      <c r="AO9" s="324"/>
      <c r="AP9" s="324"/>
      <c r="AQ9" s="324"/>
      <c r="AR9" s="324"/>
      <c r="AS9" s="324"/>
      <c r="AT9" s="324"/>
      <c r="AU9" s="324"/>
      <c r="AV9" s="324"/>
      <c r="AW9" s="324"/>
      <c r="AX9" s="324"/>
      <c r="AY9" s="324"/>
      <c r="AZ9" s="324"/>
      <c r="BA9" s="324"/>
      <c r="BB9" s="324"/>
      <c r="BC9" s="324"/>
      <c r="BD9" s="324"/>
      <c r="BE9" s="324"/>
      <c r="BF9" s="324"/>
      <c r="BG9" s="324"/>
      <c r="BH9" s="324"/>
      <c r="BI9" s="324"/>
      <c r="BJ9" s="324"/>
      <c r="BK9" s="324"/>
      <c r="BL9" s="324"/>
      <c r="BM9" s="324"/>
      <c r="BN9" s="324"/>
      <c r="BO9" s="324"/>
      <c r="BP9" s="324"/>
      <c r="BQ9" s="324"/>
      <c r="BR9" s="324"/>
      <c r="BS9" s="324"/>
      <c r="BT9" s="324"/>
      <c r="BU9" s="324"/>
      <c r="BV9" s="324"/>
      <c r="BW9" s="324"/>
      <c r="BX9" s="324"/>
      <c r="BY9" s="324"/>
      <c r="BZ9" s="324"/>
      <c r="CA9" s="324"/>
      <c r="CB9" s="324"/>
      <c r="CC9" s="324"/>
      <c r="CD9" s="324"/>
      <c r="CE9" s="324"/>
      <c r="CF9" s="324"/>
      <c r="CG9" s="324"/>
      <c r="CH9" s="324"/>
      <c r="CI9" s="324"/>
      <c r="CJ9" s="324"/>
      <c r="CK9" s="324"/>
    </row>
    <row r="10" spans="2:89" x14ac:dyDescent="0.25"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6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4"/>
      <c r="AX10" s="324"/>
      <c r="AY10" s="324"/>
      <c r="AZ10" s="324"/>
      <c r="BA10" s="324"/>
      <c r="BB10" s="324"/>
      <c r="BC10" s="324"/>
      <c r="BD10" s="324"/>
      <c r="BE10" s="324"/>
      <c r="BF10" s="324"/>
      <c r="BG10" s="324"/>
      <c r="BH10" s="324"/>
      <c r="BI10" s="324"/>
      <c r="BJ10" s="324"/>
      <c r="BK10" s="324"/>
      <c r="BL10" s="324"/>
      <c r="BM10" s="324"/>
      <c r="BN10" s="324"/>
      <c r="BO10" s="324"/>
      <c r="BP10" s="324"/>
      <c r="BQ10" s="324"/>
      <c r="BR10" s="324"/>
      <c r="BS10" s="324"/>
      <c r="BT10" s="324"/>
      <c r="BU10" s="324"/>
      <c r="BV10" s="324"/>
      <c r="BW10" s="324"/>
      <c r="BX10" s="324"/>
      <c r="BY10" s="324"/>
      <c r="BZ10" s="324"/>
      <c r="CA10" s="324"/>
      <c r="CB10" s="324"/>
      <c r="CC10" s="324"/>
      <c r="CD10" s="324"/>
      <c r="CE10" s="324"/>
      <c r="CF10" s="324"/>
      <c r="CG10" s="324"/>
      <c r="CH10" s="324"/>
      <c r="CI10" s="324"/>
      <c r="CJ10" s="324"/>
      <c r="CK10" s="324"/>
    </row>
    <row r="11" spans="2:89" x14ac:dyDescent="0.25">
      <c r="C11" t="s">
        <v>328</v>
      </c>
      <c r="F11" s="325">
        <f>+F4/F$3</f>
        <v>1.25</v>
      </c>
      <c r="G11" s="325">
        <f t="shared" ref="G11:BR15" si="15">+G4/G$3</f>
        <v>1.25</v>
      </c>
      <c r="H11" s="325">
        <f t="shared" si="15"/>
        <v>1</v>
      </c>
      <c r="I11" s="325">
        <f t="shared" si="15"/>
        <v>1</v>
      </c>
      <c r="J11" s="325">
        <f t="shared" si="15"/>
        <v>0.875</v>
      </c>
      <c r="K11" s="325">
        <f t="shared" si="15"/>
        <v>1</v>
      </c>
      <c r="L11" s="325">
        <f t="shared" ref="L11:L15" si="16">+L4/L$3</f>
        <v>1</v>
      </c>
      <c r="M11" s="325">
        <f t="shared" si="15"/>
        <v>1</v>
      </c>
      <c r="N11" s="325">
        <f t="shared" ref="N11" si="17">+N4/N$3</f>
        <v>1</v>
      </c>
      <c r="O11" s="325">
        <f t="shared" si="15"/>
        <v>1</v>
      </c>
      <c r="P11" s="325">
        <f t="shared" si="15"/>
        <v>1</v>
      </c>
      <c r="Q11" s="325">
        <f t="shared" ref="Q11:R11" si="18">+Q4/Q$3</f>
        <v>1</v>
      </c>
      <c r="R11" s="325">
        <f t="shared" si="18"/>
        <v>1</v>
      </c>
      <c r="S11" s="325">
        <f t="shared" ref="S11:T11" si="19">+S4/S$3</f>
        <v>1</v>
      </c>
      <c r="T11" s="325">
        <f t="shared" si="19"/>
        <v>1</v>
      </c>
      <c r="U11" s="325">
        <f t="shared" ref="U11" si="20">+U4/U$3</f>
        <v>1</v>
      </c>
      <c r="V11" s="325">
        <f t="shared" ref="V11:W11" si="21">+V4/V$3</f>
        <v>1</v>
      </c>
      <c r="W11" s="625">
        <f t="shared" si="21"/>
        <v>1</v>
      </c>
      <c r="X11" s="325">
        <f t="shared" si="15"/>
        <v>1</v>
      </c>
      <c r="Y11" s="325">
        <f t="shared" si="15"/>
        <v>1</v>
      </c>
      <c r="Z11" s="325">
        <f t="shared" si="15"/>
        <v>1</v>
      </c>
      <c r="AA11" s="325">
        <f t="shared" si="15"/>
        <v>1</v>
      </c>
      <c r="AB11" s="325">
        <f t="shared" si="15"/>
        <v>1</v>
      </c>
      <c r="AC11" s="325">
        <f t="shared" si="15"/>
        <v>1</v>
      </c>
      <c r="AD11" s="325">
        <f t="shared" si="15"/>
        <v>1</v>
      </c>
      <c r="AE11" s="325">
        <f t="shared" si="15"/>
        <v>1</v>
      </c>
      <c r="AF11" s="325">
        <f t="shared" si="15"/>
        <v>1</v>
      </c>
      <c r="AG11" s="325">
        <f t="shared" si="15"/>
        <v>1</v>
      </c>
      <c r="AH11" s="325">
        <f t="shared" si="15"/>
        <v>1</v>
      </c>
      <c r="AI11" s="325">
        <f t="shared" si="15"/>
        <v>1</v>
      </c>
      <c r="AJ11" s="325">
        <f t="shared" si="15"/>
        <v>1</v>
      </c>
      <c r="AK11" s="325">
        <f t="shared" si="15"/>
        <v>1</v>
      </c>
      <c r="AL11" s="325">
        <f t="shared" si="15"/>
        <v>1</v>
      </c>
      <c r="AM11" s="325">
        <f t="shared" si="15"/>
        <v>1</v>
      </c>
      <c r="AN11" s="325">
        <f t="shared" si="15"/>
        <v>1</v>
      </c>
      <c r="AO11" s="325">
        <f t="shared" si="15"/>
        <v>1</v>
      </c>
      <c r="AP11" s="325">
        <f t="shared" si="15"/>
        <v>1</v>
      </c>
      <c r="AQ11" s="325">
        <f t="shared" si="15"/>
        <v>1</v>
      </c>
      <c r="AR11" s="325">
        <f t="shared" si="15"/>
        <v>1</v>
      </c>
      <c r="AS11" s="325">
        <f t="shared" si="15"/>
        <v>1</v>
      </c>
      <c r="AT11" s="325">
        <f t="shared" si="15"/>
        <v>1</v>
      </c>
      <c r="AU11" s="325">
        <f t="shared" si="15"/>
        <v>1</v>
      </c>
      <c r="AV11" s="325">
        <f t="shared" si="15"/>
        <v>1</v>
      </c>
      <c r="AW11" s="325">
        <f t="shared" si="15"/>
        <v>1</v>
      </c>
      <c r="AX11" s="325">
        <f t="shared" si="15"/>
        <v>1</v>
      </c>
      <c r="AY11" s="325">
        <f t="shared" si="15"/>
        <v>1</v>
      </c>
      <c r="AZ11" s="325">
        <f t="shared" si="15"/>
        <v>1</v>
      </c>
      <c r="BA11" s="325">
        <f t="shared" si="15"/>
        <v>1</v>
      </c>
      <c r="BB11" s="325">
        <f t="shared" si="15"/>
        <v>1</v>
      </c>
      <c r="BC11" s="325">
        <f t="shared" si="15"/>
        <v>1</v>
      </c>
      <c r="BD11" s="325">
        <f t="shared" si="15"/>
        <v>1</v>
      </c>
      <c r="BE11" s="325">
        <f t="shared" si="15"/>
        <v>1</v>
      </c>
      <c r="BF11" s="325">
        <f t="shared" si="15"/>
        <v>1</v>
      </c>
      <c r="BG11" s="325">
        <f t="shared" si="15"/>
        <v>1</v>
      </c>
      <c r="BH11" s="325">
        <f t="shared" si="15"/>
        <v>1</v>
      </c>
      <c r="BI11" s="325">
        <f t="shared" si="15"/>
        <v>1</v>
      </c>
      <c r="BJ11" s="325">
        <f t="shared" si="15"/>
        <v>1</v>
      </c>
      <c r="BK11" s="325">
        <f t="shared" si="15"/>
        <v>1</v>
      </c>
      <c r="BL11" s="325">
        <f t="shared" si="15"/>
        <v>1</v>
      </c>
      <c r="BM11" s="325">
        <f t="shared" si="15"/>
        <v>1</v>
      </c>
      <c r="BN11" s="325">
        <f t="shared" si="15"/>
        <v>1</v>
      </c>
      <c r="BO11" s="325">
        <f t="shared" si="15"/>
        <v>1</v>
      </c>
      <c r="BP11" s="325">
        <f t="shared" si="15"/>
        <v>1</v>
      </c>
      <c r="BQ11" s="325">
        <f t="shared" si="15"/>
        <v>1</v>
      </c>
      <c r="BR11" s="325">
        <f t="shared" si="15"/>
        <v>1</v>
      </c>
      <c r="BS11" s="325">
        <f t="shared" ref="BS11:CK15" si="22">+BS4/BS$3</f>
        <v>1</v>
      </c>
      <c r="BT11" s="325">
        <f t="shared" si="22"/>
        <v>1</v>
      </c>
      <c r="BU11" s="325">
        <f t="shared" si="22"/>
        <v>1</v>
      </c>
      <c r="BV11" s="325">
        <f t="shared" si="22"/>
        <v>1</v>
      </c>
      <c r="BW11" s="325">
        <f t="shared" si="22"/>
        <v>1</v>
      </c>
      <c r="BX11" s="325">
        <f t="shared" si="22"/>
        <v>1</v>
      </c>
      <c r="BY11" s="325">
        <f t="shared" si="22"/>
        <v>1</v>
      </c>
      <c r="BZ11" s="325">
        <f t="shared" si="22"/>
        <v>1</v>
      </c>
      <c r="CA11" s="325">
        <f t="shared" si="22"/>
        <v>1</v>
      </c>
      <c r="CB11" s="325">
        <f t="shared" si="22"/>
        <v>1</v>
      </c>
      <c r="CC11" s="325">
        <f t="shared" si="22"/>
        <v>1</v>
      </c>
      <c r="CD11" s="325">
        <f t="shared" si="22"/>
        <v>1</v>
      </c>
      <c r="CE11" s="325">
        <f t="shared" si="22"/>
        <v>1</v>
      </c>
      <c r="CF11" s="325">
        <f t="shared" si="22"/>
        <v>1</v>
      </c>
      <c r="CG11" s="325">
        <f t="shared" si="22"/>
        <v>1</v>
      </c>
      <c r="CH11" s="325">
        <f t="shared" si="22"/>
        <v>1</v>
      </c>
      <c r="CI11" s="325">
        <f t="shared" si="22"/>
        <v>1</v>
      </c>
      <c r="CJ11" s="325">
        <f t="shared" si="22"/>
        <v>1</v>
      </c>
      <c r="CK11" s="325">
        <f t="shared" si="22"/>
        <v>1</v>
      </c>
    </row>
    <row r="12" spans="2:89" x14ac:dyDescent="0.25">
      <c r="C12" t="s">
        <v>329</v>
      </c>
      <c r="F12" s="325">
        <f t="shared" ref="F12:P15" si="23">+F5/F$3</f>
        <v>0.125</v>
      </c>
      <c r="G12" s="325">
        <f t="shared" si="23"/>
        <v>0.125</v>
      </c>
      <c r="H12" s="325">
        <f t="shared" si="23"/>
        <v>0.75</v>
      </c>
      <c r="I12" s="325">
        <f t="shared" si="23"/>
        <v>0.75</v>
      </c>
      <c r="J12" s="325">
        <f t="shared" si="23"/>
        <v>0.75</v>
      </c>
      <c r="K12" s="325">
        <f t="shared" si="23"/>
        <v>0.75</v>
      </c>
      <c r="L12" s="325">
        <f t="shared" ref="L12" si="24">+L5/L$3</f>
        <v>0.75</v>
      </c>
      <c r="M12" s="325">
        <f t="shared" si="23"/>
        <v>0.73333333333333328</v>
      </c>
      <c r="N12" s="325">
        <f t="shared" ref="N12" si="25">+N5/N$3</f>
        <v>0.73333333333333328</v>
      </c>
      <c r="O12" s="325">
        <f t="shared" si="23"/>
        <v>0.73333333333333328</v>
      </c>
      <c r="P12" s="325">
        <f t="shared" si="23"/>
        <v>0.73333333333333328</v>
      </c>
      <c r="Q12" s="325">
        <f t="shared" ref="Q12:R12" si="26">+Q5/Q$3</f>
        <v>0.73333333333333328</v>
      </c>
      <c r="R12" s="325">
        <f t="shared" si="26"/>
        <v>0.73333333333333328</v>
      </c>
      <c r="S12" s="325">
        <f t="shared" ref="S12:T12" si="27">+S5/S$3</f>
        <v>0.73333333333333328</v>
      </c>
      <c r="T12" s="325">
        <f t="shared" si="27"/>
        <v>0.73333333333333328</v>
      </c>
      <c r="U12" s="325">
        <f t="shared" ref="U12" si="28">+U5/U$3</f>
        <v>0.73333333333333328</v>
      </c>
      <c r="V12" s="325">
        <f t="shared" ref="V12:W12" si="29">+V5/V$3</f>
        <v>0.73333333333333328</v>
      </c>
      <c r="W12" s="625">
        <f t="shared" si="29"/>
        <v>0.73333333333333328</v>
      </c>
      <c r="X12" s="325">
        <f t="shared" si="15"/>
        <v>0.73333333333333328</v>
      </c>
      <c r="Y12" s="325">
        <f t="shared" si="15"/>
        <v>0.73333333333333328</v>
      </c>
      <c r="Z12" s="325">
        <f t="shared" si="15"/>
        <v>0.73333333333333328</v>
      </c>
      <c r="AA12" s="325">
        <f t="shared" si="15"/>
        <v>0.73333333333333328</v>
      </c>
      <c r="AB12" s="325">
        <f t="shared" si="15"/>
        <v>0.73333333333333328</v>
      </c>
      <c r="AC12" s="325">
        <f t="shared" si="15"/>
        <v>0.73333333333333328</v>
      </c>
      <c r="AD12" s="325">
        <f t="shared" si="15"/>
        <v>0.74285714285714288</v>
      </c>
      <c r="AE12" s="325">
        <f t="shared" si="15"/>
        <v>0.74285714285714288</v>
      </c>
      <c r="AF12" s="325">
        <f t="shared" si="15"/>
        <v>0.74285714285714288</v>
      </c>
      <c r="AG12" s="325">
        <f t="shared" si="15"/>
        <v>0.74285714285714288</v>
      </c>
      <c r="AH12" s="325">
        <f t="shared" si="15"/>
        <v>0.74285714285714288</v>
      </c>
      <c r="AI12" s="325">
        <f t="shared" si="15"/>
        <v>0.74285714285714288</v>
      </c>
      <c r="AJ12" s="325">
        <f t="shared" si="15"/>
        <v>0.75</v>
      </c>
      <c r="AK12" s="325">
        <f t="shared" si="15"/>
        <v>0.75</v>
      </c>
      <c r="AL12" s="325">
        <f t="shared" si="15"/>
        <v>0.75</v>
      </c>
      <c r="AM12" s="325">
        <f t="shared" si="15"/>
        <v>0.75</v>
      </c>
      <c r="AN12" s="325">
        <f t="shared" si="15"/>
        <v>0.75</v>
      </c>
      <c r="AO12" s="325">
        <f t="shared" si="15"/>
        <v>0.75</v>
      </c>
      <c r="AP12" s="325">
        <f t="shared" si="15"/>
        <v>0.74</v>
      </c>
      <c r="AQ12" s="325">
        <f t="shared" si="15"/>
        <v>0.74</v>
      </c>
      <c r="AR12" s="325">
        <f t="shared" si="15"/>
        <v>0.74</v>
      </c>
      <c r="AS12" s="325">
        <f t="shared" si="15"/>
        <v>0.74</v>
      </c>
      <c r="AT12" s="325">
        <f t="shared" si="15"/>
        <v>0.74</v>
      </c>
      <c r="AU12" s="325">
        <f t="shared" si="15"/>
        <v>0.74</v>
      </c>
      <c r="AV12" s="325">
        <f t="shared" si="15"/>
        <v>0.74545454545454548</v>
      </c>
      <c r="AW12" s="325">
        <f t="shared" si="15"/>
        <v>0.74545454545454548</v>
      </c>
      <c r="AX12" s="325">
        <f t="shared" si="15"/>
        <v>0.74545454545454548</v>
      </c>
      <c r="AY12" s="325">
        <f t="shared" si="15"/>
        <v>0.74545454545454548</v>
      </c>
      <c r="AZ12" s="325">
        <f t="shared" si="15"/>
        <v>0.74545454545454548</v>
      </c>
      <c r="BA12" s="325">
        <f t="shared" si="15"/>
        <v>0.74545454545454548</v>
      </c>
      <c r="BB12" s="325">
        <f t="shared" si="15"/>
        <v>0.75</v>
      </c>
      <c r="BC12" s="325">
        <f t="shared" si="15"/>
        <v>0.75</v>
      </c>
      <c r="BD12" s="325">
        <f t="shared" si="15"/>
        <v>0.75</v>
      </c>
      <c r="BE12" s="325">
        <f t="shared" si="15"/>
        <v>0.75</v>
      </c>
      <c r="BF12" s="325">
        <f t="shared" si="15"/>
        <v>0.75</v>
      </c>
      <c r="BG12" s="325">
        <f t="shared" si="15"/>
        <v>0.75</v>
      </c>
      <c r="BH12" s="325">
        <f t="shared" si="15"/>
        <v>0.7384615384615385</v>
      </c>
      <c r="BI12" s="325">
        <f t="shared" si="15"/>
        <v>0.7384615384615385</v>
      </c>
      <c r="BJ12" s="325">
        <f t="shared" si="15"/>
        <v>0.7384615384615385</v>
      </c>
      <c r="BK12" s="325">
        <f t="shared" si="15"/>
        <v>0.7384615384615385</v>
      </c>
      <c r="BL12" s="325">
        <f t="shared" si="15"/>
        <v>0.7384615384615385</v>
      </c>
      <c r="BM12" s="325">
        <f t="shared" si="15"/>
        <v>0.7384615384615385</v>
      </c>
      <c r="BN12" s="325">
        <f t="shared" si="15"/>
        <v>0.7466666666666667</v>
      </c>
      <c r="BO12" s="325">
        <f t="shared" si="15"/>
        <v>0.7466666666666667</v>
      </c>
      <c r="BP12" s="325">
        <f t="shared" si="15"/>
        <v>0.7466666666666667</v>
      </c>
      <c r="BQ12" s="325">
        <f t="shared" si="15"/>
        <v>0.7466666666666667</v>
      </c>
      <c r="BR12" s="325">
        <f t="shared" si="15"/>
        <v>0.7466666666666667</v>
      </c>
      <c r="BS12" s="325">
        <f t="shared" si="22"/>
        <v>0.7466666666666667</v>
      </c>
      <c r="BT12" s="325">
        <f t="shared" si="22"/>
        <v>0.75</v>
      </c>
      <c r="BU12" s="325">
        <f t="shared" si="22"/>
        <v>0.75</v>
      </c>
      <c r="BV12" s="325">
        <f t="shared" si="22"/>
        <v>0.75</v>
      </c>
      <c r="BW12" s="325">
        <f t="shared" si="22"/>
        <v>0.75</v>
      </c>
      <c r="BX12" s="325">
        <f t="shared" si="22"/>
        <v>0.75</v>
      </c>
      <c r="BY12" s="325">
        <f t="shared" si="22"/>
        <v>0.75</v>
      </c>
      <c r="BZ12" s="325">
        <f t="shared" si="22"/>
        <v>0.74117647058823533</v>
      </c>
      <c r="CA12" s="325">
        <f t="shared" si="22"/>
        <v>0.74117647058823533</v>
      </c>
      <c r="CB12" s="325">
        <f t="shared" si="22"/>
        <v>0.74117647058823533</v>
      </c>
      <c r="CC12" s="325">
        <f t="shared" si="22"/>
        <v>0.74117647058823533</v>
      </c>
      <c r="CD12" s="325">
        <f t="shared" si="22"/>
        <v>0.74117647058823533</v>
      </c>
      <c r="CE12" s="325">
        <f t="shared" si="22"/>
        <v>0.74117647058823533</v>
      </c>
      <c r="CF12" s="325">
        <f t="shared" si="22"/>
        <v>0.74444444444444446</v>
      </c>
      <c r="CG12" s="325">
        <f t="shared" si="22"/>
        <v>0.74444444444444446</v>
      </c>
      <c r="CH12" s="325">
        <f t="shared" si="22"/>
        <v>0.74444444444444446</v>
      </c>
      <c r="CI12" s="325">
        <f t="shared" si="22"/>
        <v>0.74444444444444446</v>
      </c>
      <c r="CJ12" s="325">
        <f t="shared" si="22"/>
        <v>0.74444444444444446</v>
      </c>
      <c r="CK12" s="325">
        <f t="shared" si="22"/>
        <v>0.74444444444444446</v>
      </c>
    </row>
    <row r="13" spans="2:89" x14ac:dyDescent="0.25">
      <c r="C13" t="s">
        <v>330</v>
      </c>
      <c r="F13" s="325">
        <f t="shared" si="23"/>
        <v>0.125</v>
      </c>
      <c r="G13" s="325">
        <f t="shared" si="23"/>
        <v>0.125</v>
      </c>
      <c r="H13" s="325">
        <f t="shared" si="23"/>
        <v>0.5</v>
      </c>
      <c r="I13" s="325">
        <f t="shared" si="23"/>
        <v>0.5</v>
      </c>
      <c r="J13" s="325">
        <f t="shared" si="23"/>
        <v>0.5</v>
      </c>
      <c r="K13" s="325">
        <f t="shared" si="23"/>
        <v>0.5</v>
      </c>
      <c r="L13" s="325">
        <f t="shared" ref="L13" si="30">+L6/L$3</f>
        <v>0.5</v>
      </c>
      <c r="M13" s="325">
        <f t="shared" si="23"/>
        <v>0.46666666666666667</v>
      </c>
      <c r="N13" s="325">
        <f t="shared" ref="N13" si="31">+N6/N$3</f>
        <v>0.46666666666666667</v>
      </c>
      <c r="O13" s="325">
        <f t="shared" si="23"/>
        <v>0.46666666666666667</v>
      </c>
      <c r="P13" s="325">
        <f t="shared" si="23"/>
        <v>0.46666666666666667</v>
      </c>
      <c r="Q13" s="325">
        <f t="shared" ref="Q13:R13" si="32">+Q6/Q$3</f>
        <v>0.46666666666666667</v>
      </c>
      <c r="R13" s="325">
        <f t="shared" si="32"/>
        <v>0.46666666666666667</v>
      </c>
      <c r="S13" s="325">
        <f t="shared" ref="S13:T13" si="33">+S6/S$3</f>
        <v>0.46666666666666667</v>
      </c>
      <c r="T13" s="325">
        <f t="shared" si="33"/>
        <v>0.46666666666666667</v>
      </c>
      <c r="U13" s="325">
        <f t="shared" ref="U13" si="34">+U6/U$3</f>
        <v>0.46666666666666667</v>
      </c>
      <c r="V13" s="325">
        <f t="shared" ref="V13:W13" si="35">+V6/V$3</f>
        <v>0.46666666666666667</v>
      </c>
      <c r="W13" s="625">
        <f t="shared" si="35"/>
        <v>0.46666666666666667</v>
      </c>
      <c r="X13" s="325">
        <f t="shared" si="15"/>
        <v>0.46666666666666667</v>
      </c>
      <c r="Y13" s="325">
        <f t="shared" si="15"/>
        <v>0.46666666666666667</v>
      </c>
      <c r="Z13" s="325">
        <f t="shared" si="15"/>
        <v>0.46666666666666667</v>
      </c>
      <c r="AA13" s="325">
        <f t="shared" si="15"/>
        <v>0.46666666666666667</v>
      </c>
      <c r="AB13" s="325">
        <f t="shared" si="15"/>
        <v>0.46666666666666667</v>
      </c>
      <c r="AC13" s="325">
        <f t="shared" si="15"/>
        <v>0.46666666666666667</v>
      </c>
      <c r="AD13" s="325">
        <f t="shared" si="15"/>
        <v>0.48571428571428571</v>
      </c>
      <c r="AE13" s="325">
        <f t="shared" si="15"/>
        <v>0.48571428571428571</v>
      </c>
      <c r="AF13" s="325">
        <f t="shared" si="15"/>
        <v>0.48571428571428571</v>
      </c>
      <c r="AG13" s="325">
        <f t="shared" si="15"/>
        <v>0.48571428571428571</v>
      </c>
      <c r="AH13" s="325">
        <f t="shared" si="15"/>
        <v>0.48571428571428571</v>
      </c>
      <c r="AI13" s="325">
        <f t="shared" si="15"/>
        <v>0.48571428571428571</v>
      </c>
      <c r="AJ13" s="325">
        <f t="shared" si="15"/>
        <v>0.5</v>
      </c>
      <c r="AK13" s="325">
        <f t="shared" si="15"/>
        <v>0.5</v>
      </c>
      <c r="AL13" s="325">
        <f t="shared" si="15"/>
        <v>0.5</v>
      </c>
      <c r="AM13" s="325">
        <f t="shared" si="15"/>
        <v>0.5</v>
      </c>
      <c r="AN13" s="325">
        <f t="shared" si="15"/>
        <v>0.5</v>
      </c>
      <c r="AO13" s="325">
        <f t="shared" si="15"/>
        <v>0.5</v>
      </c>
      <c r="AP13" s="325">
        <f t="shared" si="15"/>
        <v>0.5</v>
      </c>
      <c r="AQ13" s="325">
        <f t="shared" si="15"/>
        <v>0.5</v>
      </c>
      <c r="AR13" s="325">
        <f t="shared" si="15"/>
        <v>0.5</v>
      </c>
      <c r="AS13" s="325">
        <f t="shared" si="15"/>
        <v>0.5</v>
      </c>
      <c r="AT13" s="325">
        <f t="shared" si="15"/>
        <v>0.5</v>
      </c>
      <c r="AU13" s="325">
        <f t="shared" si="15"/>
        <v>0.5</v>
      </c>
      <c r="AV13" s="325">
        <f t="shared" si="15"/>
        <v>0.49090909090909091</v>
      </c>
      <c r="AW13" s="325">
        <f t="shared" si="15"/>
        <v>0.49090909090909091</v>
      </c>
      <c r="AX13" s="325">
        <f t="shared" si="15"/>
        <v>0.49090909090909091</v>
      </c>
      <c r="AY13" s="325">
        <f t="shared" si="15"/>
        <v>0.49090909090909091</v>
      </c>
      <c r="AZ13" s="325">
        <f t="shared" si="15"/>
        <v>0.49090909090909091</v>
      </c>
      <c r="BA13" s="325">
        <f t="shared" si="15"/>
        <v>0.49090909090909091</v>
      </c>
      <c r="BB13" s="325">
        <f t="shared" si="15"/>
        <v>0.5</v>
      </c>
      <c r="BC13" s="325">
        <f t="shared" si="15"/>
        <v>0.5</v>
      </c>
      <c r="BD13" s="325">
        <f t="shared" si="15"/>
        <v>0.5</v>
      </c>
      <c r="BE13" s="325">
        <f t="shared" si="15"/>
        <v>0.5</v>
      </c>
      <c r="BF13" s="325">
        <f t="shared" si="15"/>
        <v>0.5</v>
      </c>
      <c r="BG13" s="325">
        <f t="shared" si="15"/>
        <v>0.5</v>
      </c>
      <c r="BH13" s="325">
        <f t="shared" si="15"/>
        <v>0.49230769230769234</v>
      </c>
      <c r="BI13" s="325">
        <f t="shared" si="15"/>
        <v>0.49230769230769234</v>
      </c>
      <c r="BJ13" s="325">
        <f t="shared" si="15"/>
        <v>0.49230769230769234</v>
      </c>
      <c r="BK13" s="325">
        <f t="shared" si="15"/>
        <v>0.49230769230769234</v>
      </c>
      <c r="BL13" s="325">
        <f t="shared" si="15"/>
        <v>0.49230769230769234</v>
      </c>
      <c r="BM13" s="325">
        <f t="shared" si="15"/>
        <v>0.49230769230769234</v>
      </c>
      <c r="BN13" s="325">
        <f t="shared" si="15"/>
        <v>0.49333333333333335</v>
      </c>
      <c r="BO13" s="325">
        <f t="shared" si="15"/>
        <v>0.49333333333333335</v>
      </c>
      <c r="BP13" s="325">
        <f t="shared" si="15"/>
        <v>0.49333333333333335</v>
      </c>
      <c r="BQ13" s="325">
        <f t="shared" si="15"/>
        <v>0.49333333333333335</v>
      </c>
      <c r="BR13" s="325">
        <f t="shared" si="15"/>
        <v>0.49333333333333335</v>
      </c>
      <c r="BS13" s="325">
        <f t="shared" si="22"/>
        <v>0.49333333333333335</v>
      </c>
      <c r="BT13" s="325">
        <f t="shared" si="22"/>
        <v>0.5</v>
      </c>
      <c r="BU13" s="325">
        <f t="shared" si="22"/>
        <v>0.5</v>
      </c>
      <c r="BV13" s="325">
        <f t="shared" si="22"/>
        <v>0.5</v>
      </c>
      <c r="BW13" s="325">
        <f t="shared" si="22"/>
        <v>0.5</v>
      </c>
      <c r="BX13" s="325">
        <f t="shared" si="22"/>
        <v>0.5</v>
      </c>
      <c r="BY13" s="325">
        <f t="shared" si="22"/>
        <v>0.5</v>
      </c>
      <c r="BZ13" s="325">
        <f t="shared" si="22"/>
        <v>0.49411764705882355</v>
      </c>
      <c r="CA13" s="325">
        <f t="shared" si="22"/>
        <v>0.49411764705882355</v>
      </c>
      <c r="CB13" s="325">
        <f t="shared" si="22"/>
        <v>0.49411764705882355</v>
      </c>
      <c r="CC13" s="325">
        <f t="shared" si="22"/>
        <v>0.49411764705882355</v>
      </c>
      <c r="CD13" s="325">
        <f t="shared" si="22"/>
        <v>0.49411764705882355</v>
      </c>
      <c r="CE13" s="325">
        <f t="shared" si="22"/>
        <v>0.49411764705882355</v>
      </c>
      <c r="CF13" s="325">
        <f t="shared" si="22"/>
        <v>0.5</v>
      </c>
      <c r="CG13" s="325">
        <f t="shared" si="22"/>
        <v>0.5</v>
      </c>
      <c r="CH13" s="325">
        <f t="shared" si="22"/>
        <v>0.5</v>
      </c>
      <c r="CI13" s="325">
        <f t="shared" si="22"/>
        <v>0.5</v>
      </c>
      <c r="CJ13" s="325">
        <f t="shared" si="22"/>
        <v>0.5</v>
      </c>
      <c r="CK13" s="325">
        <f t="shared" si="22"/>
        <v>0.5</v>
      </c>
    </row>
    <row r="14" spans="2:89" x14ac:dyDescent="0.25">
      <c r="C14" t="s">
        <v>331</v>
      </c>
      <c r="F14" s="325">
        <f t="shared" si="23"/>
        <v>0.125</v>
      </c>
      <c r="G14" s="325">
        <f t="shared" si="15"/>
        <v>0.125</v>
      </c>
      <c r="H14" s="325">
        <f t="shared" si="15"/>
        <v>0.25</v>
      </c>
      <c r="I14" s="325">
        <f t="shared" si="15"/>
        <v>0.25</v>
      </c>
      <c r="J14" s="325">
        <f t="shared" si="15"/>
        <v>0.25</v>
      </c>
      <c r="K14" s="325">
        <f t="shared" si="15"/>
        <v>0.25</v>
      </c>
      <c r="L14" s="325">
        <f t="shared" si="16"/>
        <v>0.25</v>
      </c>
      <c r="M14" s="325">
        <f t="shared" si="15"/>
        <v>0.26666666666666666</v>
      </c>
      <c r="N14" s="325">
        <f t="shared" ref="N14" si="36">+N7/N$3</f>
        <v>0.26666666666666666</v>
      </c>
      <c r="O14" s="325">
        <f t="shared" si="15"/>
        <v>0.26666666666666666</v>
      </c>
      <c r="P14" s="325">
        <f t="shared" si="15"/>
        <v>0.26666666666666666</v>
      </c>
      <c r="Q14" s="325">
        <f t="shared" ref="Q14:R14" si="37">+Q7/Q$3</f>
        <v>0.26666666666666666</v>
      </c>
      <c r="R14" s="325">
        <f t="shared" si="37"/>
        <v>0.26666666666666666</v>
      </c>
      <c r="S14" s="325">
        <f t="shared" ref="S14:T14" si="38">+S7/S$3</f>
        <v>0.26666666666666666</v>
      </c>
      <c r="T14" s="325">
        <f t="shared" si="38"/>
        <v>0.26666666666666666</v>
      </c>
      <c r="U14" s="325">
        <f t="shared" ref="U14" si="39">+U7/U$3</f>
        <v>0.26666666666666666</v>
      </c>
      <c r="V14" s="325">
        <f t="shared" ref="V14:W14" si="40">+V7/V$3</f>
        <v>0.26666666666666666</v>
      </c>
      <c r="W14" s="625">
        <f t="shared" si="40"/>
        <v>0.26666666666666666</v>
      </c>
      <c r="X14" s="325">
        <f t="shared" si="15"/>
        <v>0.26666666666666666</v>
      </c>
      <c r="Y14" s="325">
        <f t="shared" si="15"/>
        <v>0.26666666666666666</v>
      </c>
      <c r="Z14" s="325">
        <f t="shared" si="15"/>
        <v>0.26666666666666666</v>
      </c>
      <c r="AA14" s="325">
        <f t="shared" si="15"/>
        <v>0.26666666666666666</v>
      </c>
      <c r="AB14" s="325">
        <f t="shared" si="15"/>
        <v>0.26666666666666666</v>
      </c>
      <c r="AC14" s="325">
        <f t="shared" si="15"/>
        <v>0.26666666666666666</v>
      </c>
      <c r="AD14" s="325">
        <f t="shared" si="15"/>
        <v>0.31428571428571428</v>
      </c>
      <c r="AE14" s="325">
        <f t="shared" si="15"/>
        <v>0.31428571428571428</v>
      </c>
      <c r="AF14" s="325">
        <f t="shared" si="15"/>
        <v>0.31428571428571428</v>
      </c>
      <c r="AG14" s="325">
        <f t="shared" si="15"/>
        <v>0.31428571428571428</v>
      </c>
      <c r="AH14" s="325">
        <f t="shared" si="15"/>
        <v>0.31428571428571428</v>
      </c>
      <c r="AI14" s="325">
        <f t="shared" si="15"/>
        <v>0.31428571428571428</v>
      </c>
      <c r="AJ14" s="325">
        <f t="shared" si="15"/>
        <v>0.32500000000000001</v>
      </c>
      <c r="AK14" s="325">
        <f t="shared" si="15"/>
        <v>0.32500000000000001</v>
      </c>
      <c r="AL14" s="325">
        <f t="shared" si="15"/>
        <v>0.32500000000000001</v>
      </c>
      <c r="AM14" s="325">
        <f t="shared" si="15"/>
        <v>0.32500000000000001</v>
      </c>
      <c r="AN14" s="325">
        <f t="shared" si="15"/>
        <v>0.32500000000000001</v>
      </c>
      <c r="AO14" s="325">
        <f t="shared" si="15"/>
        <v>0.32500000000000001</v>
      </c>
      <c r="AP14" s="325">
        <f t="shared" si="15"/>
        <v>0.32</v>
      </c>
      <c r="AQ14" s="325">
        <f t="shared" si="15"/>
        <v>0.32</v>
      </c>
      <c r="AR14" s="325">
        <f t="shared" si="15"/>
        <v>0.32</v>
      </c>
      <c r="AS14" s="325">
        <f t="shared" si="15"/>
        <v>0.32</v>
      </c>
      <c r="AT14" s="325">
        <f t="shared" si="15"/>
        <v>0.32</v>
      </c>
      <c r="AU14" s="325">
        <f t="shared" si="15"/>
        <v>0.32</v>
      </c>
      <c r="AV14" s="325">
        <f t="shared" si="15"/>
        <v>0.32727272727272727</v>
      </c>
      <c r="AW14" s="325">
        <f t="shared" si="15"/>
        <v>0.32727272727272727</v>
      </c>
      <c r="AX14" s="325">
        <f t="shared" si="15"/>
        <v>0.32727272727272727</v>
      </c>
      <c r="AY14" s="325">
        <f t="shared" si="15"/>
        <v>0.32727272727272727</v>
      </c>
      <c r="AZ14" s="325">
        <f t="shared" si="15"/>
        <v>0.32727272727272727</v>
      </c>
      <c r="BA14" s="325">
        <f t="shared" si="15"/>
        <v>0.32727272727272727</v>
      </c>
      <c r="BB14" s="325">
        <f t="shared" si="15"/>
        <v>0.31666666666666665</v>
      </c>
      <c r="BC14" s="325">
        <f t="shared" si="15"/>
        <v>0.31666666666666665</v>
      </c>
      <c r="BD14" s="325">
        <f t="shared" si="15"/>
        <v>0.31666666666666665</v>
      </c>
      <c r="BE14" s="325">
        <f t="shared" si="15"/>
        <v>0.31666666666666665</v>
      </c>
      <c r="BF14" s="325">
        <f t="shared" si="15"/>
        <v>0.31666666666666665</v>
      </c>
      <c r="BG14" s="325">
        <f t="shared" si="15"/>
        <v>0.31666666666666665</v>
      </c>
      <c r="BH14" s="325">
        <f t="shared" si="15"/>
        <v>0.32307692307692309</v>
      </c>
      <c r="BI14" s="325">
        <f t="shared" si="15"/>
        <v>0.32307692307692309</v>
      </c>
      <c r="BJ14" s="325">
        <f t="shared" si="15"/>
        <v>0.32307692307692309</v>
      </c>
      <c r="BK14" s="325">
        <f t="shared" si="15"/>
        <v>0.32307692307692309</v>
      </c>
      <c r="BL14" s="325">
        <f t="shared" si="15"/>
        <v>0.32307692307692309</v>
      </c>
      <c r="BM14" s="325">
        <f t="shared" si="15"/>
        <v>0.32307692307692309</v>
      </c>
      <c r="BN14" s="325">
        <f t="shared" si="15"/>
        <v>0.32</v>
      </c>
      <c r="BO14" s="325">
        <f t="shared" si="15"/>
        <v>0.32</v>
      </c>
      <c r="BP14" s="325">
        <f t="shared" si="15"/>
        <v>0.32</v>
      </c>
      <c r="BQ14" s="325">
        <f t="shared" si="15"/>
        <v>0.32</v>
      </c>
      <c r="BR14" s="325">
        <f t="shared" si="15"/>
        <v>0.32</v>
      </c>
      <c r="BS14" s="325">
        <f t="shared" si="22"/>
        <v>0.32</v>
      </c>
      <c r="BT14" s="325">
        <f t="shared" si="22"/>
        <v>0.32500000000000001</v>
      </c>
      <c r="BU14" s="325">
        <f t="shared" si="22"/>
        <v>0.32500000000000001</v>
      </c>
      <c r="BV14" s="325">
        <f t="shared" si="22"/>
        <v>0.32500000000000001</v>
      </c>
      <c r="BW14" s="325">
        <f t="shared" si="22"/>
        <v>0.32500000000000001</v>
      </c>
      <c r="BX14" s="325">
        <f t="shared" si="22"/>
        <v>0.32500000000000001</v>
      </c>
      <c r="BY14" s="325">
        <f t="shared" si="22"/>
        <v>0.32500000000000001</v>
      </c>
      <c r="BZ14" s="325">
        <f t="shared" si="22"/>
        <v>0.32941176470588235</v>
      </c>
      <c r="CA14" s="325">
        <f t="shared" si="22"/>
        <v>0.32941176470588235</v>
      </c>
      <c r="CB14" s="325">
        <f t="shared" si="22"/>
        <v>0.32941176470588235</v>
      </c>
      <c r="CC14" s="325">
        <f t="shared" si="22"/>
        <v>0.32941176470588235</v>
      </c>
      <c r="CD14" s="325">
        <f t="shared" si="22"/>
        <v>0.32941176470588235</v>
      </c>
      <c r="CE14" s="325">
        <f t="shared" si="22"/>
        <v>0.32941176470588235</v>
      </c>
      <c r="CF14" s="325">
        <f t="shared" si="22"/>
        <v>0.32222222222222224</v>
      </c>
      <c r="CG14" s="325">
        <f t="shared" si="22"/>
        <v>0.32222222222222224</v>
      </c>
      <c r="CH14" s="325">
        <f t="shared" si="22"/>
        <v>0.32222222222222224</v>
      </c>
      <c r="CI14" s="325">
        <f t="shared" si="22"/>
        <v>0.32222222222222224</v>
      </c>
      <c r="CJ14" s="325">
        <f t="shared" si="22"/>
        <v>0.32222222222222224</v>
      </c>
      <c r="CK14" s="325">
        <f t="shared" si="22"/>
        <v>0.32222222222222224</v>
      </c>
    </row>
    <row r="15" spans="2:89" x14ac:dyDescent="0.25">
      <c r="C15" t="s">
        <v>333</v>
      </c>
      <c r="F15" s="325">
        <f t="shared" si="23"/>
        <v>0</v>
      </c>
      <c r="G15" s="325">
        <f t="shared" si="15"/>
        <v>0</v>
      </c>
      <c r="H15" s="325">
        <f t="shared" si="15"/>
        <v>0.125</v>
      </c>
      <c r="I15" s="325">
        <f t="shared" si="15"/>
        <v>0</v>
      </c>
      <c r="J15" s="325">
        <f t="shared" si="15"/>
        <v>0.25</v>
      </c>
      <c r="K15" s="325">
        <f t="shared" si="15"/>
        <v>0</v>
      </c>
      <c r="L15" s="325">
        <f t="shared" si="16"/>
        <v>0.125</v>
      </c>
      <c r="M15" s="325">
        <f t="shared" si="15"/>
        <v>0.26666666666666666</v>
      </c>
      <c r="N15" s="325">
        <f t="shared" ref="N15" si="41">+N8/N$3</f>
        <v>0.13333333333333333</v>
      </c>
      <c r="O15" s="325">
        <f t="shared" si="15"/>
        <v>0.2</v>
      </c>
      <c r="P15" s="325">
        <f t="shared" si="15"/>
        <v>6.6666666666666666E-2</v>
      </c>
      <c r="Q15" s="325">
        <f t="shared" ref="Q15:R15" si="42">+Q8/Q$3</f>
        <v>6.6666666666666666E-2</v>
      </c>
      <c r="R15" s="325">
        <f t="shared" si="42"/>
        <v>6.6666666666666666E-2</v>
      </c>
      <c r="S15" s="325">
        <f t="shared" ref="S15:T15" si="43">+S8/S$3</f>
        <v>0</v>
      </c>
      <c r="T15" s="325">
        <f t="shared" si="43"/>
        <v>6.6666666666666666E-2</v>
      </c>
      <c r="U15" s="325">
        <f t="shared" ref="U15" si="44">+U8/U$3</f>
        <v>6.6666666666666666E-2</v>
      </c>
      <c r="V15" s="325">
        <f t="shared" ref="V15:W15" si="45">+V8/V$3</f>
        <v>6.6666666666666666E-2</v>
      </c>
      <c r="W15" s="625">
        <f t="shared" si="45"/>
        <v>6.6666666666666666E-2</v>
      </c>
      <c r="X15" s="325">
        <f t="shared" si="15"/>
        <v>6.6666666666666666E-2</v>
      </c>
      <c r="Y15" s="325">
        <f t="shared" si="15"/>
        <v>6.6666666666666666E-2</v>
      </c>
      <c r="Z15" s="325">
        <f t="shared" si="15"/>
        <v>6.6666666666666666E-2</v>
      </c>
      <c r="AA15" s="325">
        <f t="shared" si="15"/>
        <v>6.6666666666666666E-2</v>
      </c>
      <c r="AB15" s="325">
        <f t="shared" si="15"/>
        <v>6.6666666666666666E-2</v>
      </c>
      <c r="AC15" s="325">
        <f t="shared" si="15"/>
        <v>6.6666666666666666E-2</v>
      </c>
      <c r="AD15" s="325">
        <f t="shared" si="15"/>
        <v>8.5714285714285715E-2</v>
      </c>
      <c r="AE15" s="325">
        <f t="shared" si="15"/>
        <v>8.5714285714285715E-2</v>
      </c>
      <c r="AF15" s="325">
        <f t="shared" si="15"/>
        <v>8.5714285714285715E-2</v>
      </c>
      <c r="AG15" s="325">
        <f t="shared" si="15"/>
        <v>8.5714285714285715E-2</v>
      </c>
      <c r="AH15" s="325">
        <f t="shared" si="15"/>
        <v>8.5714285714285715E-2</v>
      </c>
      <c r="AI15" s="325">
        <f t="shared" si="15"/>
        <v>8.5714285714285715E-2</v>
      </c>
      <c r="AJ15" s="325">
        <f t="shared" ref="AJ15:BR15" si="46">+AJ8/AJ$3</f>
        <v>0.1</v>
      </c>
      <c r="AK15" s="325">
        <f t="shared" si="46"/>
        <v>0.1</v>
      </c>
      <c r="AL15" s="325">
        <f t="shared" si="46"/>
        <v>0.1</v>
      </c>
      <c r="AM15" s="325">
        <f t="shared" si="46"/>
        <v>0.1</v>
      </c>
      <c r="AN15" s="325">
        <f t="shared" si="46"/>
        <v>0.1</v>
      </c>
      <c r="AO15" s="325">
        <f t="shared" si="46"/>
        <v>0.1</v>
      </c>
      <c r="AP15" s="325">
        <f t="shared" si="46"/>
        <v>0.1</v>
      </c>
      <c r="AQ15" s="325">
        <f t="shared" si="46"/>
        <v>0.1</v>
      </c>
      <c r="AR15" s="325">
        <f t="shared" si="46"/>
        <v>0.1</v>
      </c>
      <c r="AS15" s="325">
        <f t="shared" si="46"/>
        <v>0.1</v>
      </c>
      <c r="AT15" s="325">
        <f t="shared" si="46"/>
        <v>0.1</v>
      </c>
      <c r="AU15" s="325">
        <f t="shared" si="46"/>
        <v>0.1</v>
      </c>
      <c r="AV15" s="325">
        <f t="shared" si="46"/>
        <v>9.0909090909090912E-2</v>
      </c>
      <c r="AW15" s="325">
        <f t="shared" si="46"/>
        <v>9.0909090909090912E-2</v>
      </c>
      <c r="AX15" s="325">
        <f t="shared" si="46"/>
        <v>9.0909090909090912E-2</v>
      </c>
      <c r="AY15" s="325">
        <f t="shared" si="46"/>
        <v>9.0909090909090912E-2</v>
      </c>
      <c r="AZ15" s="325">
        <f t="shared" si="46"/>
        <v>9.0909090909090912E-2</v>
      </c>
      <c r="BA15" s="325">
        <f t="shared" si="46"/>
        <v>9.0909090909090912E-2</v>
      </c>
      <c r="BB15" s="325">
        <f t="shared" si="46"/>
        <v>0.1</v>
      </c>
      <c r="BC15" s="325">
        <f t="shared" si="46"/>
        <v>0.1</v>
      </c>
      <c r="BD15" s="325">
        <f t="shared" si="46"/>
        <v>0.1</v>
      </c>
      <c r="BE15" s="325">
        <f t="shared" si="46"/>
        <v>0.1</v>
      </c>
      <c r="BF15" s="325">
        <f t="shared" si="46"/>
        <v>0.1</v>
      </c>
      <c r="BG15" s="325">
        <f t="shared" si="46"/>
        <v>0.1</v>
      </c>
      <c r="BH15" s="325">
        <f t="shared" si="46"/>
        <v>9.2307692307692313E-2</v>
      </c>
      <c r="BI15" s="325">
        <f t="shared" si="46"/>
        <v>9.2307692307692313E-2</v>
      </c>
      <c r="BJ15" s="325">
        <f t="shared" si="46"/>
        <v>9.2307692307692313E-2</v>
      </c>
      <c r="BK15" s="325">
        <f t="shared" si="46"/>
        <v>9.2307692307692313E-2</v>
      </c>
      <c r="BL15" s="325">
        <f t="shared" si="46"/>
        <v>9.2307692307692313E-2</v>
      </c>
      <c r="BM15" s="325">
        <f t="shared" si="46"/>
        <v>9.2307692307692313E-2</v>
      </c>
      <c r="BN15" s="325">
        <f t="shared" si="46"/>
        <v>9.3333333333333338E-2</v>
      </c>
      <c r="BO15" s="325">
        <f t="shared" si="46"/>
        <v>9.3333333333333338E-2</v>
      </c>
      <c r="BP15" s="325">
        <f t="shared" si="46"/>
        <v>9.3333333333333338E-2</v>
      </c>
      <c r="BQ15" s="325">
        <f t="shared" si="46"/>
        <v>9.3333333333333338E-2</v>
      </c>
      <c r="BR15" s="325">
        <f t="shared" si="46"/>
        <v>9.3333333333333338E-2</v>
      </c>
      <c r="BS15" s="325">
        <f t="shared" si="22"/>
        <v>9.3333333333333338E-2</v>
      </c>
      <c r="BT15" s="325">
        <f t="shared" si="22"/>
        <v>0.1</v>
      </c>
      <c r="BU15" s="325">
        <f t="shared" si="22"/>
        <v>0.1</v>
      </c>
      <c r="BV15" s="325">
        <f t="shared" si="22"/>
        <v>0.1</v>
      </c>
      <c r="BW15" s="325">
        <f t="shared" si="22"/>
        <v>0.1</v>
      </c>
      <c r="BX15" s="325">
        <f t="shared" si="22"/>
        <v>0.1</v>
      </c>
      <c r="BY15" s="325">
        <f t="shared" si="22"/>
        <v>0.1</v>
      </c>
      <c r="BZ15" s="325">
        <f t="shared" si="22"/>
        <v>9.4117647058823528E-2</v>
      </c>
      <c r="CA15" s="325">
        <f t="shared" si="22"/>
        <v>9.4117647058823528E-2</v>
      </c>
      <c r="CB15" s="325">
        <f t="shared" si="22"/>
        <v>9.4117647058823528E-2</v>
      </c>
      <c r="CC15" s="325">
        <f t="shared" si="22"/>
        <v>9.4117647058823528E-2</v>
      </c>
      <c r="CD15" s="325">
        <f t="shared" si="22"/>
        <v>9.4117647058823528E-2</v>
      </c>
      <c r="CE15" s="325">
        <f t="shared" si="22"/>
        <v>9.4117647058823528E-2</v>
      </c>
      <c r="CF15" s="325">
        <f t="shared" si="22"/>
        <v>0.1</v>
      </c>
      <c r="CG15" s="325">
        <f t="shared" si="22"/>
        <v>0.1</v>
      </c>
      <c r="CH15" s="325">
        <f t="shared" si="22"/>
        <v>0.1</v>
      </c>
      <c r="CI15" s="325">
        <f t="shared" si="22"/>
        <v>0.1</v>
      </c>
      <c r="CJ15" s="325">
        <f t="shared" si="22"/>
        <v>0.1</v>
      </c>
      <c r="CK15" s="325">
        <f t="shared" si="22"/>
        <v>0.1</v>
      </c>
    </row>
    <row r="16" spans="2:89" x14ac:dyDescent="0.25"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626"/>
      <c r="X16" s="326"/>
      <c r="Y16" s="326"/>
      <c r="Z16" s="326"/>
      <c r="AA16" s="326"/>
      <c r="AB16" s="326"/>
      <c r="AC16" s="326"/>
      <c r="AD16" s="326"/>
      <c r="AE16" s="326"/>
      <c r="AF16" s="326"/>
      <c r="AG16" s="326"/>
      <c r="AH16" s="326"/>
      <c r="AI16" s="326"/>
      <c r="AJ16" s="326"/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  <c r="AZ16" s="326"/>
      <c r="BA16" s="326"/>
      <c r="BB16" s="326"/>
      <c r="BC16" s="326"/>
      <c r="BD16" s="326"/>
      <c r="BE16" s="326"/>
      <c r="BF16" s="326"/>
      <c r="BG16" s="326"/>
      <c r="BH16" s="326"/>
      <c r="BI16" s="326"/>
      <c r="BJ16" s="326"/>
      <c r="BK16" s="326"/>
      <c r="BL16" s="326"/>
      <c r="BM16" s="326"/>
      <c r="BN16" s="326"/>
      <c r="BO16" s="326"/>
      <c r="BP16" s="326"/>
      <c r="BQ16" s="326"/>
      <c r="BR16" s="326"/>
      <c r="BS16" s="326"/>
      <c r="BT16" s="326"/>
      <c r="BU16" s="326"/>
      <c r="BV16" s="326"/>
      <c r="BW16" s="326"/>
      <c r="BX16" s="326"/>
      <c r="BY16" s="326"/>
      <c r="BZ16" s="326"/>
      <c r="CA16" s="326"/>
      <c r="CB16" s="326"/>
      <c r="CC16" s="326"/>
      <c r="CD16" s="326"/>
      <c r="CE16" s="326"/>
      <c r="CF16" s="326"/>
      <c r="CG16" s="326"/>
      <c r="CH16" s="326"/>
      <c r="CI16" s="326"/>
      <c r="CJ16" s="326"/>
      <c r="CK16" s="326"/>
    </row>
    <row r="17" spans="3:89" x14ac:dyDescent="0.25">
      <c r="C17" s="302" t="s">
        <v>479</v>
      </c>
      <c r="F17" s="320">
        <v>0</v>
      </c>
      <c r="G17" s="320">
        <v>0</v>
      </c>
      <c r="H17" s="320">
        <v>1</v>
      </c>
      <c r="I17" s="320">
        <v>0</v>
      </c>
      <c r="J17" s="320">
        <v>2</v>
      </c>
      <c r="K17" s="320">
        <v>0</v>
      </c>
      <c r="L17" s="320">
        <v>1</v>
      </c>
      <c r="M17" s="320">
        <v>4</v>
      </c>
      <c r="N17" s="320">
        <v>2</v>
      </c>
      <c r="O17" s="320">
        <v>3</v>
      </c>
      <c r="P17" s="320">
        <v>1</v>
      </c>
      <c r="Q17" s="320">
        <v>1</v>
      </c>
      <c r="R17" s="320">
        <v>1</v>
      </c>
      <c r="S17" s="320">
        <v>0</v>
      </c>
      <c r="T17" s="320">
        <v>1</v>
      </c>
      <c r="U17" s="320">
        <v>0</v>
      </c>
      <c r="V17" s="320">
        <f t="shared" ref="V17" si="47">+IF(SUM(T17:U17)&lt;=0, V8, 0)</f>
        <v>0</v>
      </c>
      <c r="W17" s="745">
        <v>0</v>
      </c>
      <c r="X17" s="327">
        <v>1</v>
      </c>
      <c r="Y17" s="327">
        <f t="shared" ref="Y17:CB17" si="48">+IF(SUM(W17:X17)&lt;=0, Y8, 0)</f>
        <v>0</v>
      </c>
      <c r="Z17" s="327">
        <f t="shared" si="48"/>
        <v>0</v>
      </c>
      <c r="AA17" s="327">
        <f t="shared" si="48"/>
        <v>1</v>
      </c>
      <c r="AB17" s="327">
        <f t="shared" si="48"/>
        <v>0</v>
      </c>
      <c r="AC17" s="327">
        <f t="shared" si="48"/>
        <v>0</v>
      </c>
      <c r="AD17" s="327">
        <f t="shared" si="48"/>
        <v>3</v>
      </c>
      <c r="AE17" s="327">
        <f t="shared" si="48"/>
        <v>0</v>
      </c>
      <c r="AF17" s="327">
        <f t="shared" si="48"/>
        <v>0</v>
      </c>
      <c r="AG17" s="327">
        <f t="shared" si="48"/>
        <v>3</v>
      </c>
      <c r="AH17" s="327">
        <f t="shared" si="48"/>
        <v>0</v>
      </c>
      <c r="AI17" s="327">
        <f t="shared" si="48"/>
        <v>0</v>
      </c>
      <c r="AJ17" s="327">
        <f t="shared" si="48"/>
        <v>4</v>
      </c>
      <c r="AK17" s="327">
        <f t="shared" si="48"/>
        <v>0</v>
      </c>
      <c r="AL17" s="327">
        <f t="shared" si="48"/>
        <v>0</v>
      </c>
      <c r="AM17" s="327">
        <f t="shared" si="48"/>
        <v>4</v>
      </c>
      <c r="AN17" s="327">
        <f t="shared" si="48"/>
        <v>0</v>
      </c>
      <c r="AO17" s="327">
        <f t="shared" si="48"/>
        <v>0</v>
      </c>
      <c r="AP17" s="327">
        <f t="shared" si="48"/>
        <v>5</v>
      </c>
      <c r="AQ17" s="327">
        <f t="shared" si="48"/>
        <v>0</v>
      </c>
      <c r="AR17" s="327">
        <f t="shared" si="48"/>
        <v>0</v>
      </c>
      <c r="AS17" s="327">
        <f t="shared" si="48"/>
        <v>5</v>
      </c>
      <c r="AT17" s="327">
        <f t="shared" si="48"/>
        <v>0</v>
      </c>
      <c r="AU17" s="327">
        <f t="shared" si="48"/>
        <v>0</v>
      </c>
      <c r="AV17" s="327">
        <f t="shared" si="48"/>
        <v>5</v>
      </c>
      <c r="AW17" s="327">
        <f t="shared" si="48"/>
        <v>0</v>
      </c>
      <c r="AX17" s="327">
        <f t="shared" si="48"/>
        <v>0</v>
      </c>
      <c r="AY17" s="327">
        <f t="shared" si="48"/>
        <v>5</v>
      </c>
      <c r="AZ17" s="327">
        <f t="shared" si="48"/>
        <v>0</v>
      </c>
      <c r="BA17" s="327">
        <f t="shared" si="48"/>
        <v>0</v>
      </c>
      <c r="BB17" s="327">
        <f t="shared" si="48"/>
        <v>6</v>
      </c>
      <c r="BC17" s="327">
        <f t="shared" si="48"/>
        <v>0</v>
      </c>
      <c r="BD17" s="327">
        <f t="shared" si="48"/>
        <v>0</v>
      </c>
      <c r="BE17" s="327">
        <f t="shared" si="48"/>
        <v>6</v>
      </c>
      <c r="BF17" s="327">
        <f t="shared" si="48"/>
        <v>0</v>
      </c>
      <c r="BG17" s="327">
        <f t="shared" si="48"/>
        <v>0</v>
      </c>
      <c r="BH17" s="327">
        <f t="shared" si="48"/>
        <v>6</v>
      </c>
      <c r="BI17" s="327">
        <f t="shared" si="48"/>
        <v>0</v>
      </c>
      <c r="BJ17" s="327">
        <f t="shared" si="48"/>
        <v>0</v>
      </c>
      <c r="BK17" s="327">
        <f t="shared" si="48"/>
        <v>6</v>
      </c>
      <c r="BL17" s="327">
        <f t="shared" si="48"/>
        <v>0</v>
      </c>
      <c r="BM17" s="327">
        <f t="shared" si="48"/>
        <v>0</v>
      </c>
      <c r="BN17" s="327">
        <f t="shared" si="48"/>
        <v>7</v>
      </c>
      <c r="BO17" s="327">
        <f t="shared" si="48"/>
        <v>0</v>
      </c>
      <c r="BP17" s="327">
        <f t="shared" si="48"/>
        <v>0</v>
      </c>
      <c r="BQ17" s="327">
        <f t="shared" si="48"/>
        <v>7</v>
      </c>
      <c r="BR17" s="327">
        <f t="shared" si="48"/>
        <v>0</v>
      </c>
      <c r="BS17" s="327">
        <f t="shared" si="48"/>
        <v>0</v>
      </c>
      <c r="BT17" s="327">
        <f t="shared" si="48"/>
        <v>8</v>
      </c>
      <c r="BU17" s="327">
        <f t="shared" si="48"/>
        <v>0</v>
      </c>
      <c r="BV17" s="327">
        <f t="shared" si="48"/>
        <v>0</v>
      </c>
      <c r="BW17" s="327">
        <f t="shared" si="48"/>
        <v>8</v>
      </c>
      <c r="BX17" s="327">
        <f t="shared" si="48"/>
        <v>0</v>
      </c>
      <c r="BY17" s="327">
        <f t="shared" si="48"/>
        <v>0</v>
      </c>
      <c r="BZ17" s="327">
        <f t="shared" si="48"/>
        <v>8</v>
      </c>
      <c r="CA17" s="327">
        <f t="shared" si="48"/>
        <v>0</v>
      </c>
      <c r="CB17" s="327">
        <f t="shared" si="48"/>
        <v>0</v>
      </c>
      <c r="CC17" s="327">
        <f t="shared" ref="CC17:CK17" si="49">+IF(SUM(CA17:CB17)&lt;=0, CC8, 0)</f>
        <v>8</v>
      </c>
      <c r="CD17" s="327">
        <f t="shared" si="49"/>
        <v>0</v>
      </c>
      <c r="CE17" s="327">
        <f t="shared" si="49"/>
        <v>0</v>
      </c>
      <c r="CF17" s="327">
        <f t="shared" si="49"/>
        <v>9</v>
      </c>
      <c r="CG17" s="327">
        <f t="shared" si="49"/>
        <v>0</v>
      </c>
      <c r="CH17" s="327">
        <f t="shared" si="49"/>
        <v>0</v>
      </c>
      <c r="CI17" s="327">
        <f t="shared" si="49"/>
        <v>9</v>
      </c>
      <c r="CJ17" s="327">
        <f t="shared" si="49"/>
        <v>0</v>
      </c>
      <c r="CK17" s="327">
        <f t="shared" si="49"/>
        <v>0</v>
      </c>
    </row>
    <row r="18" spans="3:89" x14ac:dyDescent="0.25">
      <c r="D18" s="328" t="s">
        <v>334</v>
      </c>
      <c r="E18" s="3"/>
      <c r="F18" s="329">
        <f t="shared" ref="F18:AK18" si="50">SUM(F17:F17)</f>
        <v>0</v>
      </c>
      <c r="G18" s="329">
        <f t="shared" si="50"/>
        <v>0</v>
      </c>
      <c r="H18" s="329">
        <f t="shared" si="50"/>
        <v>1</v>
      </c>
      <c r="I18" s="329">
        <f t="shared" si="50"/>
        <v>0</v>
      </c>
      <c r="J18" s="329">
        <f t="shared" si="50"/>
        <v>2</v>
      </c>
      <c r="K18" s="329">
        <f t="shared" si="50"/>
        <v>0</v>
      </c>
      <c r="L18" s="329">
        <f t="shared" ref="L18" si="51">SUM(L17:L17)</f>
        <v>1</v>
      </c>
      <c r="M18" s="329">
        <f t="shared" si="50"/>
        <v>4</v>
      </c>
      <c r="N18" s="329">
        <f t="shared" ref="N18" si="52">SUM(N17:N17)</f>
        <v>2</v>
      </c>
      <c r="O18" s="329">
        <f t="shared" si="50"/>
        <v>3</v>
      </c>
      <c r="P18" s="329">
        <f t="shared" si="50"/>
        <v>1</v>
      </c>
      <c r="Q18" s="329">
        <f t="shared" ref="Q18:R18" si="53">SUM(Q17:Q17)</f>
        <v>1</v>
      </c>
      <c r="R18" s="329">
        <f t="shared" si="53"/>
        <v>1</v>
      </c>
      <c r="S18" s="329">
        <f t="shared" ref="S18:T18" si="54">SUM(S17:S17)</f>
        <v>0</v>
      </c>
      <c r="T18" s="329">
        <f t="shared" si="54"/>
        <v>1</v>
      </c>
      <c r="U18" s="329">
        <f t="shared" ref="U18" si="55">SUM(U17:U17)</f>
        <v>0</v>
      </c>
      <c r="V18" s="329">
        <f t="shared" ref="V18:W18" si="56">SUM(V17:V17)</f>
        <v>0</v>
      </c>
      <c r="W18" s="627">
        <f t="shared" si="56"/>
        <v>0</v>
      </c>
      <c r="X18" s="329">
        <f t="shared" si="50"/>
        <v>1</v>
      </c>
      <c r="Y18" s="329">
        <f t="shared" si="50"/>
        <v>0</v>
      </c>
      <c r="Z18" s="329">
        <f t="shared" si="50"/>
        <v>0</v>
      </c>
      <c r="AA18" s="329">
        <f t="shared" si="50"/>
        <v>1</v>
      </c>
      <c r="AB18" s="329">
        <f t="shared" si="50"/>
        <v>0</v>
      </c>
      <c r="AC18" s="329">
        <f t="shared" si="50"/>
        <v>0</v>
      </c>
      <c r="AD18" s="329">
        <f t="shared" si="50"/>
        <v>3</v>
      </c>
      <c r="AE18" s="329">
        <f t="shared" si="50"/>
        <v>0</v>
      </c>
      <c r="AF18" s="329">
        <f t="shared" si="50"/>
        <v>0</v>
      </c>
      <c r="AG18" s="329">
        <f t="shared" si="50"/>
        <v>3</v>
      </c>
      <c r="AH18" s="329">
        <f t="shared" si="50"/>
        <v>0</v>
      </c>
      <c r="AI18" s="329">
        <f t="shared" si="50"/>
        <v>0</v>
      </c>
      <c r="AJ18" s="329">
        <f t="shared" si="50"/>
        <v>4</v>
      </c>
      <c r="AK18" s="329">
        <f t="shared" si="50"/>
        <v>0</v>
      </c>
      <c r="AL18" s="329">
        <f t="shared" ref="AL18:BQ18" si="57">SUM(AL17:AL17)</f>
        <v>0</v>
      </c>
      <c r="AM18" s="329">
        <f t="shared" si="57"/>
        <v>4</v>
      </c>
      <c r="AN18" s="329">
        <f t="shared" si="57"/>
        <v>0</v>
      </c>
      <c r="AO18" s="329">
        <f t="shared" si="57"/>
        <v>0</v>
      </c>
      <c r="AP18" s="329">
        <f t="shared" si="57"/>
        <v>5</v>
      </c>
      <c r="AQ18" s="329">
        <f t="shared" si="57"/>
        <v>0</v>
      </c>
      <c r="AR18" s="329">
        <f t="shared" si="57"/>
        <v>0</v>
      </c>
      <c r="AS18" s="329">
        <f t="shared" si="57"/>
        <v>5</v>
      </c>
      <c r="AT18" s="329">
        <f t="shared" si="57"/>
        <v>0</v>
      </c>
      <c r="AU18" s="329">
        <f t="shared" si="57"/>
        <v>0</v>
      </c>
      <c r="AV18" s="329">
        <f t="shared" si="57"/>
        <v>5</v>
      </c>
      <c r="AW18" s="329">
        <f t="shared" si="57"/>
        <v>0</v>
      </c>
      <c r="AX18" s="329">
        <f t="shared" si="57"/>
        <v>0</v>
      </c>
      <c r="AY18" s="329">
        <f t="shared" si="57"/>
        <v>5</v>
      </c>
      <c r="AZ18" s="329">
        <f t="shared" si="57"/>
        <v>0</v>
      </c>
      <c r="BA18" s="329">
        <f t="shared" si="57"/>
        <v>0</v>
      </c>
      <c r="BB18" s="329">
        <f t="shared" si="57"/>
        <v>6</v>
      </c>
      <c r="BC18" s="329">
        <f t="shared" si="57"/>
        <v>0</v>
      </c>
      <c r="BD18" s="329">
        <f t="shared" si="57"/>
        <v>0</v>
      </c>
      <c r="BE18" s="329">
        <f t="shared" si="57"/>
        <v>6</v>
      </c>
      <c r="BF18" s="329">
        <f t="shared" si="57"/>
        <v>0</v>
      </c>
      <c r="BG18" s="329">
        <f t="shared" si="57"/>
        <v>0</v>
      </c>
      <c r="BH18" s="329">
        <f t="shared" si="57"/>
        <v>6</v>
      </c>
      <c r="BI18" s="329">
        <f t="shared" si="57"/>
        <v>0</v>
      </c>
      <c r="BJ18" s="329">
        <f t="shared" si="57"/>
        <v>0</v>
      </c>
      <c r="BK18" s="329">
        <f t="shared" si="57"/>
        <v>6</v>
      </c>
      <c r="BL18" s="329">
        <f t="shared" si="57"/>
        <v>0</v>
      </c>
      <c r="BM18" s="329">
        <f t="shared" si="57"/>
        <v>0</v>
      </c>
      <c r="BN18" s="329">
        <f t="shared" si="57"/>
        <v>7</v>
      </c>
      <c r="BO18" s="329">
        <f t="shared" si="57"/>
        <v>0</v>
      </c>
      <c r="BP18" s="329">
        <f t="shared" si="57"/>
        <v>0</v>
      </c>
      <c r="BQ18" s="329">
        <f t="shared" si="57"/>
        <v>7</v>
      </c>
      <c r="BR18" s="329">
        <f t="shared" ref="BR18:CK18" si="58">SUM(BR17:BR17)</f>
        <v>0</v>
      </c>
      <c r="BS18" s="329">
        <f t="shared" si="58"/>
        <v>0</v>
      </c>
      <c r="BT18" s="329">
        <f t="shared" si="58"/>
        <v>8</v>
      </c>
      <c r="BU18" s="329">
        <f t="shared" si="58"/>
        <v>0</v>
      </c>
      <c r="BV18" s="329">
        <f t="shared" si="58"/>
        <v>0</v>
      </c>
      <c r="BW18" s="329">
        <f t="shared" si="58"/>
        <v>8</v>
      </c>
      <c r="BX18" s="329">
        <f t="shared" si="58"/>
        <v>0</v>
      </c>
      <c r="BY18" s="329">
        <f t="shared" si="58"/>
        <v>0</v>
      </c>
      <c r="BZ18" s="329">
        <f t="shared" si="58"/>
        <v>8</v>
      </c>
      <c r="CA18" s="329">
        <f t="shared" si="58"/>
        <v>0</v>
      </c>
      <c r="CB18" s="329">
        <f t="shared" si="58"/>
        <v>0</v>
      </c>
      <c r="CC18" s="329">
        <f t="shared" si="58"/>
        <v>8</v>
      </c>
      <c r="CD18" s="329">
        <f t="shared" si="58"/>
        <v>0</v>
      </c>
      <c r="CE18" s="329">
        <f t="shared" si="58"/>
        <v>0</v>
      </c>
      <c r="CF18" s="329">
        <f t="shared" si="58"/>
        <v>9</v>
      </c>
      <c r="CG18" s="329">
        <f t="shared" si="58"/>
        <v>0</v>
      </c>
      <c r="CH18" s="329">
        <f t="shared" si="58"/>
        <v>0</v>
      </c>
      <c r="CI18" s="329">
        <f t="shared" si="58"/>
        <v>9</v>
      </c>
      <c r="CJ18" s="329">
        <f t="shared" si="58"/>
        <v>0</v>
      </c>
      <c r="CK18" s="329">
        <f t="shared" si="58"/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D30B-5EF6-4768-AE2C-72E11A796B48}">
  <sheetPr>
    <tabColor theme="9" tint="-0.249977111117893"/>
  </sheetPr>
  <dimension ref="C4:G55"/>
  <sheetViews>
    <sheetView workbookViewId="0"/>
  </sheetViews>
  <sheetFormatPr defaultRowHeight="15" x14ac:dyDescent="0.25"/>
  <cols>
    <col min="3" max="3" width="51.28515625" bestFit="1" customWidth="1"/>
  </cols>
  <sheetData>
    <row r="4" spans="3:7" x14ac:dyDescent="0.25">
      <c r="D4" t="s">
        <v>467</v>
      </c>
      <c r="E4" t="s">
        <v>468</v>
      </c>
      <c r="F4" t="s">
        <v>469</v>
      </c>
      <c r="G4" t="s">
        <v>472</v>
      </c>
    </row>
    <row r="5" spans="3:7" x14ac:dyDescent="0.25">
      <c r="C5" t="s">
        <v>232</v>
      </c>
      <c r="D5">
        <v>1</v>
      </c>
      <c r="E5" s="107">
        <v>0</v>
      </c>
      <c r="F5" s="107">
        <v>0</v>
      </c>
    </row>
    <row r="6" spans="3:7" x14ac:dyDescent="0.25">
      <c r="D6">
        <v>2</v>
      </c>
      <c r="E6" s="107">
        <v>0</v>
      </c>
      <c r="F6" s="107">
        <v>6.0269731703560328E-3</v>
      </c>
    </row>
    <row r="7" spans="3:7" x14ac:dyDescent="0.25">
      <c r="D7">
        <v>3</v>
      </c>
      <c r="E7" s="107">
        <v>0</v>
      </c>
      <c r="F7" s="107">
        <v>8.6200970005680751E-4</v>
      </c>
    </row>
    <row r="8" spans="3:7" x14ac:dyDescent="0.25">
      <c r="D8">
        <v>4</v>
      </c>
      <c r="E8" s="107">
        <v>3.6961861538461538E-2</v>
      </c>
      <c r="F8" s="107">
        <v>3.5724111915393354E-2</v>
      </c>
    </row>
    <row r="9" spans="3:7" x14ac:dyDescent="0.25">
      <c r="D9">
        <v>5</v>
      </c>
      <c r="E9" s="107">
        <v>2.7971076923076921E-3</v>
      </c>
      <c r="F9" s="107">
        <v>3.2247676458174541E-3</v>
      </c>
    </row>
    <row r="10" spans="3:7" x14ac:dyDescent="0.25">
      <c r="D10">
        <v>6</v>
      </c>
      <c r="E10" s="107">
        <v>0.12653803076923076</v>
      </c>
      <c r="F10" s="107">
        <v>0.14588488984970452</v>
      </c>
    </row>
    <row r="11" spans="3:7" x14ac:dyDescent="0.25">
      <c r="D11">
        <v>7</v>
      </c>
      <c r="E11" s="107">
        <v>0.22694461538461538</v>
      </c>
      <c r="F11" s="107">
        <v>0.26162102591357245</v>
      </c>
    </row>
    <row r="12" spans="3:7" x14ac:dyDescent="0.25">
      <c r="D12">
        <v>8</v>
      </c>
      <c r="E12" s="107">
        <v>0.2067583825641027</v>
      </c>
      <c r="F12" s="107">
        <v>0.17628477934218939</v>
      </c>
    </row>
    <row r="13" spans="3:7" x14ac:dyDescent="0.25">
      <c r="D13">
        <v>9</v>
      </c>
      <c r="E13" s="107">
        <v>0.11632586776175244</v>
      </c>
      <c r="F13" s="107">
        <v>0.11632586776175244</v>
      </c>
    </row>
    <row r="14" spans="3:7" x14ac:dyDescent="0.25">
      <c r="D14">
        <v>10</v>
      </c>
      <c r="E14" s="107">
        <v>2.4353973392917717E-2</v>
      </c>
      <c r="F14" s="107">
        <v>2.4353973392917717E-2</v>
      </c>
    </row>
    <row r="15" spans="3:7" x14ac:dyDescent="0.25">
      <c r="D15">
        <v>11</v>
      </c>
      <c r="E15" s="107">
        <v>0.18650287560050682</v>
      </c>
      <c r="F15" s="107">
        <v>0.18650287560050682</v>
      </c>
    </row>
    <row r="16" spans="3:7" x14ac:dyDescent="0.25">
      <c r="D16">
        <v>12</v>
      </c>
      <c r="E16" s="107">
        <v>7.281728570773302E-2</v>
      </c>
      <c r="F16" s="107">
        <v>4.3188725707733022E-2</v>
      </c>
    </row>
    <row r="18" spans="3:6" x14ac:dyDescent="0.25">
      <c r="C18" t="s">
        <v>471</v>
      </c>
      <c r="D18">
        <v>1</v>
      </c>
      <c r="E18" s="107">
        <v>0</v>
      </c>
    </row>
    <row r="19" spans="3:6" x14ac:dyDescent="0.25">
      <c r="D19">
        <v>2</v>
      </c>
      <c r="E19" s="107">
        <v>6.0269731703560328E-3</v>
      </c>
    </row>
    <row r="20" spans="3:6" x14ac:dyDescent="0.25">
      <c r="D20">
        <v>3</v>
      </c>
      <c r="E20" s="107">
        <v>8.6200970005680751E-4</v>
      </c>
    </row>
    <row r="21" spans="3:6" x14ac:dyDescent="0.25">
      <c r="D21">
        <v>4</v>
      </c>
      <c r="E21" s="107">
        <v>3.5724111915393354E-2</v>
      </c>
    </row>
    <row r="22" spans="3:6" x14ac:dyDescent="0.25">
      <c r="D22">
        <v>5</v>
      </c>
      <c r="E22" s="107">
        <v>3.2247676458174541E-3</v>
      </c>
    </row>
    <row r="23" spans="3:6" x14ac:dyDescent="0.25">
      <c r="D23">
        <v>6</v>
      </c>
      <c r="E23" s="107">
        <v>0.14588488984970452</v>
      </c>
    </row>
    <row r="24" spans="3:6" x14ac:dyDescent="0.25">
      <c r="D24">
        <v>7</v>
      </c>
      <c r="E24" s="107">
        <v>0.26162102591357245</v>
      </c>
    </row>
    <row r="25" spans="3:6" x14ac:dyDescent="0.25">
      <c r="D25">
        <v>8</v>
      </c>
      <c r="E25" s="107">
        <v>0.17628477934218939</v>
      </c>
    </row>
    <row r="26" spans="3:6" x14ac:dyDescent="0.25">
      <c r="D26">
        <v>9</v>
      </c>
      <c r="E26" s="107">
        <v>0.11632586776175244</v>
      </c>
    </row>
    <row r="27" spans="3:6" x14ac:dyDescent="0.25">
      <c r="D27">
        <v>10</v>
      </c>
      <c r="E27" s="107">
        <v>2.4353973392917717E-2</v>
      </c>
    </row>
    <row r="28" spans="3:6" x14ac:dyDescent="0.25">
      <c r="D28">
        <v>11</v>
      </c>
      <c r="E28" s="107">
        <v>0.18650287560050682</v>
      </c>
    </row>
    <row r="29" spans="3:6" x14ac:dyDescent="0.25">
      <c r="D29">
        <v>12</v>
      </c>
      <c r="E29" s="107">
        <v>4.3188725707733022E-2</v>
      </c>
    </row>
    <row r="30" spans="3:6" x14ac:dyDescent="0.25">
      <c r="E30" s="107"/>
    </row>
    <row r="31" spans="3:6" x14ac:dyDescent="0.25">
      <c r="C31" t="s">
        <v>470</v>
      </c>
      <c r="D31">
        <v>1</v>
      </c>
      <c r="E31" s="107">
        <v>0.1</v>
      </c>
      <c r="F31" s="107">
        <v>0.1</v>
      </c>
    </row>
    <row r="32" spans="3:6" x14ac:dyDescent="0.25">
      <c r="D32">
        <v>2</v>
      </c>
      <c r="E32" s="107">
        <v>0</v>
      </c>
      <c r="F32" s="107">
        <v>0</v>
      </c>
    </row>
    <row r="33" spans="3:6" x14ac:dyDescent="0.25">
      <c r="D33">
        <v>3</v>
      </c>
      <c r="E33" s="107">
        <v>0</v>
      </c>
      <c r="F33" s="107">
        <v>0</v>
      </c>
    </row>
    <row r="34" spans="3:6" x14ac:dyDescent="0.25">
      <c r="D34">
        <v>4</v>
      </c>
      <c r="E34" s="107">
        <v>0</v>
      </c>
      <c r="F34" s="107">
        <v>0</v>
      </c>
    </row>
    <row r="35" spans="3:6" x14ac:dyDescent="0.25">
      <c r="D35">
        <v>5</v>
      </c>
      <c r="E35" s="107">
        <v>0</v>
      </c>
      <c r="F35" s="107">
        <v>0.2</v>
      </c>
    </row>
    <row r="36" spans="3:6" x14ac:dyDescent="0.25">
      <c r="D36">
        <v>6</v>
      </c>
      <c r="E36" s="107">
        <v>0.2</v>
      </c>
      <c r="F36" s="107">
        <v>0.25</v>
      </c>
    </row>
    <row r="37" spans="3:6" x14ac:dyDescent="0.25">
      <c r="D37">
        <v>7</v>
      </c>
      <c r="E37" s="107">
        <v>0.25</v>
      </c>
      <c r="F37" s="107">
        <v>0.15</v>
      </c>
    </row>
    <row r="38" spans="3:6" x14ac:dyDescent="0.25">
      <c r="D38">
        <v>8</v>
      </c>
      <c r="E38" s="107">
        <v>0.15</v>
      </c>
      <c r="F38" s="107">
        <v>0</v>
      </c>
    </row>
    <row r="39" spans="3:6" x14ac:dyDescent="0.25">
      <c r="D39">
        <v>9</v>
      </c>
      <c r="E39" s="107">
        <v>0</v>
      </c>
      <c r="F39" s="107">
        <v>0.15</v>
      </c>
    </row>
    <row r="40" spans="3:6" x14ac:dyDescent="0.25">
      <c r="D40">
        <v>10</v>
      </c>
      <c r="E40" s="107">
        <v>0.15</v>
      </c>
      <c r="F40" s="107">
        <v>0</v>
      </c>
    </row>
    <row r="41" spans="3:6" x14ac:dyDescent="0.25">
      <c r="D41">
        <v>11</v>
      </c>
      <c r="E41" s="107">
        <v>0.15</v>
      </c>
      <c r="F41" s="107">
        <v>0.15</v>
      </c>
    </row>
    <row r="42" spans="3:6" x14ac:dyDescent="0.25">
      <c r="D42">
        <v>12</v>
      </c>
      <c r="E42" s="107">
        <v>0</v>
      </c>
      <c r="F42" s="107">
        <v>0</v>
      </c>
    </row>
    <row r="44" spans="3:6" x14ac:dyDescent="0.25">
      <c r="C44" t="s">
        <v>478</v>
      </c>
      <c r="D44">
        <v>1</v>
      </c>
      <c r="E44" s="107">
        <v>0.33</v>
      </c>
    </row>
    <row r="45" spans="3:6" x14ac:dyDescent="0.25">
      <c r="D45">
        <v>2</v>
      </c>
      <c r="E45" s="107">
        <v>0.4</v>
      </c>
    </row>
    <row r="46" spans="3:6" x14ac:dyDescent="0.25">
      <c r="D46">
        <v>3</v>
      </c>
      <c r="E46" s="107">
        <v>0.27</v>
      </c>
    </row>
    <row r="47" spans="3:6" x14ac:dyDescent="0.25">
      <c r="E47" s="107"/>
    </row>
    <row r="48" spans="3:6" x14ac:dyDescent="0.25">
      <c r="E48" s="107"/>
    </row>
    <row r="49" spans="5:5" x14ac:dyDescent="0.25">
      <c r="E49" s="107"/>
    </row>
    <row r="50" spans="5:5" x14ac:dyDescent="0.25">
      <c r="E50" s="107"/>
    </row>
    <row r="51" spans="5:5" x14ac:dyDescent="0.25">
      <c r="E51" s="107"/>
    </row>
    <row r="52" spans="5:5" x14ac:dyDescent="0.25">
      <c r="E52" s="107"/>
    </row>
    <row r="53" spans="5:5" x14ac:dyDescent="0.25">
      <c r="E53" s="107"/>
    </row>
    <row r="54" spans="5:5" x14ac:dyDescent="0.25">
      <c r="E54" s="107"/>
    </row>
    <row r="55" spans="5:5" x14ac:dyDescent="0.25">
      <c r="E55" s="107"/>
    </row>
  </sheetData>
  <phoneticPr fontId="3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/>
  </sheetViews>
  <sheetFormatPr defaultRowHeight="15" x14ac:dyDescent="0.25"/>
  <cols>
    <col min="2" max="2" width="10.7109375" bestFit="1" customWidth="1"/>
    <col min="3" max="3" width="14.28515625" bestFit="1" customWidth="1"/>
  </cols>
  <sheetData>
    <row r="2" spans="2:3" x14ac:dyDescent="0.25">
      <c r="B2" s="12" t="s">
        <v>40</v>
      </c>
      <c r="C2" s="13"/>
    </row>
    <row r="3" spans="2:3" x14ac:dyDescent="0.25">
      <c r="B3" s="14">
        <v>43831</v>
      </c>
      <c r="C3" t="s">
        <v>41</v>
      </c>
    </row>
    <row r="4" spans="2:3" x14ac:dyDescent="0.25">
      <c r="B4" s="14">
        <v>43850</v>
      </c>
      <c r="C4" t="s">
        <v>42</v>
      </c>
    </row>
    <row r="5" spans="2:3" x14ac:dyDescent="0.25">
      <c r="B5" s="14">
        <v>43878</v>
      </c>
      <c r="C5" t="s">
        <v>43</v>
      </c>
    </row>
    <row r="6" spans="2:3" x14ac:dyDescent="0.25">
      <c r="B6" s="14">
        <v>43976</v>
      </c>
      <c r="C6" t="s">
        <v>44</v>
      </c>
    </row>
    <row r="7" spans="2:3" x14ac:dyDescent="0.25">
      <c r="B7" s="14">
        <v>44081</v>
      </c>
      <c r="C7" t="s">
        <v>45</v>
      </c>
    </row>
    <row r="8" spans="2:3" x14ac:dyDescent="0.25">
      <c r="B8" s="14">
        <v>44016</v>
      </c>
      <c r="C8" t="s">
        <v>46</v>
      </c>
    </row>
    <row r="9" spans="2:3" x14ac:dyDescent="0.25">
      <c r="B9" s="14">
        <v>44161</v>
      </c>
      <c r="C9" t="s">
        <v>47</v>
      </c>
    </row>
    <row r="10" spans="2:3" x14ac:dyDescent="0.25">
      <c r="B10" s="14">
        <f>+B9+1</f>
        <v>44162</v>
      </c>
      <c r="C10" t="s">
        <v>48</v>
      </c>
    </row>
    <row r="11" spans="2:3" x14ac:dyDescent="0.25">
      <c r="B11" s="14">
        <v>44189</v>
      </c>
      <c r="C11" t="s">
        <v>49</v>
      </c>
    </row>
    <row r="12" spans="2:3" x14ac:dyDescent="0.25">
      <c r="B12" s="14">
        <f>+B11+1</f>
        <v>44190</v>
      </c>
      <c r="C12" t="s">
        <v>50</v>
      </c>
    </row>
    <row r="13" spans="2:3" x14ac:dyDescent="0.25">
      <c r="B13" s="14">
        <f>+B3+366</f>
        <v>44197</v>
      </c>
      <c r="C13" t="s">
        <v>41</v>
      </c>
    </row>
    <row r="14" spans="2:3" x14ac:dyDescent="0.25">
      <c r="B14" s="14">
        <f t="shared" ref="B14:B22" si="0">+B4+366</f>
        <v>44216</v>
      </c>
      <c r="C14" t="s">
        <v>42</v>
      </c>
    </row>
    <row r="15" spans="2:3" x14ac:dyDescent="0.25">
      <c r="B15" s="14">
        <f t="shared" si="0"/>
        <v>44244</v>
      </c>
      <c r="C15" t="s">
        <v>43</v>
      </c>
    </row>
    <row r="16" spans="2:3" x14ac:dyDescent="0.25">
      <c r="B16" s="14">
        <f t="shared" si="0"/>
        <v>44342</v>
      </c>
      <c r="C16" t="s">
        <v>44</v>
      </c>
    </row>
    <row r="17" spans="2:3" x14ac:dyDescent="0.25">
      <c r="B17" s="14">
        <f t="shared" si="0"/>
        <v>44447</v>
      </c>
      <c r="C17" t="s">
        <v>45</v>
      </c>
    </row>
    <row r="18" spans="2:3" x14ac:dyDescent="0.25">
      <c r="B18" s="14">
        <f t="shared" si="0"/>
        <v>44382</v>
      </c>
      <c r="C18" t="s">
        <v>46</v>
      </c>
    </row>
    <row r="19" spans="2:3" x14ac:dyDescent="0.25">
      <c r="B19" s="14">
        <f t="shared" si="0"/>
        <v>44527</v>
      </c>
      <c r="C19" t="s">
        <v>47</v>
      </c>
    </row>
    <row r="20" spans="2:3" x14ac:dyDescent="0.25">
      <c r="B20" s="14">
        <f t="shared" si="0"/>
        <v>44528</v>
      </c>
      <c r="C20" t="s">
        <v>48</v>
      </c>
    </row>
    <row r="21" spans="2:3" x14ac:dyDescent="0.25">
      <c r="B21" s="14">
        <f t="shared" si="0"/>
        <v>44555</v>
      </c>
      <c r="C21" t="s">
        <v>49</v>
      </c>
    </row>
    <row r="22" spans="2:3" x14ac:dyDescent="0.25">
      <c r="B22" s="14">
        <f t="shared" si="0"/>
        <v>44556</v>
      </c>
      <c r="C22" t="s">
        <v>50</v>
      </c>
    </row>
    <row r="23" spans="2:3" x14ac:dyDescent="0.25">
      <c r="B23" s="14">
        <f>+B13+365</f>
        <v>44562</v>
      </c>
      <c r="C23" t="s">
        <v>41</v>
      </c>
    </row>
    <row r="24" spans="2:3" x14ac:dyDescent="0.25">
      <c r="B24" s="14">
        <f t="shared" ref="B24:B62" si="1">+B14+365</f>
        <v>44581</v>
      </c>
      <c r="C24" t="s">
        <v>42</v>
      </c>
    </row>
    <row r="25" spans="2:3" x14ac:dyDescent="0.25">
      <c r="B25" s="14">
        <f t="shared" si="1"/>
        <v>44609</v>
      </c>
      <c r="C25" t="s">
        <v>43</v>
      </c>
    </row>
    <row r="26" spans="2:3" x14ac:dyDescent="0.25">
      <c r="B26" s="14">
        <f t="shared" si="1"/>
        <v>44707</v>
      </c>
      <c r="C26" t="s">
        <v>44</v>
      </c>
    </row>
    <row r="27" spans="2:3" x14ac:dyDescent="0.25">
      <c r="B27" s="14">
        <f t="shared" si="1"/>
        <v>44812</v>
      </c>
      <c r="C27" t="s">
        <v>45</v>
      </c>
    </row>
    <row r="28" spans="2:3" x14ac:dyDescent="0.25">
      <c r="B28" s="14">
        <f t="shared" si="1"/>
        <v>44747</v>
      </c>
      <c r="C28" t="s">
        <v>46</v>
      </c>
    </row>
    <row r="29" spans="2:3" x14ac:dyDescent="0.25">
      <c r="B29" s="14">
        <f t="shared" si="1"/>
        <v>44892</v>
      </c>
      <c r="C29" t="s">
        <v>47</v>
      </c>
    </row>
    <row r="30" spans="2:3" x14ac:dyDescent="0.25">
      <c r="B30" s="14">
        <f t="shared" si="1"/>
        <v>44893</v>
      </c>
      <c r="C30" t="s">
        <v>48</v>
      </c>
    </row>
    <row r="31" spans="2:3" x14ac:dyDescent="0.25">
      <c r="B31" s="14">
        <f t="shared" si="1"/>
        <v>44920</v>
      </c>
      <c r="C31" t="s">
        <v>49</v>
      </c>
    </row>
    <row r="32" spans="2:3" x14ac:dyDescent="0.25">
      <c r="B32" s="14">
        <f t="shared" si="1"/>
        <v>44921</v>
      </c>
      <c r="C32" t="s">
        <v>50</v>
      </c>
    </row>
    <row r="33" spans="2:3" x14ac:dyDescent="0.25">
      <c r="B33" s="14">
        <f t="shared" si="1"/>
        <v>44927</v>
      </c>
      <c r="C33" t="s">
        <v>41</v>
      </c>
    </row>
    <row r="34" spans="2:3" x14ac:dyDescent="0.25">
      <c r="B34" s="14">
        <f t="shared" si="1"/>
        <v>44946</v>
      </c>
      <c r="C34" t="s">
        <v>42</v>
      </c>
    </row>
    <row r="35" spans="2:3" x14ac:dyDescent="0.25">
      <c r="B35" s="14">
        <f t="shared" si="1"/>
        <v>44974</v>
      </c>
      <c r="C35" t="s">
        <v>43</v>
      </c>
    </row>
    <row r="36" spans="2:3" x14ac:dyDescent="0.25">
      <c r="B36" s="14">
        <f t="shared" si="1"/>
        <v>45072</v>
      </c>
      <c r="C36" t="s">
        <v>44</v>
      </c>
    </row>
    <row r="37" spans="2:3" x14ac:dyDescent="0.25">
      <c r="B37" s="14">
        <f t="shared" si="1"/>
        <v>45177</v>
      </c>
      <c r="C37" t="s">
        <v>45</v>
      </c>
    </row>
    <row r="38" spans="2:3" x14ac:dyDescent="0.25">
      <c r="B38" s="14">
        <f t="shared" si="1"/>
        <v>45112</v>
      </c>
      <c r="C38" t="s">
        <v>46</v>
      </c>
    </row>
    <row r="39" spans="2:3" x14ac:dyDescent="0.25">
      <c r="B39" s="14">
        <f t="shared" si="1"/>
        <v>45257</v>
      </c>
      <c r="C39" t="s">
        <v>47</v>
      </c>
    </row>
    <row r="40" spans="2:3" x14ac:dyDescent="0.25">
      <c r="B40" s="14">
        <f t="shared" si="1"/>
        <v>45258</v>
      </c>
      <c r="C40" t="s">
        <v>48</v>
      </c>
    </row>
    <row r="41" spans="2:3" x14ac:dyDescent="0.25">
      <c r="B41" s="14">
        <f t="shared" si="1"/>
        <v>45285</v>
      </c>
      <c r="C41" t="s">
        <v>49</v>
      </c>
    </row>
    <row r="42" spans="2:3" x14ac:dyDescent="0.25">
      <c r="B42" s="14">
        <f t="shared" si="1"/>
        <v>45286</v>
      </c>
      <c r="C42" t="s">
        <v>50</v>
      </c>
    </row>
    <row r="43" spans="2:3" x14ac:dyDescent="0.25">
      <c r="B43" s="14">
        <f t="shared" si="1"/>
        <v>45292</v>
      </c>
      <c r="C43" t="s">
        <v>41</v>
      </c>
    </row>
    <row r="44" spans="2:3" x14ac:dyDescent="0.25">
      <c r="B44" s="14">
        <f t="shared" si="1"/>
        <v>45311</v>
      </c>
      <c r="C44" t="s">
        <v>42</v>
      </c>
    </row>
    <row r="45" spans="2:3" x14ac:dyDescent="0.25">
      <c r="B45" s="14">
        <f t="shared" si="1"/>
        <v>45339</v>
      </c>
      <c r="C45" t="s">
        <v>43</v>
      </c>
    </row>
    <row r="46" spans="2:3" x14ac:dyDescent="0.25">
      <c r="B46" s="14">
        <f t="shared" si="1"/>
        <v>45437</v>
      </c>
      <c r="C46" t="s">
        <v>44</v>
      </c>
    </row>
    <row r="47" spans="2:3" x14ac:dyDescent="0.25">
      <c r="B47" s="14">
        <f t="shared" si="1"/>
        <v>45542</v>
      </c>
      <c r="C47" t="s">
        <v>45</v>
      </c>
    </row>
    <row r="48" spans="2:3" x14ac:dyDescent="0.25">
      <c r="B48" s="14">
        <f t="shared" si="1"/>
        <v>45477</v>
      </c>
      <c r="C48" t="s">
        <v>46</v>
      </c>
    </row>
    <row r="49" spans="2:3" x14ac:dyDescent="0.25">
      <c r="B49" s="14">
        <f t="shared" si="1"/>
        <v>45622</v>
      </c>
      <c r="C49" t="s">
        <v>47</v>
      </c>
    </row>
    <row r="50" spans="2:3" x14ac:dyDescent="0.25">
      <c r="B50" s="14">
        <f t="shared" si="1"/>
        <v>45623</v>
      </c>
      <c r="C50" t="s">
        <v>48</v>
      </c>
    </row>
    <row r="51" spans="2:3" x14ac:dyDescent="0.25">
      <c r="B51" s="14">
        <f t="shared" si="1"/>
        <v>45650</v>
      </c>
      <c r="C51" t="s">
        <v>49</v>
      </c>
    </row>
    <row r="52" spans="2:3" x14ac:dyDescent="0.25">
      <c r="B52" s="14">
        <f t="shared" si="1"/>
        <v>45651</v>
      </c>
      <c r="C52" t="s">
        <v>50</v>
      </c>
    </row>
    <row r="53" spans="2:3" x14ac:dyDescent="0.25">
      <c r="B53" s="14">
        <f t="shared" si="1"/>
        <v>45657</v>
      </c>
      <c r="C53" t="s">
        <v>41</v>
      </c>
    </row>
    <row r="54" spans="2:3" x14ac:dyDescent="0.25">
      <c r="B54" s="14">
        <f t="shared" si="1"/>
        <v>45676</v>
      </c>
      <c r="C54" t="s">
        <v>42</v>
      </c>
    </row>
    <row r="55" spans="2:3" x14ac:dyDescent="0.25">
      <c r="B55" s="14">
        <f t="shared" si="1"/>
        <v>45704</v>
      </c>
      <c r="C55" t="s">
        <v>43</v>
      </c>
    </row>
    <row r="56" spans="2:3" x14ac:dyDescent="0.25">
      <c r="B56" s="14">
        <f t="shared" si="1"/>
        <v>45802</v>
      </c>
      <c r="C56" t="s">
        <v>44</v>
      </c>
    </row>
    <row r="57" spans="2:3" x14ac:dyDescent="0.25">
      <c r="B57" s="14">
        <f t="shared" si="1"/>
        <v>45907</v>
      </c>
      <c r="C57" t="s">
        <v>45</v>
      </c>
    </row>
    <row r="58" spans="2:3" x14ac:dyDescent="0.25">
      <c r="B58" s="14">
        <f t="shared" si="1"/>
        <v>45842</v>
      </c>
      <c r="C58" t="s">
        <v>46</v>
      </c>
    </row>
    <row r="59" spans="2:3" x14ac:dyDescent="0.25">
      <c r="B59" s="14">
        <f t="shared" si="1"/>
        <v>45987</v>
      </c>
      <c r="C59" t="s">
        <v>47</v>
      </c>
    </row>
    <row r="60" spans="2:3" x14ac:dyDescent="0.25">
      <c r="B60" s="14">
        <f t="shared" si="1"/>
        <v>45988</v>
      </c>
      <c r="C60" t="s">
        <v>48</v>
      </c>
    </row>
    <row r="61" spans="2:3" x14ac:dyDescent="0.25">
      <c r="B61" s="14">
        <f t="shared" si="1"/>
        <v>46015</v>
      </c>
      <c r="C61" t="s">
        <v>49</v>
      </c>
    </row>
    <row r="62" spans="2:3" x14ac:dyDescent="0.25">
      <c r="B62" s="14">
        <f t="shared" si="1"/>
        <v>46016</v>
      </c>
      <c r="C62" t="s">
        <v>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/>
  </sheetViews>
  <sheetFormatPr defaultColWidth="8.85546875" defaultRowHeight="15" x14ac:dyDescent="0.25"/>
  <cols>
    <col min="1" max="1" width="8.85546875" style="111"/>
    <col min="2" max="2" width="12.28515625" style="111" bestFit="1" customWidth="1"/>
    <col min="3" max="9" width="8.85546875" style="111"/>
    <col min="10" max="10" width="15" style="111" bestFit="1" customWidth="1"/>
    <col min="11" max="16384" width="8.85546875" style="111"/>
  </cols>
  <sheetData>
    <row r="1" spans="1:11 16384:16384" x14ac:dyDescent="0.25">
      <c r="A1" s="111" t="s">
        <v>54</v>
      </c>
      <c r="B1" s="111" t="s">
        <v>55</v>
      </c>
      <c r="C1" s="111" t="s">
        <v>56</v>
      </c>
      <c r="D1" s="111" t="s">
        <v>57</v>
      </c>
      <c r="E1" s="111" t="s">
        <v>58</v>
      </c>
      <c r="F1" s="111" t="s">
        <v>59</v>
      </c>
      <c r="G1" s="111" t="s">
        <v>60</v>
      </c>
      <c r="H1" s="111" t="s">
        <v>61</v>
      </c>
      <c r="I1" s="111" t="s">
        <v>62</v>
      </c>
      <c r="J1" s="112" t="s">
        <v>63</v>
      </c>
      <c r="K1" s="111" t="s">
        <v>64</v>
      </c>
    </row>
    <row r="2" spans="1:11 16384:16384" x14ac:dyDescent="0.25">
      <c r="A2" s="113" t="s">
        <v>77</v>
      </c>
      <c r="B2" s="113" t="s">
        <v>192</v>
      </c>
      <c r="C2" s="113">
        <v>2</v>
      </c>
      <c r="D2" s="113">
        <v>50</v>
      </c>
      <c r="E2" s="113">
        <v>100</v>
      </c>
      <c r="F2" s="113" t="s">
        <v>66</v>
      </c>
      <c r="G2" s="113" t="s">
        <v>66</v>
      </c>
      <c r="H2" s="113" t="s">
        <v>193</v>
      </c>
      <c r="I2" s="113"/>
      <c r="J2" s="114" t="s">
        <v>194</v>
      </c>
      <c r="K2" s="113">
        <v>100</v>
      </c>
    </row>
    <row r="3" spans="1:11 16384:16384" x14ac:dyDescent="0.25">
      <c r="A3" s="113" t="s">
        <v>84</v>
      </c>
      <c r="B3" s="115">
        <v>44906</v>
      </c>
      <c r="C3" s="113">
        <v>1.25</v>
      </c>
      <c r="D3" s="114">
        <v>60</v>
      </c>
      <c r="E3" s="113">
        <v>75</v>
      </c>
      <c r="F3" s="113" t="s">
        <v>66</v>
      </c>
      <c r="G3" s="113" t="s">
        <v>66</v>
      </c>
      <c r="H3" s="113" t="s">
        <v>85</v>
      </c>
      <c r="I3" s="113" t="s">
        <v>68</v>
      </c>
      <c r="J3" s="113" t="s">
        <v>163</v>
      </c>
      <c r="K3" s="113">
        <v>75</v>
      </c>
    </row>
    <row r="4" spans="1:11 16384:16384" x14ac:dyDescent="0.25">
      <c r="A4" s="113" t="s">
        <v>195</v>
      </c>
      <c r="B4" s="115">
        <v>44907</v>
      </c>
      <c r="C4" s="113">
        <v>1</v>
      </c>
      <c r="D4" s="114">
        <v>60</v>
      </c>
      <c r="E4" s="113">
        <v>60</v>
      </c>
      <c r="F4" s="113" t="s">
        <v>66</v>
      </c>
      <c r="G4" s="113" t="s">
        <v>66</v>
      </c>
      <c r="H4" s="113" t="s">
        <v>196</v>
      </c>
      <c r="I4" s="113" t="s">
        <v>68</v>
      </c>
      <c r="J4" s="113" t="s">
        <v>163</v>
      </c>
      <c r="K4" s="113">
        <v>60</v>
      </c>
    </row>
    <row r="5" spans="1:11 16384:16384" x14ac:dyDescent="0.25">
      <c r="A5" s="113" t="s">
        <v>195</v>
      </c>
      <c r="B5" s="115">
        <v>44908</v>
      </c>
      <c r="C5" s="113">
        <v>1.5</v>
      </c>
      <c r="D5" s="114">
        <v>60</v>
      </c>
      <c r="E5" s="113">
        <v>90</v>
      </c>
      <c r="F5" s="113" t="s">
        <v>66</v>
      </c>
      <c r="G5" s="113" t="s">
        <v>66</v>
      </c>
      <c r="H5" s="113" t="s">
        <v>196</v>
      </c>
      <c r="I5" s="113" t="s">
        <v>68</v>
      </c>
      <c r="J5" s="113" t="s">
        <v>163</v>
      </c>
      <c r="K5" s="113">
        <v>90</v>
      </c>
    </row>
    <row r="6" spans="1:11 16384:16384" x14ac:dyDescent="0.25">
      <c r="A6" s="113" t="s">
        <v>195</v>
      </c>
      <c r="B6" s="115">
        <v>44910</v>
      </c>
      <c r="C6" s="113">
        <v>1.5</v>
      </c>
      <c r="D6" s="113">
        <v>60</v>
      </c>
      <c r="E6" s="113">
        <v>90</v>
      </c>
      <c r="F6" s="113" t="s">
        <v>66</v>
      </c>
      <c r="G6" s="113" t="s">
        <v>66</v>
      </c>
      <c r="H6" s="113" t="s">
        <v>196</v>
      </c>
      <c r="I6" s="113" t="s">
        <v>68</v>
      </c>
      <c r="J6" s="113" t="s">
        <v>163</v>
      </c>
      <c r="K6" s="113">
        <v>90</v>
      </c>
    </row>
    <row r="7" spans="1:11 16384:16384" x14ac:dyDescent="0.25">
      <c r="A7" s="113" t="s">
        <v>197</v>
      </c>
      <c r="B7" s="115">
        <v>44905</v>
      </c>
      <c r="C7" s="113">
        <v>1</v>
      </c>
      <c r="D7" s="114">
        <v>60</v>
      </c>
      <c r="E7" s="113">
        <v>60</v>
      </c>
      <c r="F7" s="113" t="s">
        <v>66</v>
      </c>
      <c r="G7" s="113" t="s">
        <v>66</v>
      </c>
      <c r="H7" s="113" t="s">
        <v>198</v>
      </c>
      <c r="I7" s="113" t="s">
        <v>68</v>
      </c>
      <c r="J7" s="113" t="s">
        <v>163</v>
      </c>
      <c r="K7" s="113">
        <v>60</v>
      </c>
    </row>
    <row r="8" spans="1:11 16384:16384" x14ac:dyDescent="0.25">
      <c r="A8" s="113" t="s">
        <v>106</v>
      </c>
      <c r="B8" s="115">
        <v>44898</v>
      </c>
      <c r="C8" s="113">
        <v>1.5</v>
      </c>
      <c r="D8" s="113">
        <v>50</v>
      </c>
      <c r="E8" s="113">
        <v>75</v>
      </c>
      <c r="F8" s="113" t="s">
        <v>66</v>
      </c>
      <c r="G8" s="113" t="s">
        <v>66</v>
      </c>
      <c r="H8" s="113" t="s">
        <v>107</v>
      </c>
      <c r="I8" s="113" t="s">
        <v>68</v>
      </c>
      <c r="J8" s="113" t="s">
        <v>163</v>
      </c>
      <c r="K8" s="113">
        <v>75</v>
      </c>
    </row>
    <row r="9" spans="1:11 16384:16384" x14ac:dyDescent="0.25">
      <c r="A9" s="113" t="s">
        <v>106</v>
      </c>
      <c r="B9" s="115">
        <v>44900</v>
      </c>
      <c r="C9" s="113">
        <v>1.5</v>
      </c>
      <c r="D9" s="113">
        <v>50</v>
      </c>
      <c r="E9" s="113">
        <v>75</v>
      </c>
      <c r="F9" s="113" t="s">
        <v>66</v>
      </c>
      <c r="G9" s="113" t="s">
        <v>66</v>
      </c>
      <c r="H9" s="113" t="s">
        <v>107</v>
      </c>
      <c r="I9" s="113" t="s">
        <v>68</v>
      </c>
      <c r="J9" s="113" t="s">
        <v>163</v>
      </c>
      <c r="K9" s="113">
        <v>75</v>
      </c>
    </row>
    <row r="10" spans="1:11 16384:16384" x14ac:dyDescent="0.25">
      <c r="A10" s="113" t="s">
        <v>106</v>
      </c>
      <c r="B10" s="115">
        <v>44903</v>
      </c>
      <c r="C10" s="113">
        <v>1</v>
      </c>
      <c r="D10" s="113">
        <v>50</v>
      </c>
      <c r="E10" s="113">
        <v>50</v>
      </c>
      <c r="F10" s="113" t="s">
        <v>66</v>
      </c>
      <c r="G10" s="113" t="s">
        <v>66</v>
      </c>
      <c r="H10" s="113" t="s">
        <v>107</v>
      </c>
      <c r="I10" s="113" t="s">
        <v>68</v>
      </c>
      <c r="J10" s="113" t="s">
        <v>163</v>
      </c>
      <c r="K10" s="113">
        <v>50</v>
      </c>
    </row>
    <row r="11" spans="1:11 16384:16384" x14ac:dyDescent="0.25">
      <c r="A11" s="113" t="s">
        <v>106</v>
      </c>
      <c r="B11" s="115">
        <v>44906</v>
      </c>
      <c r="C11" s="113">
        <v>2</v>
      </c>
      <c r="D11" s="113">
        <v>50</v>
      </c>
      <c r="E11" s="113">
        <v>100</v>
      </c>
      <c r="F11" s="113" t="s">
        <v>66</v>
      </c>
      <c r="G11" s="113" t="s">
        <v>66</v>
      </c>
      <c r="H11" s="113" t="s">
        <v>107</v>
      </c>
      <c r="I11" s="113" t="s">
        <v>68</v>
      </c>
      <c r="J11" s="113" t="s">
        <v>163</v>
      </c>
      <c r="K11" s="113">
        <v>100</v>
      </c>
    </row>
    <row r="12" spans="1:11 16384:16384" x14ac:dyDescent="0.25">
      <c r="A12" s="113" t="s">
        <v>106</v>
      </c>
      <c r="B12" s="115">
        <v>44907</v>
      </c>
      <c r="C12" s="113">
        <v>1.25</v>
      </c>
      <c r="D12" s="113">
        <v>50</v>
      </c>
      <c r="E12" s="113">
        <v>62.5</v>
      </c>
      <c r="F12" s="113" t="s">
        <v>66</v>
      </c>
      <c r="G12" s="113" t="s">
        <v>66</v>
      </c>
      <c r="H12" s="113" t="s">
        <v>107</v>
      </c>
      <c r="I12" s="113" t="s">
        <v>68</v>
      </c>
      <c r="J12" s="113" t="s">
        <v>163</v>
      </c>
      <c r="K12" s="113">
        <v>62.5</v>
      </c>
      <c r="XFD12" s="111" t="s">
        <v>66</v>
      </c>
    </row>
    <row r="13" spans="1:11 16384:16384" x14ac:dyDescent="0.25">
      <c r="A13" s="113" t="s">
        <v>106</v>
      </c>
      <c r="B13" s="115">
        <v>44908</v>
      </c>
      <c r="C13" s="113">
        <v>1.5</v>
      </c>
      <c r="D13" s="113">
        <v>50</v>
      </c>
      <c r="E13" s="113">
        <v>75</v>
      </c>
      <c r="F13" s="113" t="s">
        <v>66</v>
      </c>
      <c r="G13" s="113" t="s">
        <v>66</v>
      </c>
      <c r="H13" s="113" t="s">
        <v>107</v>
      </c>
      <c r="I13" s="113" t="s">
        <v>68</v>
      </c>
      <c r="J13" s="113" t="s">
        <v>163</v>
      </c>
      <c r="K13" s="113">
        <v>75</v>
      </c>
    </row>
    <row r="14" spans="1:11 16384:16384" x14ac:dyDescent="0.25">
      <c r="A14" s="113" t="s">
        <v>106</v>
      </c>
      <c r="B14" s="115">
        <v>44909</v>
      </c>
      <c r="C14" s="113">
        <v>0.5</v>
      </c>
      <c r="D14" s="113">
        <v>50</v>
      </c>
      <c r="E14" s="113">
        <v>25</v>
      </c>
      <c r="F14" s="113" t="s">
        <v>66</v>
      </c>
      <c r="G14" s="113" t="s">
        <v>66</v>
      </c>
      <c r="H14" s="113" t="s">
        <v>107</v>
      </c>
      <c r="I14" s="113" t="s">
        <v>68</v>
      </c>
      <c r="J14" s="113" t="s">
        <v>163</v>
      </c>
      <c r="K14" s="113">
        <v>25</v>
      </c>
    </row>
    <row r="15" spans="1:11 16384:16384" x14ac:dyDescent="0.25">
      <c r="A15" s="113" t="s">
        <v>111</v>
      </c>
      <c r="B15" s="115">
        <v>44904</v>
      </c>
      <c r="C15" s="113">
        <v>2</v>
      </c>
      <c r="D15" s="114">
        <v>60</v>
      </c>
      <c r="E15" s="113">
        <v>120</v>
      </c>
      <c r="F15" s="113" t="s">
        <v>199</v>
      </c>
      <c r="G15" s="113" t="s">
        <v>66</v>
      </c>
      <c r="H15" s="113" t="s">
        <v>200</v>
      </c>
      <c r="I15" s="113" t="s">
        <v>68</v>
      </c>
      <c r="J15" s="113" t="s">
        <v>163</v>
      </c>
      <c r="K15" s="113">
        <v>0</v>
      </c>
    </row>
    <row r="16" spans="1:11 16384:16384" x14ac:dyDescent="0.25">
      <c r="A16" s="113" t="s">
        <v>111</v>
      </c>
      <c r="B16" s="115">
        <v>44906</v>
      </c>
      <c r="C16" s="113">
        <v>1.25</v>
      </c>
      <c r="D16" s="114">
        <v>60</v>
      </c>
      <c r="E16" s="113">
        <v>75</v>
      </c>
      <c r="F16" s="113" t="s">
        <v>66</v>
      </c>
      <c r="G16" s="113" t="s">
        <v>66</v>
      </c>
      <c r="H16" s="113" t="s">
        <v>201</v>
      </c>
      <c r="I16" s="113" t="s">
        <v>68</v>
      </c>
      <c r="J16" s="113" t="s">
        <v>163</v>
      </c>
      <c r="K16" s="113">
        <v>195</v>
      </c>
    </row>
    <row r="17" spans="1:11" x14ac:dyDescent="0.25">
      <c r="A17" s="113"/>
      <c r="B17" s="115"/>
      <c r="C17" s="113"/>
      <c r="D17" s="113"/>
      <c r="E17" s="113"/>
      <c r="F17" s="113"/>
      <c r="G17" s="113"/>
      <c r="H17" s="113"/>
      <c r="I17" s="113"/>
      <c r="J17" s="113"/>
      <c r="K17" s="113"/>
    </row>
    <row r="18" spans="1:11" x14ac:dyDescent="0.25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/>
  </sheetViews>
  <sheetFormatPr defaultColWidth="8.85546875" defaultRowHeight="15" x14ac:dyDescent="0.25"/>
  <cols>
    <col min="1" max="1" width="14.42578125" style="93" bestFit="1" customWidth="1"/>
    <col min="2" max="2" width="7.140625" style="93" bestFit="1" customWidth="1"/>
    <col min="3" max="3" width="8" style="93" bestFit="1" customWidth="1"/>
    <col min="4" max="4" width="12" style="93" bestFit="1" customWidth="1"/>
    <col min="5" max="5" width="6.85546875" style="93" bestFit="1" customWidth="1"/>
    <col min="6" max="6" width="8.5703125" style="93" bestFit="1" customWidth="1"/>
    <col min="7" max="7" width="19.140625" style="93" bestFit="1" customWidth="1"/>
    <col min="8" max="8" width="68.28515625" style="93" bestFit="1" customWidth="1"/>
    <col min="9" max="9" width="6.5703125" style="93" bestFit="1" customWidth="1"/>
    <col min="10" max="10" width="17.28515625" style="93" bestFit="1" customWidth="1"/>
    <col min="11" max="11" width="8.28515625" style="93" bestFit="1" customWidth="1"/>
    <col min="12" max="12" width="23.7109375" style="93" bestFit="1" customWidth="1"/>
    <col min="13" max="17" width="8.85546875" style="93"/>
    <col min="18" max="18" width="14.42578125" style="93" bestFit="1" customWidth="1"/>
    <col min="19" max="19" width="12.28515625" style="93" bestFit="1" customWidth="1"/>
    <col min="20" max="20" width="11.28515625" style="93" bestFit="1" customWidth="1"/>
    <col min="21" max="16384" width="8.85546875" style="93"/>
  </cols>
  <sheetData>
    <row r="1" spans="1:20" x14ac:dyDescent="0.25">
      <c r="A1" s="93" t="s">
        <v>54</v>
      </c>
      <c r="B1" s="93" t="s">
        <v>55</v>
      </c>
      <c r="C1" s="93" t="s">
        <v>56</v>
      </c>
      <c r="D1" s="93" t="s">
        <v>57</v>
      </c>
      <c r="E1" s="93" t="s">
        <v>58</v>
      </c>
      <c r="F1" s="93" t="s">
        <v>59</v>
      </c>
      <c r="G1" s="93" t="s">
        <v>60</v>
      </c>
      <c r="H1" s="93" t="s">
        <v>61</v>
      </c>
      <c r="I1" s="93" t="s">
        <v>62</v>
      </c>
      <c r="J1" s="94" t="s">
        <v>63</v>
      </c>
      <c r="K1" s="93" t="s">
        <v>64</v>
      </c>
    </row>
    <row r="2" spans="1:20" x14ac:dyDescent="0.25">
      <c r="A2" s="95" t="s">
        <v>65</v>
      </c>
      <c r="B2" s="95">
        <v>44868</v>
      </c>
      <c r="C2" s="96">
        <v>1</v>
      </c>
      <c r="D2" s="96">
        <v>50</v>
      </c>
      <c r="E2" s="96">
        <v>50</v>
      </c>
      <c r="F2" s="96" t="s">
        <v>66</v>
      </c>
      <c r="G2" s="96" t="s">
        <v>66</v>
      </c>
      <c r="H2" s="96" t="s">
        <v>160</v>
      </c>
      <c r="I2" s="96" t="s">
        <v>68</v>
      </c>
      <c r="J2" s="96" t="s">
        <v>66</v>
      </c>
      <c r="K2" s="96">
        <v>50</v>
      </c>
      <c r="R2" s="31" t="s">
        <v>135</v>
      </c>
      <c r="S2" t="s">
        <v>137</v>
      </c>
      <c r="T2" t="s">
        <v>138</v>
      </c>
    </row>
    <row r="3" spans="1:20" s="97" customFormat="1" x14ac:dyDescent="0.25">
      <c r="A3" s="97" t="s">
        <v>161</v>
      </c>
      <c r="B3" s="98">
        <v>44878</v>
      </c>
      <c r="C3" s="97">
        <v>1</v>
      </c>
      <c r="D3" s="97">
        <v>60</v>
      </c>
      <c r="E3" s="97">
        <v>60</v>
      </c>
      <c r="F3" s="97" t="s">
        <v>66</v>
      </c>
      <c r="G3" s="97" t="s">
        <v>66</v>
      </c>
      <c r="H3" s="97" t="s">
        <v>162</v>
      </c>
      <c r="I3" s="97" t="s">
        <v>68</v>
      </c>
      <c r="J3" s="97" t="s">
        <v>163</v>
      </c>
      <c r="K3" s="97">
        <v>60</v>
      </c>
      <c r="R3" s="32" t="s">
        <v>65</v>
      </c>
      <c r="S3">
        <v>1</v>
      </c>
      <c r="T3">
        <v>50</v>
      </c>
    </row>
    <row r="4" spans="1:20" s="97" customFormat="1" x14ac:dyDescent="0.25">
      <c r="A4" s="97" t="s">
        <v>161</v>
      </c>
      <c r="B4" s="98">
        <v>44880</v>
      </c>
      <c r="C4" s="97">
        <v>1.5</v>
      </c>
      <c r="D4" s="97">
        <v>60</v>
      </c>
      <c r="E4" s="97">
        <v>90</v>
      </c>
      <c r="F4" s="97" t="s">
        <v>66</v>
      </c>
      <c r="G4" s="97" t="s">
        <v>66</v>
      </c>
      <c r="H4" s="97" t="s">
        <v>162</v>
      </c>
      <c r="I4" s="97" t="s">
        <v>68</v>
      </c>
      <c r="J4" s="97" t="s">
        <v>163</v>
      </c>
      <c r="K4" s="97">
        <v>90</v>
      </c>
      <c r="R4" s="32" t="s">
        <v>161</v>
      </c>
      <c r="S4">
        <v>2.5</v>
      </c>
      <c r="T4">
        <v>150</v>
      </c>
    </row>
    <row r="5" spans="1:20" s="97" customFormat="1" x14ac:dyDescent="0.25">
      <c r="A5" s="97" t="s">
        <v>84</v>
      </c>
      <c r="B5" s="98">
        <v>44872</v>
      </c>
      <c r="C5" s="97">
        <v>1</v>
      </c>
      <c r="D5" s="97">
        <v>60</v>
      </c>
      <c r="E5" s="97">
        <v>60</v>
      </c>
      <c r="F5" s="97" t="s">
        <v>66</v>
      </c>
      <c r="G5" s="97" t="s">
        <v>66</v>
      </c>
      <c r="H5" s="97" t="s">
        <v>164</v>
      </c>
      <c r="I5" s="97" t="s">
        <v>68</v>
      </c>
      <c r="J5" s="97" t="s">
        <v>163</v>
      </c>
      <c r="K5" s="97">
        <v>60</v>
      </c>
      <c r="R5" s="32" t="s">
        <v>84</v>
      </c>
      <c r="S5">
        <v>2.5</v>
      </c>
      <c r="T5">
        <v>150</v>
      </c>
    </row>
    <row r="6" spans="1:20" s="99" customFormat="1" x14ac:dyDescent="0.25">
      <c r="A6" s="99" t="s">
        <v>84</v>
      </c>
      <c r="B6" s="100">
        <v>44892</v>
      </c>
      <c r="C6" s="99">
        <v>1.5</v>
      </c>
      <c r="D6" s="99">
        <v>60</v>
      </c>
      <c r="E6" s="99">
        <v>90</v>
      </c>
      <c r="F6" s="99" t="s">
        <v>66</v>
      </c>
      <c r="G6" s="99" t="s">
        <v>66</v>
      </c>
      <c r="H6" s="99" t="s">
        <v>165</v>
      </c>
      <c r="I6" s="99" t="s">
        <v>68</v>
      </c>
      <c r="J6" s="99" t="s">
        <v>163</v>
      </c>
      <c r="K6" s="99">
        <v>90</v>
      </c>
      <c r="R6" s="32" t="s">
        <v>166</v>
      </c>
      <c r="S6">
        <v>2.5</v>
      </c>
      <c r="T6">
        <v>150</v>
      </c>
    </row>
    <row r="7" spans="1:20" x14ac:dyDescent="0.25">
      <c r="A7" s="96" t="s">
        <v>166</v>
      </c>
      <c r="B7" s="95">
        <v>44878</v>
      </c>
      <c r="C7" s="96">
        <v>1</v>
      </c>
      <c r="D7" s="96">
        <v>60</v>
      </c>
      <c r="E7" s="96">
        <v>60</v>
      </c>
      <c r="F7" s="96" t="s">
        <v>66</v>
      </c>
      <c r="G7" s="96" t="s">
        <v>66</v>
      </c>
      <c r="H7" s="96" t="s">
        <v>167</v>
      </c>
      <c r="I7" s="96" t="s">
        <v>68</v>
      </c>
      <c r="J7" s="96" t="s">
        <v>163</v>
      </c>
      <c r="K7" s="96">
        <v>60</v>
      </c>
      <c r="R7" s="32" t="s">
        <v>89</v>
      </c>
      <c r="S7">
        <v>1.5</v>
      </c>
      <c r="T7">
        <v>75</v>
      </c>
    </row>
    <row r="8" spans="1:20" s="99" customFormat="1" x14ac:dyDescent="0.25">
      <c r="A8" s="99" t="s">
        <v>166</v>
      </c>
      <c r="B8" s="100">
        <v>44884</v>
      </c>
      <c r="C8" s="99">
        <v>1.5</v>
      </c>
      <c r="D8" s="99">
        <v>60</v>
      </c>
      <c r="E8" s="99">
        <v>90</v>
      </c>
      <c r="F8" s="99" t="s">
        <v>66</v>
      </c>
      <c r="G8" s="99" t="s">
        <v>66</v>
      </c>
      <c r="H8" s="99" t="s">
        <v>167</v>
      </c>
      <c r="I8" s="99" t="s">
        <v>68</v>
      </c>
      <c r="J8" s="99" t="s">
        <v>163</v>
      </c>
      <c r="K8" s="99">
        <v>90</v>
      </c>
      <c r="R8" s="32" t="s">
        <v>92</v>
      </c>
      <c r="S8">
        <v>1</v>
      </c>
      <c r="T8">
        <v>50</v>
      </c>
    </row>
    <row r="9" spans="1:20" x14ac:dyDescent="0.25">
      <c r="A9" s="96" t="s">
        <v>89</v>
      </c>
      <c r="B9" s="95">
        <v>44875</v>
      </c>
      <c r="C9" s="96">
        <v>1.5</v>
      </c>
      <c r="D9" s="96">
        <v>50</v>
      </c>
      <c r="E9" s="96">
        <v>75</v>
      </c>
      <c r="F9" s="96" t="s">
        <v>66</v>
      </c>
      <c r="G9" s="96" t="s">
        <v>66</v>
      </c>
      <c r="H9" s="96" t="s">
        <v>168</v>
      </c>
      <c r="I9" s="96" t="s">
        <v>68</v>
      </c>
      <c r="J9" s="96" t="s">
        <v>163</v>
      </c>
      <c r="K9" s="96">
        <v>75</v>
      </c>
      <c r="R9" s="32" t="s">
        <v>101</v>
      </c>
      <c r="S9">
        <v>0.5</v>
      </c>
      <c r="T9">
        <v>30</v>
      </c>
    </row>
    <row r="10" spans="1:20" s="99" customFormat="1" x14ac:dyDescent="0.25">
      <c r="A10" s="99" t="s">
        <v>92</v>
      </c>
      <c r="B10" s="100">
        <v>44886</v>
      </c>
      <c r="C10" s="99">
        <v>1</v>
      </c>
      <c r="D10" s="99">
        <v>50</v>
      </c>
      <c r="E10" s="99">
        <v>50</v>
      </c>
      <c r="F10" s="99" t="s">
        <v>66</v>
      </c>
      <c r="G10" s="99" t="s">
        <v>66</v>
      </c>
      <c r="H10" s="99" t="s">
        <v>169</v>
      </c>
      <c r="I10" s="99" t="s">
        <v>68</v>
      </c>
      <c r="J10" s="99" t="s">
        <v>163</v>
      </c>
      <c r="K10" s="99">
        <v>50</v>
      </c>
      <c r="R10" s="32" t="s">
        <v>103</v>
      </c>
      <c r="S10">
        <v>7.5</v>
      </c>
      <c r="T10">
        <v>375</v>
      </c>
    </row>
    <row r="11" spans="1:20" s="97" customFormat="1" x14ac:dyDescent="0.25">
      <c r="A11" s="98" t="s">
        <v>101</v>
      </c>
      <c r="B11" s="98">
        <v>44877</v>
      </c>
      <c r="C11" s="97">
        <v>0.5</v>
      </c>
      <c r="D11" s="97">
        <v>60</v>
      </c>
      <c r="E11" s="97">
        <v>30</v>
      </c>
      <c r="F11" s="97" t="s">
        <v>66</v>
      </c>
      <c r="G11" s="97" t="s">
        <v>66</v>
      </c>
      <c r="H11" s="97" t="s">
        <v>170</v>
      </c>
      <c r="I11" s="97" t="s">
        <v>68</v>
      </c>
      <c r="J11" s="97" t="s">
        <v>163</v>
      </c>
      <c r="K11" s="97">
        <v>30</v>
      </c>
      <c r="R11" s="32" t="s">
        <v>106</v>
      </c>
      <c r="S11">
        <v>9</v>
      </c>
      <c r="T11">
        <v>450</v>
      </c>
    </row>
    <row r="12" spans="1:20" x14ac:dyDescent="0.25">
      <c r="A12" s="96" t="s">
        <v>103</v>
      </c>
      <c r="B12" s="95">
        <v>44871</v>
      </c>
      <c r="C12" s="96">
        <v>2</v>
      </c>
      <c r="D12" s="96">
        <v>50</v>
      </c>
      <c r="E12" s="96">
        <v>100</v>
      </c>
      <c r="F12" s="96" t="s">
        <v>66</v>
      </c>
      <c r="G12" s="96" t="s">
        <v>66</v>
      </c>
      <c r="H12" s="96" t="s">
        <v>171</v>
      </c>
      <c r="I12" s="96" t="s">
        <v>68</v>
      </c>
      <c r="J12" s="96" t="s">
        <v>163</v>
      </c>
      <c r="K12" s="96">
        <v>100</v>
      </c>
      <c r="R12" s="32" t="s">
        <v>109</v>
      </c>
      <c r="S12">
        <v>2</v>
      </c>
      <c r="T12">
        <v>100</v>
      </c>
    </row>
    <row r="13" spans="1:20" x14ac:dyDescent="0.25">
      <c r="A13" s="96" t="s">
        <v>103</v>
      </c>
      <c r="B13" s="95">
        <v>44873</v>
      </c>
      <c r="C13" s="96">
        <v>1</v>
      </c>
      <c r="D13" s="96">
        <v>50</v>
      </c>
      <c r="E13" s="96">
        <v>50</v>
      </c>
      <c r="F13" s="96" t="s">
        <v>66</v>
      </c>
      <c r="G13" s="96" t="s">
        <v>66</v>
      </c>
      <c r="H13" s="96" t="s">
        <v>172</v>
      </c>
      <c r="I13" s="96" t="s">
        <v>68</v>
      </c>
      <c r="J13" s="96" t="s">
        <v>163</v>
      </c>
      <c r="K13" s="96">
        <v>50</v>
      </c>
      <c r="R13" s="32" t="s">
        <v>111</v>
      </c>
      <c r="S13">
        <v>1</v>
      </c>
      <c r="T13">
        <v>60</v>
      </c>
    </row>
    <row r="14" spans="1:20" s="99" customFormat="1" x14ac:dyDescent="0.25">
      <c r="A14" s="99" t="s">
        <v>103</v>
      </c>
      <c r="B14" s="100">
        <v>44884</v>
      </c>
      <c r="C14" s="99">
        <v>1.5</v>
      </c>
      <c r="D14" s="99">
        <v>50</v>
      </c>
      <c r="E14" s="99">
        <v>75</v>
      </c>
      <c r="F14" s="99" t="s">
        <v>66</v>
      </c>
      <c r="G14" s="99" t="s">
        <v>66</v>
      </c>
      <c r="H14" s="99" t="s">
        <v>173</v>
      </c>
      <c r="I14" s="99" t="s">
        <v>68</v>
      </c>
      <c r="J14" s="99" t="s">
        <v>163</v>
      </c>
      <c r="K14" s="99">
        <v>75</v>
      </c>
      <c r="R14" s="32" t="s">
        <v>136</v>
      </c>
      <c r="S14">
        <v>31</v>
      </c>
      <c r="T14">
        <v>1640</v>
      </c>
    </row>
    <row r="15" spans="1:20" s="99" customFormat="1" x14ac:dyDescent="0.25">
      <c r="A15" s="99" t="s">
        <v>103</v>
      </c>
      <c r="B15" s="100">
        <v>44891</v>
      </c>
      <c r="C15" s="99">
        <v>1.5</v>
      </c>
      <c r="D15" s="99">
        <v>50</v>
      </c>
      <c r="E15" s="99">
        <v>75</v>
      </c>
      <c r="F15" s="99" t="s">
        <v>66</v>
      </c>
      <c r="G15" s="99" t="s">
        <v>66</v>
      </c>
      <c r="H15" s="99" t="s">
        <v>174</v>
      </c>
      <c r="I15" s="99" t="s">
        <v>68</v>
      </c>
      <c r="J15" s="99" t="s">
        <v>163</v>
      </c>
      <c r="K15" s="99">
        <v>75</v>
      </c>
      <c r="L15" s="99" t="s">
        <v>175</v>
      </c>
      <c r="R15"/>
      <c r="S15"/>
      <c r="T15"/>
    </row>
    <row r="16" spans="1:20" s="99" customFormat="1" x14ac:dyDescent="0.25">
      <c r="A16" s="99" t="s">
        <v>103</v>
      </c>
      <c r="B16" s="100">
        <v>44892</v>
      </c>
      <c r="C16" s="99">
        <v>1.5</v>
      </c>
      <c r="D16" s="99">
        <v>50</v>
      </c>
      <c r="E16" s="99">
        <v>75</v>
      </c>
      <c r="F16" s="99" t="s">
        <v>66</v>
      </c>
      <c r="G16" s="99" t="s">
        <v>66</v>
      </c>
      <c r="H16" s="99" t="s">
        <v>176</v>
      </c>
      <c r="I16" s="99" t="s">
        <v>68</v>
      </c>
      <c r="J16" s="99" t="s">
        <v>163</v>
      </c>
      <c r="K16" s="99">
        <v>75</v>
      </c>
      <c r="R16"/>
      <c r="S16"/>
      <c r="T16"/>
    </row>
    <row r="17" spans="1:20" x14ac:dyDescent="0.25">
      <c r="A17" s="95" t="s">
        <v>106</v>
      </c>
      <c r="B17" s="95">
        <v>44868</v>
      </c>
      <c r="C17" s="96">
        <v>1.25</v>
      </c>
      <c r="D17" s="96">
        <v>50</v>
      </c>
      <c r="E17" s="96">
        <v>62.5</v>
      </c>
      <c r="F17" s="96" t="s">
        <v>66</v>
      </c>
      <c r="G17" s="96" t="s">
        <v>66</v>
      </c>
      <c r="H17" s="96" t="s">
        <v>177</v>
      </c>
      <c r="I17" s="96" t="s">
        <v>68</v>
      </c>
      <c r="J17" s="96" t="s">
        <v>66</v>
      </c>
      <c r="K17" s="96">
        <v>62.5</v>
      </c>
      <c r="R17"/>
      <c r="S17"/>
      <c r="T17"/>
    </row>
    <row r="18" spans="1:20" x14ac:dyDescent="0.25">
      <c r="A18" s="96" t="s">
        <v>106</v>
      </c>
      <c r="B18" s="95">
        <v>44873</v>
      </c>
      <c r="C18" s="96">
        <v>1</v>
      </c>
      <c r="D18" s="96">
        <v>50</v>
      </c>
      <c r="E18" s="96">
        <v>50</v>
      </c>
      <c r="F18" s="96" t="s">
        <v>66</v>
      </c>
      <c r="G18" s="96" t="s">
        <v>66</v>
      </c>
      <c r="H18" s="96" t="s">
        <v>178</v>
      </c>
      <c r="I18" s="96" t="s">
        <v>68</v>
      </c>
      <c r="J18" s="96" t="s">
        <v>163</v>
      </c>
      <c r="K18" s="96">
        <v>50</v>
      </c>
      <c r="R18"/>
      <c r="S18"/>
      <c r="T18"/>
    </row>
    <row r="19" spans="1:20" x14ac:dyDescent="0.25">
      <c r="A19" s="96" t="s">
        <v>106</v>
      </c>
      <c r="B19" s="95">
        <v>44875</v>
      </c>
      <c r="C19" s="96">
        <v>1.25</v>
      </c>
      <c r="D19" s="96">
        <v>50</v>
      </c>
      <c r="E19" s="96">
        <v>62.5</v>
      </c>
      <c r="F19" s="96" t="s">
        <v>66</v>
      </c>
      <c r="G19" s="96" t="s">
        <v>66</v>
      </c>
      <c r="H19" s="96" t="s">
        <v>179</v>
      </c>
      <c r="I19" s="96" t="s">
        <v>68</v>
      </c>
      <c r="J19" s="96" t="s">
        <v>163</v>
      </c>
      <c r="K19" s="96">
        <v>62.5</v>
      </c>
      <c r="R19"/>
      <c r="S19"/>
      <c r="T19"/>
    </row>
    <row r="20" spans="1:20" s="99" customFormat="1" x14ac:dyDescent="0.25">
      <c r="A20" s="99" t="s">
        <v>106</v>
      </c>
      <c r="B20" s="100">
        <v>44886</v>
      </c>
      <c r="C20" s="99">
        <v>1.5</v>
      </c>
      <c r="D20" s="99">
        <v>50</v>
      </c>
      <c r="E20" s="99">
        <v>75</v>
      </c>
      <c r="F20" s="99" t="s">
        <v>66</v>
      </c>
      <c r="G20" s="99" t="s">
        <v>66</v>
      </c>
      <c r="H20" s="99" t="s">
        <v>178</v>
      </c>
      <c r="I20" s="99" t="s">
        <v>68</v>
      </c>
      <c r="J20" s="99" t="s">
        <v>163</v>
      </c>
      <c r="K20" s="99">
        <v>75</v>
      </c>
    </row>
    <row r="21" spans="1:20" s="99" customFormat="1" x14ac:dyDescent="0.25">
      <c r="A21" s="99" t="s">
        <v>106</v>
      </c>
      <c r="B21" s="100">
        <v>44891</v>
      </c>
      <c r="C21" s="99">
        <v>1</v>
      </c>
      <c r="D21" s="99">
        <v>50</v>
      </c>
      <c r="E21" s="99">
        <v>50</v>
      </c>
      <c r="F21" s="99" t="s">
        <v>66</v>
      </c>
      <c r="G21" s="99" t="s">
        <v>66</v>
      </c>
      <c r="H21" s="99" t="s">
        <v>178</v>
      </c>
      <c r="I21" s="99" t="s">
        <v>68</v>
      </c>
      <c r="J21" s="99" t="s">
        <v>163</v>
      </c>
      <c r="K21" s="99">
        <v>50</v>
      </c>
      <c r="L21" s="99" t="s">
        <v>175</v>
      </c>
    </row>
    <row r="22" spans="1:20" s="99" customFormat="1" x14ac:dyDescent="0.25">
      <c r="A22" s="99" t="s">
        <v>106</v>
      </c>
      <c r="B22" s="100">
        <v>44892</v>
      </c>
      <c r="C22" s="99">
        <v>2</v>
      </c>
      <c r="D22" s="99">
        <v>50</v>
      </c>
      <c r="E22" s="99">
        <v>100</v>
      </c>
      <c r="F22" s="99" t="s">
        <v>66</v>
      </c>
      <c r="G22" s="99" t="s">
        <v>66</v>
      </c>
      <c r="H22" s="99" t="s">
        <v>178</v>
      </c>
      <c r="I22" s="99" t="s">
        <v>68</v>
      </c>
      <c r="J22" s="99" t="s">
        <v>163</v>
      </c>
      <c r="K22" s="99">
        <v>100</v>
      </c>
    </row>
    <row r="23" spans="1:20" s="99" customFormat="1" x14ac:dyDescent="0.25">
      <c r="A23" s="99" t="s">
        <v>106</v>
      </c>
      <c r="B23" s="100">
        <v>44893</v>
      </c>
      <c r="C23" s="99">
        <v>1</v>
      </c>
      <c r="D23" s="99">
        <v>50</v>
      </c>
      <c r="E23" s="99">
        <v>50</v>
      </c>
      <c r="F23" s="99" t="s">
        <v>66</v>
      </c>
      <c r="G23" s="99" t="s">
        <v>66</v>
      </c>
      <c r="H23" s="99" t="s">
        <v>178</v>
      </c>
      <c r="I23" s="99" t="s">
        <v>68</v>
      </c>
      <c r="J23" s="99" t="s">
        <v>163</v>
      </c>
      <c r="K23" s="99">
        <v>50</v>
      </c>
    </row>
    <row r="24" spans="1:20" x14ac:dyDescent="0.25">
      <c r="A24" s="96" t="s">
        <v>109</v>
      </c>
      <c r="B24" s="95">
        <v>44895</v>
      </c>
      <c r="C24" s="96">
        <v>2</v>
      </c>
      <c r="D24" s="96">
        <v>50</v>
      </c>
      <c r="E24" s="96">
        <v>100</v>
      </c>
      <c r="F24" s="96" t="s">
        <v>66</v>
      </c>
      <c r="G24" s="96" t="s">
        <v>66</v>
      </c>
      <c r="H24" s="96" t="s">
        <v>180</v>
      </c>
      <c r="I24" s="96" t="s">
        <v>68</v>
      </c>
      <c r="J24" s="96" t="s">
        <v>163</v>
      </c>
      <c r="K24" s="96">
        <v>100</v>
      </c>
    </row>
    <row r="25" spans="1:20" x14ac:dyDescent="0.25">
      <c r="A25" s="96" t="s">
        <v>111</v>
      </c>
      <c r="B25" s="95">
        <v>44886</v>
      </c>
      <c r="C25" s="96">
        <v>1</v>
      </c>
      <c r="D25" s="96">
        <v>60</v>
      </c>
      <c r="E25" s="96">
        <v>60</v>
      </c>
      <c r="F25" s="96" t="s">
        <v>66</v>
      </c>
      <c r="G25" s="96" t="s">
        <v>66</v>
      </c>
      <c r="H25" s="96" t="s">
        <v>181</v>
      </c>
      <c r="I25" s="96"/>
      <c r="J25" s="96" t="s">
        <v>163</v>
      </c>
      <c r="K25" s="96">
        <v>60</v>
      </c>
    </row>
    <row r="26" spans="1:20" x14ac:dyDescent="0.25">
      <c r="B26" s="101"/>
    </row>
    <row r="27" spans="1:20" x14ac:dyDescent="0.25">
      <c r="A27" s="93" t="s">
        <v>182</v>
      </c>
      <c r="K27" s="93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workbookViewId="0"/>
  </sheetViews>
  <sheetFormatPr defaultColWidth="8.85546875" defaultRowHeight="15" x14ac:dyDescent="0.25"/>
  <cols>
    <col min="1" max="8" width="8.85546875" style="93"/>
    <col min="9" max="9" width="75.140625" style="93" bestFit="1" customWidth="1"/>
    <col min="10" max="16384" width="8.85546875" style="93"/>
  </cols>
  <sheetData>
    <row r="1" spans="1:9" x14ac:dyDescent="0.25">
      <c r="A1" s="94" t="s">
        <v>139</v>
      </c>
      <c r="B1" s="94" t="s">
        <v>140</v>
      </c>
      <c r="C1" s="94" t="s">
        <v>141</v>
      </c>
    </row>
    <row r="2" spans="1:9" x14ac:dyDescent="0.25">
      <c r="A2" s="101">
        <v>44825</v>
      </c>
      <c r="B2" s="93">
        <v>0.75</v>
      </c>
      <c r="C2" s="93">
        <f>B2*50</f>
        <v>37.5</v>
      </c>
      <c r="E2" s="93" t="s">
        <v>142</v>
      </c>
      <c r="I2" s="93" t="s">
        <v>143</v>
      </c>
    </row>
    <row r="3" spans="1:9" x14ac:dyDescent="0.25">
      <c r="A3" s="101">
        <v>44826</v>
      </c>
      <c r="B3" s="93">
        <v>1</v>
      </c>
      <c r="C3" s="93">
        <v>50</v>
      </c>
      <c r="E3" s="93">
        <f>C14+C15</f>
        <v>700</v>
      </c>
      <c r="I3" s="93" t="s">
        <v>144</v>
      </c>
    </row>
    <row r="4" spans="1:9" x14ac:dyDescent="0.25">
      <c r="A4" s="101">
        <v>44833</v>
      </c>
      <c r="B4" s="93">
        <v>2</v>
      </c>
      <c r="C4" s="93">
        <v>100</v>
      </c>
    </row>
    <row r="5" spans="1:9" x14ac:dyDescent="0.25">
      <c r="A5" s="101">
        <v>44836</v>
      </c>
      <c r="B5" s="93">
        <v>1.75</v>
      </c>
      <c r="C5" s="93">
        <v>87.5</v>
      </c>
    </row>
    <row r="6" spans="1:9" x14ac:dyDescent="0.25">
      <c r="A6" s="101">
        <v>44837</v>
      </c>
      <c r="B6" s="93">
        <v>0.75</v>
      </c>
      <c r="C6" s="93">
        <v>37.5</v>
      </c>
    </row>
    <row r="7" spans="1:9" x14ac:dyDescent="0.25">
      <c r="A7" s="101">
        <v>44838</v>
      </c>
      <c r="B7" s="93">
        <v>1.25</v>
      </c>
      <c r="C7" s="93">
        <v>62.5</v>
      </c>
    </row>
    <row r="8" spans="1:9" x14ac:dyDescent="0.25">
      <c r="A8" s="101">
        <v>44839</v>
      </c>
      <c r="B8" s="93">
        <v>1.5</v>
      </c>
      <c r="C8" s="93">
        <v>75</v>
      </c>
    </row>
    <row r="9" spans="1:9" x14ac:dyDescent="0.25">
      <c r="A9" s="101">
        <v>44846</v>
      </c>
      <c r="B9" s="93">
        <v>1.5</v>
      </c>
      <c r="C9" s="93">
        <v>75</v>
      </c>
    </row>
    <row r="10" spans="1:9" x14ac:dyDescent="0.25">
      <c r="A10" s="101">
        <v>44850</v>
      </c>
      <c r="B10" s="93">
        <v>1.5</v>
      </c>
      <c r="C10" s="93">
        <v>75</v>
      </c>
    </row>
    <row r="11" spans="1:9" x14ac:dyDescent="0.25">
      <c r="A11" s="101"/>
    </row>
    <row r="12" spans="1:9" x14ac:dyDescent="0.25">
      <c r="A12" s="102" t="s">
        <v>0</v>
      </c>
      <c r="B12" s="93">
        <f>SUM(B2:B10)</f>
        <v>12</v>
      </c>
      <c r="C12" s="93">
        <f>B12*50</f>
        <v>600</v>
      </c>
    </row>
    <row r="14" spans="1:9" x14ac:dyDescent="0.25">
      <c r="A14" s="93" t="s">
        <v>145</v>
      </c>
      <c r="B14" s="93">
        <v>12</v>
      </c>
      <c r="C14" s="93">
        <v>600</v>
      </c>
    </row>
    <row r="15" spans="1:9" x14ac:dyDescent="0.25">
      <c r="A15" s="93" t="s">
        <v>146</v>
      </c>
      <c r="C15" s="103">
        <v>100</v>
      </c>
    </row>
    <row r="16" spans="1:9" x14ac:dyDescent="0.25">
      <c r="A16" s="93" t="s">
        <v>147</v>
      </c>
      <c r="B16" s="93">
        <v>0</v>
      </c>
      <c r="C16" s="93">
        <v>0</v>
      </c>
    </row>
    <row r="17" spans="1:3" s="104" customFormat="1" x14ac:dyDescent="0.25"/>
    <row r="18" spans="1:3" x14ac:dyDescent="0.25">
      <c r="A18" s="94" t="s">
        <v>139</v>
      </c>
      <c r="B18" s="94" t="s">
        <v>140</v>
      </c>
      <c r="C18" s="94" t="s">
        <v>141</v>
      </c>
    </row>
    <row r="19" spans="1:3" x14ac:dyDescent="0.25">
      <c r="A19" s="101">
        <v>44852</v>
      </c>
      <c r="B19" s="93">
        <v>1</v>
      </c>
      <c r="C19" s="93">
        <v>50</v>
      </c>
    </row>
    <row r="20" spans="1:3" x14ac:dyDescent="0.25">
      <c r="A20" s="101">
        <v>44858</v>
      </c>
      <c r="B20" s="93">
        <v>1</v>
      </c>
      <c r="C20" s="93">
        <v>50</v>
      </c>
    </row>
    <row r="21" spans="1:3" x14ac:dyDescent="0.25">
      <c r="A21" s="101">
        <v>44859</v>
      </c>
      <c r="B21" s="93">
        <v>1</v>
      </c>
      <c r="C21" s="93">
        <v>50</v>
      </c>
    </row>
    <row r="22" spans="1:3" x14ac:dyDescent="0.25">
      <c r="A22" s="101">
        <v>44861</v>
      </c>
      <c r="B22" s="93">
        <v>2.5</v>
      </c>
      <c r="C22" s="93">
        <v>125</v>
      </c>
    </row>
    <row r="23" spans="1:3" ht="17.25" customHeight="1" x14ac:dyDescent="0.25">
      <c r="A23" s="101">
        <v>44862</v>
      </c>
      <c r="B23" s="93">
        <v>1</v>
      </c>
      <c r="C23" s="93">
        <v>50</v>
      </c>
    </row>
    <row r="24" spans="1:3" ht="17.25" customHeight="1" x14ac:dyDescent="0.25">
      <c r="A24" s="101">
        <v>44871</v>
      </c>
      <c r="B24" s="93">
        <v>1.5</v>
      </c>
      <c r="C24" s="93">
        <v>75</v>
      </c>
    </row>
    <row r="25" spans="1:3" ht="17.25" customHeight="1" x14ac:dyDescent="0.25">
      <c r="A25" s="101">
        <v>44872</v>
      </c>
      <c r="B25" s="93">
        <v>2</v>
      </c>
      <c r="C25" s="93">
        <v>100</v>
      </c>
    </row>
    <row r="26" spans="1:3" x14ac:dyDescent="0.25">
      <c r="A26" s="101">
        <v>44872</v>
      </c>
      <c r="B26" s="93">
        <v>1</v>
      </c>
      <c r="C26" s="93">
        <v>50</v>
      </c>
    </row>
    <row r="27" spans="1:3" x14ac:dyDescent="0.25">
      <c r="A27" s="101">
        <v>44872</v>
      </c>
      <c r="B27" s="93">
        <v>2</v>
      </c>
      <c r="C27" s="93">
        <v>100</v>
      </c>
    </row>
    <row r="28" spans="1:3" x14ac:dyDescent="0.25">
      <c r="A28" s="101">
        <v>44872</v>
      </c>
      <c r="B28" s="93">
        <v>1</v>
      </c>
      <c r="C28" s="93">
        <v>50</v>
      </c>
    </row>
    <row r="29" spans="1:3" x14ac:dyDescent="0.25">
      <c r="A29" s="101">
        <v>44873</v>
      </c>
      <c r="B29" s="93">
        <v>1.5</v>
      </c>
      <c r="C29" s="93">
        <v>75</v>
      </c>
    </row>
    <row r="30" spans="1:3" x14ac:dyDescent="0.25">
      <c r="A30" s="101">
        <v>44886</v>
      </c>
      <c r="B30" s="93">
        <v>1.5</v>
      </c>
      <c r="C30" s="93">
        <v>75</v>
      </c>
    </row>
    <row r="31" spans="1:3" x14ac:dyDescent="0.25">
      <c r="A31" s="101">
        <v>44891</v>
      </c>
      <c r="B31" s="93">
        <v>0.5</v>
      </c>
      <c r="C31" s="93">
        <v>25</v>
      </c>
    </row>
    <row r="32" spans="1:3" x14ac:dyDescent="0.25">
      <c r="A32" s="101">
        <v>44892</v>
      </c>
      <c r="B32" s="93">
        <v>1.5</v>
      </c>
      <c r="C32" s="93">
        <v>75</v>
      </c>
    </row>
    <row r="33" spans="1:5" x14ac:dyDescent="0.25">
      <c r="A33" s="101">
        <v>44893</v>
      </c>
      <c r="B33" s="93">
        <v>1</v>
      </c>
      <c r="C33" s="93">
        <v>50</v>
      </c>
    </row>
    <row r="34" spans="1:5" x14ac:dyDescent="0.25">
      <c r="A34" s="102" t="s">
        <v>0</v>
      </c>
      <c r="B34" s="93">
        <f>SUM(B19:B33)</f>
        <v>20</v>
      </c>
      <c r="C34" s="93">
        <f>B34*50</f>
        <v>1000</v>
      </c>
    </row>
    <row r="36" spans="1:5" x14ac:dyDescent="0.25">
      <c r="A36" s="93" t="s">
        <v>145</v>
      </c>
      <c r="B36" s="93">
        <v>14</v>
      </c>
      <c r="C36" s="93">
        <v>700</v>
      </c>
      <c r="E36" s="94"/>
    </row>
    <row r="37" spans="1:5" x14ac:dyDescent="0.25">
      <c r="A37" s="93" t="s">
        <v>146</v>
      </c>
      <c r="C37" s="103">
        <v>100</v>
      </c>
    </row>
    <row r="38" spans="1:5" x14ac:dyDescent="0.25">
      <c r="A38" s="93" t="s">
        <v>147</v>
      </c>
      <c r="C38" s="93">
        <v>300</v>
      </c>
    </row>
    <row r="39" spans="1:5" s="104" customFormat="1" x14ac:dyDescent="0.25"/>
    <row r="40" spans="1:5" x14ac:dyDescent="0.25">
      <c r="A40" s="94" t="s">
        <v>139</v>
      </c>
      <c r="B40" s="94" t="s">
        <v>140</v>
      </c>
      <c r="C40" s="94" t="s">
        <v>141</v>
      </c>
    </row>
    <row r="41" spans="1:5" x14ac:dyDescent="0.25">
      <c r="A41" s="93" t="s">
        <v>183</v>
      </c>
      <c r="C41" s="93">
        <v>300</v>
      </c>
    </row>
    <row r="42" spans="1:5" x14ac:dyDescent="0.25">
      <c r="A42" s="101">
        <v>44899</v>
      </c>
      <c r="B42" s="93">
        <v>1.5</v>
      </c>
      <c r="C42" s="93">
        <v>75</v>
      </c>
    </row>
    <row r="43" spans="1:5" x14ac:dyDescent="0.25">
      <c r="A43" s="101"/>
    </row>
    <row r="45" spans="1:5" x14ac:dyDescent="0.25">
      <c r="A45" s="102" t="s">
        <v>0</v>
      </c>
      <c r="C45" s="93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2D64-666F-4408-A2A3-D3F056CE9A9A}">
  <sheetPr>
    <tabColor theme="1"/>
    <pageSetUpPr fitToPage="1"/>
  </sheetPr>
  <dimension ref="B8:T31"/>
  <sheetViews>
    <sheetView workbookViewId="0"/>
  </sheetViews>
  <sheetFormatPr defaultRowHeight="15" x14ac:dyDescent="0.25"/>
  <cols>
    <col min="2" max="2" width="34" bestFit="1" customWidth="1"/>
    <col min="3" max="10" width="11.5703125" bestFit="1" customWidth="1"/>
    <col min="11" max="11" width="11.7109375" bestFit="1" customWidth="1"/>
    <col min="12" max="14" width="11.5703125" bestFit="1" customWidth="1"/>
    <col min="15" max="15" width="2.7109375" customWidth="1"/>
    <col min="16" max="16" width="9.85546875" bestFit="1" customWidth="1"/>
  </cols>
  <sheetData>
    <row r="8" spans="2:16" x14ac:dyDescent="0.25">
      <c r="B8" s="767" t="s">
        <v>225</v>
      </c>
      <c r="C8" s="767"/>
      <c r="D8" s="767"/>
      <c r="E8" s="767"/>
      <c r="F8" s="767"/>
      <c r="G8" s="767"/>
      <c r="H8" s="767"/>
      <c r="I8" s="767"/>
      <c r="J8" s="767"/>
      <c r="K8" s="767"/>
      <c r="L8" s="767"/>
      <c r="M8" s="767"/>
      <c r="N8" s="767"/>
      <c r="O8" s="767"/>
      <c r="P8" s="767"/>
    </row>
    <row r="10" spans="2:16" ht="15.75" x14ac:dyDescent="0.25">
      <c r="B10" s="49"/>
      <c r="C10" s="121" t="str">
        <f>TEXT('Monthly Detail'!D3,"mmmm")</f>
        <v>January</v>
      </c>
      <c r="D10" s="50" t="str">
        <f>TEXT('Monthly Detail'!E3,"mmmm")</f>
        <v>February</v>
      </c>
      <c r="E10" s="50" t="str">
        <f>TEXT('Monthly Detail'!F3,"mmmm")</f>
        <v>March</v>
      </c>
      <c r="F10" s="50" t="str">
        <f>TEXT('Monthly Detail'!G3,"mmmm")</f>
        <v>April</v>
      </c>
      <c r="G10" s="50" t="str">
        <f>TEXT('Monthly Detail'!H3,"mmmm")</f>
        <v>May</v>
      </c>
      <c r="H10" s="50" t="str">
        <f>TEXT('Monthly Detail'!I3,"mmmm")</f>
        <v>June</v>
      </c>
      <c r="I10" s="50" t="str">
        <f>TEXT('Monthly Detail'!J3,"mmmm")</f>
        <v>July</v>
      </c>
      <c r="J10" s="50" t="str">
        <f>TEXT('Monthly Detail'!K3,"mmmm")</f>
        <v>August</v>
      </c>
      <c r="K10" s="50" t="str">
        <f>TEXT('Monthly Detail'!L3,"mmmm")</f>
        <v>September</v>
      </c>
      <c r="L10" s="50" t="str">
        <f>TEXT('Monthly Detail'!M3,"mmmm")</f>
        <v>October</v>
      </c>
      <c r="M10" s="50" t="str">
        <f>TEXT('Monthly Detail'!N3,"mmmm")</f>
        <v>November</v>
      </c>
      <c r="N10" s="50" t="str">
        <f>TEXT('Monthly Detail'!O3,"mmmm")</f>
        <v>December</v>
      </c>
      <c r="O10" s="51"/>
      <c r="P10" s="52" t="s">
        <v>0</v>
      </c>
    </row>
    <row r="11" spans="2:16" x14ac:dyDescent="0.25">
      <c r="B11" s="7"/>
      <c r="C11" s="122">
        <v>45322</v>
      </c>
      <c r="D11" s="72">
        <v>45351</v>
      </c>
      <c r="E11" s="72">
        <v>45382</v>
      </c>
      <c r="F11" s="7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</row>
    <row r="12" spans="2:16" x14ac:dyDescent="0.25">
      <c r="B12" s="53" t="s">
        <v>51</v>
      </c>
      <c r="C12" s="123">
        <f>SUMIF('Monthly Detail'!$3:$3, '2024 Overview (Budget)'!C$11, 'Monthly Detail'!9:9)</f>
        <v>0</v>
      </c>
      <c r="D12" s="54">
        <f>+'2024 AOP'!D12</f>
        <v>4844.1611842105267</v>
      </c>
      <c r="E12" s="54">
        <f>+'2024 AOP'!E12</f>
        <v>3944.633152173913</v>
      </c>
      <c r="F12" s="54">
        <f>+'2024 AOP'!F12</f>
        <v>5914.9553571428578</v>
      </c>
      <c r="G12" s="54">
        <f>+'2024 AOP'!G12</f>
        <v>9283.8541666666679</v>
      </c>
      <c r="H12" s="54">
        <f>+'2024 AOP'!H12</f>
        <v>6091.382575757576</v>
      </c>
      <c r="I12" s="54">
        <f>+'2024 AOP'!I12</f>
        <v>8868.75</v>
      </c>
      <c r="J12" s="54">
        <f>+'2024 AOP'!J12</f>
        <v>8337.0364450127872</v>
      </c>
      <c r="K12" s="54">
        <f>+'2024 AOP'!K12</f>
        <v>11563.577586206897</v>
      </c>
      <c r="L12" s="54">
        <f>+'2024 AOP'!L12</f>
        <v>9344.2604758522739</v>
      </c>
      <c r="M12" s="54">
        <f>+'2024 AOP'!M12</f>
        <v>5520.01953125</v>
      </c>
      <c r="N12" s="54">
        <f>+'2024 AOP'!N12</f>
        <v>3421.0526315789475</v>
      </c>
      <c r="O12" s="54"/>
      <c r="P12" s="54">
        <f>SUM(C12:O12)</f>
        <v>77133.683105852455</v>
      </c>
    </row>
    <row r="13" spans="2:16" x14ac:dyDescent="0.25">
      <c r="B13" s="53" t="s">
        <v>158</v>
      </c>
      <c r="C13" s="123" t="e">
        <f>SUMIF('Monthly Detail'!$3:$3, '2024 Overview (Budget)'!C$11, 'Monthly Detail'!#REF!)</f>
        <v>#REF!</v>
      </c>
      <c r="D13" s="54">
        <f>+'2024 AOP'!D13</f>
        <v>49.5</v>
      </c>
      <c r="E13" s="54">
        <f>+'2024 AOP'!E13</f>
        <v>49.5</v>
      </c>
      <c r="F13" s="54">
        <f>+'2024 AOP'!F13</f>
        <v>49.5</v>
      </c>
      <c r="G13" s="54">
        <f>+'2024 AOP'!G13</f>
        <v>49.5</v>
      </c>
      <c r="H13" s="54">
        <f>+'2024 AOP'!H13</f>
        <v>49.5</v>
      </c>
      <c r="I13" s="54">
        <f>+'2024 AOP'!I13</f>
        <v>49.5</v>
      </c>
      <c r="J13" s="54">
        <f>+'2024 AOP'!J13</f>
        <v>49.5</v>
      </c>
      <c r="K13" s="54">
        <f>+'2024 AOP'!K13</f>
        <v>49.5</v>
      </c>
      <c r="L13" s="54">
        <f>+'2024 AOP'!L13</f>
        <v>49.5</v>
      </c>
      <c r="M13" s="54">
        <f>+'2024 AOP'!M13</f>
        <v>49.5</v>
      </c>
      <c r="N13" s="54">
        <f>+'2024 AOP'!N13</f>
        <v>49.5</v>
      </c>
      <c r="O13" s="54"/>
      <c r="P13" s="54"/>
    </row>
    <row r="14" spans="2:16" x14ac:dyDescent="0.25">
      <c r="B14" s="55" t="s">
        <v>3</v>
      </c>
      <c r="C14" s="124" t="e">
        <f>SUM(C12:C13)</f>
        <v>#REF!</v>
      </c>
      <c r="D14" s="55">
        <f t="shared" ref="D14:N14" si="0">SUM(D12:D13)</f>
        <v>4893.6611842105267</v>
      </c>
      <c r="E14" s="55">
        <f t="shared" si="0"/>
        <v>3994.133152173913</v>
      </c>
      <c r="F14" s="55">
        <f t="shared" si="0"/>
        <v>5964.4553571428578</v>
      </c>
      <c r="G14" s="55">
        <f t="shared" si="0"/>
        <v>9333.3541666666679</v>
      </c>
      <c r="H14" s="55">
        <f t="shared" si="0"/>
        <v>6140.882575757576</v>
      </c>
      <c r="I14" s="55">
        <f t="shared" si="0"/>
        <v>8918.25</v>
      </c>
      <c r="J14" s="55">
        <f t="shared" si="0"/>
        <v>8386.5364450127872</v>
      </c>
      <c r="K14" s="55">
        <f t="shared" si="0"/>
        <v>11613.077586206897</v>
      </c>
      <c r="L14" s="55">
        <f t="shared" si="0"/>
        <v>9393.7604758522739</v>
      </c>
      <c r="M14" s="55">
        <f t="shared" si="0"/>
        <v>5569.51953125</v>
      </c>
      <c r="N14" s="55">
        <f t="shared" si="0"/>
        <v>3470.5526315789475</v>
      </c>
      <c r="O14" s="56"/>
      <c r="P14" s="55">
        <f>SUM(P12:P12)</f>
        <v>77133.683105852455</v>
      </c>
    </row>
    <row r="15" spans="2:16" x14ac:dyDescent="0.25">
      <c r="B15" s="7"/>
      <c r="C15" s="125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P15" s="57"/>
    </row>
    <row r="16" spans="2:16" ht="15.75" x14ac:dyDescent="0.25">
      <c r="B16" s="68" t="s">
        <v>149</v>
      </c>
      <c r="C16" s="126" t="e">
        <f>C14</f>
        <v>#REF!</v>
      </c>
      <c r="D16" s="69">
        <f t="shared" ref="D16:N16" si="1">D14</f>
        <v>4893.6611842105267</v>
      </c>
      <c r="E16" s="69">
        <f t="shared" si="1"/>
        <v>3994.133152173913</v>
      </c>
      <c r="F16" s="69">
        <f t="shared" si="1"/>
        <v>5964.4553571428578</v>
      </c>
      <c r="G16" s="69">
        <f t="shared" si="1"/>
        <v>9333.3541666666679</v>
      </c>
      <c r="H16" s="69">
        <f t="shared" si="1"/>
        <v>6140.882575757576</v>
      </c>
      <c r="I16" s="69">
        <f t="shared" si="1"/>
        <v>8918.25</v>
      </c>
      <c r="J16" s="69">
        <f t="shared" si="1"/>
        <v>8386.5364450127872</v>
      </c>
      <c r="K16" s="69">
        <f t="shared" si="1"/>
        <v>11613.077586206897</v>
      </c>
      <c r="L16" s="69">
        <f t="shared" si="1"/>
        <v>9393.7604758522739</v>
      </c>
      <c r="M16" s="69">
        <f t="shared" si="1"/>
        <v>5569.51953125</v>
      </c>
      <c r="N16" s="69">
        <f t="shared" si="1"/>
        <v>3470.5526315789475</v>
      </c>
      <c r="O16" s="58"/>
      <c r="P16" s="69">
        <f>P14</f>
        <v>77133.683105852455</v>
      </c>
    </row>
    <row r="17" spans="2:20" x14ac:dyDescent="0.25">
      <c r="B17" s="70" t="s">
        <v>150</v>
      </c>
      <c r="C17" s="127" t="e">
        <f t="shared" ref="C17:N17" si="2">C16/C14</f>
        <v>#REF!</v>
      </c>
      <c r="D17" s="71">
        <f t="shared" si="2"/>
        <v>1</v>
      </c>
      <c r="E17" s="71">
        <f t="shared" si="2"/>
        <v>1</v>
      </c>
      <c r="F17" s="71">
        <f t="shared" si="2"/>
        <v>1</v>
      </c>
      <c r="G17" s="71">
        <f t="shared" si="2"/>
        <v>1</v>
      </c>
      <c r="H17" s="71">
        <f t="shared" si="2"/>
        <v>1</v>
      </c>
      <c r="I17" s="71">
        <f t="shared" si="2"/>
        <v>1</v>
      </c>
      <c r="J17" s="71">
        <f t="shared" si="2"/>
        <v>1</v>
      </c>
      <c r="K17" s="71">
        <f t="shared" si="2"/>
        <v>1</v>
      </c>
      <c r="L17" s="71">
        <f t="shared" si="2"/>
        <v>1</v>
      </c>
      <c r="M17" s="71">
        <f t="shared" si="2"/>
        <v>1</v>
      </c>
      <c r="N17" s="71">
        <f t="shared" si="2"/>
        <v>1</v>
      </c>
      <c r="O17" s="7"/>
      <c r="P17" s="71">
        <f>P16/P14</f>
        <v>1</v>
      </c>
    </row>
    <row r="18" spans="2:20" x14ac:dyDescent="0.25">
      <c r="B18" s="7"/>
      <c r="C18" s="92"/>
    </row>
    <row r="19" spans="2:20" x14ac:dyDescent="0.25">
      <c r="B19" s="7" t="s">
        <v>186</v>
      </c>
      <c r="C19" s="123">
        <f>SUMIF('Monthly Detail'!$3:$3, '2024 Overview (Budget)'!C$11, 'Monthly Detail'!$79:$79)</f>
        <v>1735.88</v>
      </c>
      <c r="D19" s="54">
        <f>+'2024 AOP'!D20</f>
        <v>810.76066666666679</v>
      </c>
      <c r="E19" s="54">
        <f>+'2024 AOP'!E20</f>
        <v>810.76066666666679</v>
      </c>
      <c r="F19" s="54">
        <f>+'2024 AOP'!F20</f>
        <v>960.76066666666679</v>
      </c>
      <c r="G19" s="54">
        <f>+'2024 AOP'!G20</f>
        <v>810.76066666666679</v>
      </c>
      <c r="H19" s="54">
        <f>+'2024 AOP'!H20</f>
        <v>810.76066666666679</v>
      </c>
      <c r="I19" s="54">
        <f>+'2024 AOP'!I20</f>
        <v>960.76066666666679</v>
      </c>
      <c r="J19" s="54">
        <f>+'2024 AOP'!J20</f>
        <v>810.76066666666679</v>
      </c>
      <c r="K19" s="54">
        <f>+'2024 AOP'!K20</f>
        <v>1291.4503218390807</v>
      </c>
      <c r="L19" s="54">
        <f>+'2024 AOP'!L20</f>
        <v>960.76066666666679</v>
      </c>
      <c r="M19" s="54">
        <f>+'2024 AOP'!M20</f>
        <v>810.76066666666679</v>
      </c>
      <c r="N19" s="54">
        <f>+'2024 AOP'!N20</f>
        <v>810.76066666666679</v>
      </c>
      <c r="P19" s="54">
        <f>SUM(C19:O19)</f>
        <v>11584.936988505751</v>
      </c>
      <c r="T19" s="1"/>
    </row>
    <row r="20" spans="2:20" x14ac:dyDescent="0.25">
      <c r="B20" s="59" t="s">
        <v>151</v>
      </c>
      <c r="C20" s="128">
        <f t="shared" ref="C20:N20" si="3">SUM(C19:C19)</f>
        <v>1735.88</v>
      </c>
      <c r="D20" s="60">
        <f t="shared" si="3"/>
        <v>810.76066666666679</v>
      </c>
      <c r="E20" s="60">
        <f t="shared" si="3"/>
        <v>810.76066666666679</v>
      </c>
      <c r="F20" s="60">
        <f t="shared" si="3"/>
        <v>960.76066666666679</v>
      </c>
      <c r="G20" s="60">
        <f t="shared" si="3"/>
        <v>810.76066666666679</v>
      </c>
      <c r="H20" s="60">
        <f t="shared" si="3"/>
        <v>810.76066666666679</v>
      </c>
      <c r="I20" s="60">
        <f t="shared" si="3"/>
        <v>960.76066666666679</v>
      </c>
      <c r="J20" s="60">
        <f t="shared" si="3"/>
        <v>810.76066666666679</v>
      </c>
      <c r="K20" s="60">
        <f t="shared" si="3"/>
        <v>1291.4503218390807</v>
      </c>
      <c r="L20" s="60">
        <f t="shared" si="3"/>
        <v>960.76066666666679</v>
      </c>
      <c r="M20" s="60">
        <f t="shared" si="3"/>
        <v>810.76066666666679</v>
      </c>
      <c r="N20" s="60">
        <f t="shared" si="3"/>
        <v>810.76066666666679</v>
      </c>
      <c r="O20" s="61"/>
      <c r="P20" s="60">
        <f>SUM(P19:P19)</f>
        <v>11584.936988505751</v>
      </c>
    </row>
    <row r="21" spans="2:20" x14ac:dyDescent="0.25">
      <c r="B21" s="7"/>
      <c r="C21" s="92"/>
    </row>
    <row r="22" spans="2:20" ht="15.75" x14ac:dyDescent="0.25">
      <c r="B22" s="68" t="s">
        <v>152</v>
      </c>
      <c r="C22" s="126" t="e">
        <f t="shared" ref="C22:N22" si="4">C16-C20</f>
        <v>#REF!</v>
      </c>
      <c r="D22" s="69">
        <f>D16-D20</f>
        <v>4082.9005175438597</v>
      </c>
      <c r="E22" s="69">
        <f t="shared" si="4"/>
        <v>3183.372485507246</v>
      </c>
      <c r="F22" s="69">
        <f t="shared" si="4"/>
        <v>5003.6946904761908</v>
      </c>
      <c r="G22" s="69">
        <f t="shared" si="4"/>
        <v>8522.5935000000009</v>
      </c>
      <c r="H22" s="69">
        <f t="shared" si="4"/>
        <v>5330.121909090909</v>
      </c>
      <c r="I22" s="69">
        <f t="shared" si="4"/>
        <v>7957.489333333333</v>
      </c>
      <c r="J22" s="69">
        <f t="shared" si="4"/>
        <v>7575.7757783461202</v>
      </c>
      <c r="K22" s="69">
        <f t="shared" si="4"/>
        <v>10321.627264367817</v>
      </c>
      <c r="L22" s="69">
        <f t="shared" si="4"/>
        <v>8432.9998091856069</v>
      </c>
      <c r="M22" s="69">
        <f t="shared" si="4"/>
        <v>4758.758864583333</v>
      </c>
      <c r="N22" s="69">
        <f t="shared" si="4"/>
        <v>2659.7919649122805</v>
      </c>
      <c r="O22" s="58"/>
      <c r="P22" s="69">
        <f>P16-P20</f>
        <v>65548.746117346702</v>
      </c>
    </row>
    <row r="23" spans="2:20" x14ac:dyDescent="0.25">
      <c r="B23" s="70" t="s">
        <v>153</v>
      </c>
      <c r="C23" s="127" t="e">
        <f t="shared" ref="C23:N23" si="5">C22/C14</f>
        <v>#REF!</v>
      </c>
      <c r="D23" s="71">
        <f t="shared" si="5"/>
        <v>0.83432431544656205</v>
      </c>
      <c r="E23" s="71">
        <f t="shared" si="5"/>
        <v>0.79701210856593774</v>
      </c>
      <c r="F23" s="71">
        <f t="shared" si="5"/>
        <v>0.83891896088783902</v>
      </c>
      <c r="G23" s="71">
        <f t="shared" si="5"/>
        <v>0.91313297961388473</v>
      </c>
      <c r="H23" s="71">
        <f t="shared" si="5"/>
        <v>0.8679732666005836</v>
      </c>
      <c r="I23" s="71">
        <f t="shared" si="5"/>
        <v>0.89227026976518187</v>
      </c>
      <c r="J23" s="71">
        <f t="shared" si="5"/>
        <v>0.90332592340324225</v>
      </c>
      <c r="K23" s="71">
        <f t="shared" si="5"/>
        <v>0.88879344753771705</v>
      </c>
      <c r="L23" s="71">
        <f t="shared" si="5"/>
        <v>0.89772352944953071</v>
      </c>
      <c r="M23" s="71">
        <f t="shared" si="5"/>
        <v>0.85442897504576965</v>
      </c>
      <c r="N23" s="71">
        <f t="shared" si="5"/>
        <v>0.76638859780155333</v>
      </c>
      <c r="O23" s="7"/>
      <c r="P23" s="71">
        <f>P22/P14</f>
        <v>0.84980702953588438</v>
      </c>
    </row>
    <row r="24" spans="2:20" x14ac:dyDescent="0.25">
      <c r="B24" s="62"/>
      <c r="C24" s="129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P24" s="63"/>
    </row>
    <row r="25" spans="2:20" x14ac:dyDescent="0.25">
      <c r="B25" s="7" t="s">
        <v>154</v>
      </c>
      <c r="C25" s="130">
        <f>SUMIF('Monthly Detail'!$3:$3, '2024 Overview (Budget)'!C$11, 'Monthly Detail'!87:87)</f>
        <v>0</v>
      </c>
      <c r="D25" s="105">
        <f>SUMIF('Monthly Detail'!$3:$3, '2024 Overview (Budget)'!D$11, 'Monthly Detail'!87:87)</f>
        <v>0</v>
      </c>
      <c r="E25" s="108">
        <f>SUMIF('Monthly Detail'!$3:$3, '2024 Overview (Budget)'!E$11, 'Monthly Detail'!87:87)</f>
        <v>0</v>
      </c>
      <c r="F25" s="105">
        <f>SUMIF('Monthly Detail'!$3:$3, '2024 Overview (Budget)'!F$11, 'Monthly Detail'!87:87)</f>
        <v>0</v>
      </c>
      <c r="G25" s="105">
        <f>SUMIF('Monthly Detail'!$3:$3, '2024 Overview (Budget)'!G$11, 'Monthly Detail'!87:87)</f>
        <v>0</v>
      </c>
      <c r="H25" s="105">
        <f>SUMIF('Monthly Detail'!$3:$3, '2024 Overview (Budget)'!H$11, 'Monthly Detail'!87:87)</f>
        <v>0</v>
      </c>
      <c r="I25" s="108">
        <f>SUMIF('Monthly Detail'!$3:$3, '2024 Overview (Budget)'!I$11, 'Monthly Detail'!87:87)</f>
        <v>300</v>
      </c>
      <c r="J25" s="105">
        <f>SUMIF('Monthly Detail'!$3:$3, '2024 Overview (Budget)'!J$11, 'Monthly Detail'!87:87)</f>
        <v>0</v>
      </c>
      <c r="K25" s="105">
        <f>SUMIF('Monthly Detail'!$3:$3, '2024 Overview (Budget)'!K$11, 'Monthly Detail'!87:87)</f>
        <v>300</v>
      </c>
      <c r="L25" s="105">
        <f>SUMIF('Monthly Detail'!$3:$3, '2024 Overview (Budget)'!L$11, 'Monthly Detail'!87:87)</f>
        <v>0</v>
      </c>
      <c r="M25" s="105">
        <f>SUMIF('Monthly Detail'!$3:$3, '2024 Overview (Budget)'!M$11, 'Monthly Detail'!87:87)</f>
        <v>0</v>
      </c>
      <c r="N25" s="105">
        <f>SUMIF('Monthly Detail'!$3:$3, '2024 Overview (Budget)'!N$11, 'Monthly Detail'!87:87)</f>
        <v>0</v>
      </c>
      <c r="O25" s="105"/>
      <c r="P25" s="90">
        <f>SUM(C25:O25)</f>
        <v>600</v>
      </c>
    </row>
    <row r="26" spans="2:20" ht="15.75" x14ac:dyDescent="0.25">
      <c r="B26" s="68" t="s">
        <v>12</v>
      </c>
      <c r="C26" s="126" t="e">
        <f t="shared" ref="C26:N26" si="6">C22+SUM(C25:C25)</f>
        <v>#REF!</v>
      </c>
      <c r="D26" s="69">
        <f t="shared" si="6"/>
        <v>4082.9005175438597</v>
      </c>
      <c r="E26" s="69">
        <f t="shared" si="6"/>
        <v>3183.372485507246</v>
      </c>
      <c r="F26" s="69">
        <f t="shared" si="6"/>
        <v>5003.6946904761908</v>
      </c>
      <c r="G26" s="69">
        <f t="shared" si="6"/>
        <v>8522.5935000000009</v>
      </c>
      <c r="H26" s="69">
        <f t="shared" si="6"/>
        <v>5330.121909090909</v>
      </c>
      <c r="I26" s="69">
        <f t="shared" si="6"/>
        <v>8257.489333333333</v>
      </c>
      <c r="J26" s="69">
        <f t="shared" si="6"/>
        <v>7575.7757783461202</v>
      </c>
      <c r="K26" s="69">
        <f t="shared" si="6"/>
        <v>10621.627264367817</v>
      </c>
      <c r="L26" s="69">
        <f t="shared" si="6"/>
        <v>8432.9998091856069</v>
      </c>
      <c r="M26" s="69">
        <f t="shared" si="6"/>
        <v>4758.758864583333</v>
      </c>
      <c r="N26" s="69">
        <f t="shared" si="6"/>
        <v>2659.7919649122805</v>
      </c>
      <c r="O26" s="58"/>
      <c r="P26" s="69">
        <f>P22+SUM(P25:P25)</f>
        <v>66148.746117346702</v>
      </c>
    </row>
    <row r="27" spans="2:20" x14ac:dyDescent="0.25">
      <c r="B27" s="70" t="s">
        <v>155</v>
      </c>
      <c r="C27" s="127" t="e">
        <f t="shared" ref="C27:N27" si="7">C26/C14</f>
        <v>#REF!</v>
      </c>
      <c r="D27" s="71">
        <f t="shared" si="7"/>
        <v>0.83432431544656205</v>
      </c>
      <c r="E27" s="71">
        <f t="shared" si="7"/>
        <v>0.79701210856593774</v>
      </c>
      <c r="F27" s="71">
        <f t="shared" si="7"/>
        <v>0.83891896088783902</v>
      </c>
      <c r="G27" s="71">
        <f t="shared" si="7"/>
        <v>0.91313297961388473</v>
      </c>
      <c r="H27" s="71">
        <f t="shared" si="7"/>
        <v>0.8679732666005836</v>
      </c>
      <c r="I27" s="71">
        <f t="shared" si="7"/>
        <v>0.92590915631803694</v>
      </c>
      <c r="J27" s="71">
        <f t="shared" si="7"/>
        <v>0.90332592340324225</v>
      </c>
      <c r="K27" s="71">
        <f t="shared" si="7"/>
        <v>0.91462639300570525</v>
      </c>
      <c r="L27" s="71">
        <f t="shared" si="7"/>
        <v>0.89772352944953071</v>
      </c>
      <c r="M27" s="71">
        <f t="shared" si="7"/>
        <v>0.85442897504576965</v>
      </c>
      <c r="N27" s="71">
        <f t="shared" si="7"/>
        <v>0.76638859780155333</v>
      </c>
      <c r="O27" s="7"/>
      <c r="P27" s="71">
        <f>P26/P14</f>
        <v>0.85758573237802149</v>
      </c>
    </row>
    <row r="28" spans="2:20" ht="15.75" thickBot="1" x14ac:dyDescent="0.3">
      <c r="B28" s="7"/>
      <c r="C28" s="92"/>
    </row>
    <row r="29" spans="2:20" ht="15.75" thickBot="1" x14ac:dyDescent="0.3">
      <c r="B29" s="64" t="s">
        <v>156</v>
      </c>
      <c r="C29" s="131">
        <f>SUMIF('Monthly Detail'!$3:$3, '2024 Overview (Budget)'!C$11, 'Monthly Detail'!195:195)</f>
        <v>95197.939999999973</v>
      </c>
      <c r="D29" s="134">
        <f>+'2024 AOP'!D30</f>
        <v>3316.6412282455376</v>
      </c>
      <c r="E29" s="65">
        <f>+'2024 AOP'!E30</f>
        <v>5497.8005183445657</v>
      </c>
      <c r="F29" s="134">
        <f>+'2024 AOP'!F30</f>
        <v>3302.7836486269971</v>
      </c>
      <c r="G29" s="65">
        <f>+'2024 AOP'!G30</f>
        <v>8871.8882385311808</v>
      </c>
      <c r="H29" s="65">
        <f>+'2024 AOP'!H30</f>
        <v>13456.513174061729</v>
      </c>
      <c r="I29" s="65">
        <f>+'2024 AOP'!I30</f>
        <v>18493.088487745135</v>
      </c>
      <c r="J29" s="134">
        <f>+'2024 AOP'!J30</f>
        <v>19751.221462811165</v>
      </c>
      <c r="K29" s="65">
        <f>+'2024 AOP'!K30</f>
        <v>23942.748287661394</v>
      </c>
      <c r="L29" s="65">
        <f>+'2024 AOP'!L30</f>
        <v>24840.367955744099</v>
      </c>
      <c r="M29" s="65">
        <f>+'2024 AOP'!M30</f>
        <v>26127.425582637512</v>
      </c>
      <c r="N29" s="65">
        <f>+'2024 AOP'!N30</f>
        <v>27707.064622903279</v>
      </c>
    </row>
    <row r="30" spans="2:20" ht="15.75" thickBot="1" x14ac:dyDescent="0.3">
      <c r="B30" s="66" t="s">
        <v>157</v>
      </c>
      <c r="C30" s="132">
        <f>SUMIF('Monthly Detail'!$3:$3, '2024 Overview (Budget)'!C$11, 'Monthly Detail'!192:192)</f>
        <v>-99451.290000000008</v>
      </c>
      <c r="D30" s="134">
        <f>+'2024 AOP'!D31</f>
        <v>2732.7059908997135</v>
      </c>
      <c r="E30" s="67">
        <f>+'2024 AOP'!E31</f>
        <v>2181.1592900990277</v>
      </c>
      <c r="F30" s="135">
        <f>+'2024 AOP'!F31</f>
        <v>-2195.0168697175686</v>
      </c>
      <c r="G30" s="67">
        <f>+'2024 AOP'!G31</f>
        <v>5569.1045899041828</v>
      </c>
      <c r="H30" s="67">
        <f>+'2024 AOP'!H31</f>
        <v>4584.6249355305481</v>
      </c>
      <c r="I30" s="67">
        <f>+'2024 AOP'!I31</f>
        <v>5036.5753136834055</v>
      </c>
      <c r="J30" s="135">
        <f>+'2024 AOP'!J31</f>
        <v>1258.1329750660307</v>
      </c>
      <c r="K30" s="67">
        <f>+'2024 AOP'!K31</f>
        <v>4191.5268248502307</v>
      </c>
      <c r="L30" s="67">
        <f>+'2024 AOP'!L31</f>
        <v>897.61966808270699</v>
      </c>
      <c r="M30" s="67">
        <f>+'2024 AOP'!M31</f>
        <v>1287.0576268934128</v>
      </c>
      <c r="N30" s="67">
        <f>+'2024 AOP'!N31</f>
        <v>1579.6390402657671</v>
      </c>
    </row>
    <row r="31" spans="2:20" x14ac:dyDescent="0.25">
      <c r="E31" s="9"/>
    </row>
  </sheetData>
  <mergeCells count="1">
    <mergeCell ref="B8:P8"/>
  </mergeCells>
  <pageMargins left="0.25" right="0.25" top="0.75" bottom="0.75" header="0.3" footer="0.3"/>
  <pageSetup scale="68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Y103"/>
  <sheetViews>
    <sheetView tabSelected="1" topLeftCell="A6" zoomScale="55" zoomScaleNormal="70" workbookViewId="0">
      <selection activeCell="B3" sqref="B3"/>
    </sheetView>
  </sheetViews>
  <sheetFormatPr defaultRowHeight="15" outlineLevelCol="1" x14ac:dyDescent="0.25"/>
  <cols>
    <col min="3" max="3" width="45.85546875" bestFit="1" customWidth="1"/>
    <col min="4" max="5" width="16.28515625" bestFit="1" customWidth="1"/>
    <col min="6" max="6" width="17.7109375" hidden="1" customWidth="1" outlineLevel="1"/>
    <col min="7" max="7" width="19.42578125" bestFit="1" customWidth="1" collapsed="1"/>
    <col min="8" max="8" width="18.85546875" bestFit="1" customWidth="1"/>
    <col min="9" max="9" width="19.42578125" bestFit="1" customWidth="1"/>
    <col min="10" max="10" width="19.28515625" bestFit="1" customWidth="1"/>
    <col min="11" max="11" width="20" bestFit="1" customWidth="1"/>
    <col min="12" max="12" width="15.85546875" hidden="1" customWidth="1" outlineLevel="1"/>
    <col min="13" max="13" width="20.28515625" hidden="1" customWidth="1" outlineLevel="1" collapsed="1"/>
    <col min="14" max="14" width="9.140625" collapsed="1"/>
  </cols>
  <sheetData>
    <row r="2" spans="2:25" ht="15.75" thickBot="1" x14ac:dyDescent="0.3"/>
    <row r="3" spans="2:25" ht="15.75" customHeight="1" x14ac:dyDescent="0.25"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6"/>
      <c r="N3" s="73"/>
      <c r="O3" s="75"/>
      <c r="P3" s="75"/>
      <c r="Q3" s="75"/>
      <c r="R3" s="75"/>
      <c r="S3" s="75"/>
      <c r="T3" s="75"/>
      <c r="U3" s="75"/>
      <c r="V3" s="75"/>
      <c r="W3" s="75"/>
      <c r="X3" s="75"/>
      <c r="Y3" s="76"/>
    </row>
    <row r="4" spans="2:25" ht="15" customHeight="1" x14ac:dyDescent="0.25">
      <c r="B4" s="77"/>
      <c r="C4" s="7"/>
      <c r="M4" s="78"/>
      <c r="N4" s="77"/>
      <c r="Y4" s="78"/>
    </row>
    <row r="5" spans="2:25" ht="15" customHeight="1" x14ac:dyDescent="0.25">
      <c r="B5" s="77"/>
      <c r="C5" s="7"/>
      <c r="M5" s="78"/>
      <c r="N5" s="77"/>
      <c r="Y5" s="78"/>
    </row>
    <row r="6" spans="2:25" ht="15" customHeight="1" x14ac:dyDescent="0.25">
      <c r="B6" s="77"/>
      <c r="C6" s="7"/>
      <c r="M6" s="78"/>
      <c r="N6" s="77"/>
      <c r="Y6" s="78"/>
    </row>
    <row r="7" spans="2:25" ht="15" customHeight="1" x14ac:dyDescent="0.25">
      <c r="B7" s="77"/>
      <c r="M7" s="78"/>
      <c r="N7" s="77"/>
      <c r="Y7" s="78"/>
    </row>
    <row r="8" spans="2:25" ht="15" customHeight="1" x14ac:dyDescent="0.25">
      <c r="B8" s="77"/>
      <c r="C8" s="7"/>
      <c r="M8" s="78"/>
      <c r="N8" s="77"/>
      <c r="Y8" s="78"/>
    </row>
    <row r="9" spans="2:25" ht="15" customHeight="1" x14ac:dyDescent="0.25">
      <c r="B9" s="77"/>
      <c r="M9" s="78"/>
      <c r="N9" s="77"/>
      <c r="Y9" s="78"/>
    </row>
    <row r="10" spans="2:25" ht="15" customHeight="1" x14ac:dyDescent="0.25">
      <c r="B10" s="77"/>
      <c r="C10" s="7"/>
      <c r="M10" s="78"/>
      <c r="N10" s="77"/>
      <c r="Y10" s="78"/>
    </row>
    <row r="11" spans="2:25" ht="15" customHeight="1" x14ac:dyDescent="0.25">
      <c r="B11" s="79"/>
      <c r="C11" s="266"/>
      <c r="D11" s="486">
        <v>2023</v>
      </c>
      <c r="E11" s="486">
        <f>+D11+1</f>
        <v>2024</v>
      </c>
      <c r="F11" s="630" t="s">
        <v>206</v>
      </c>
      <c r="G11" s="486">
        <f>+E11+1</f>
        <v>2025</v>
      </c>
      <c r="H11" s="486">
        <f>+G11+1</f>
        <v>2026</v>
      </c>
      <c r="I11" s="487">
        <f t="shared" ref="I11" si="0">+H11+1</f>
        <v>2027</v>
      </c>
      <c r="J11" s="487">
        <f t="shared" ref="J11" si="1">+I11+1</f>
        <v>2028</v>
      </c>
      <c r="K11" s="487">
        <f t="shared" ref="K11" si="2">+J11+1</f>
        <v>2029</v>
      </c>
      <c r="L11" s="487">
        <f t="shared" ref="L11" si="3">+K11+1</f>
        <v>2030</v>
      </c>
      <c r="M11" s="236"/>
      <c r="N11" s="79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0"/>
    </row>
    <row r="12" spans="2:25" ht="15" customHeight="1" x14ac:dyDescent="0.25">
      <c r="B12" s="77"/>
      <c r="C12" s="213" t="s">
        <v>289</v>
      </c>
      <c r="D12" s="214"/>
      <c r="E12" s="214"/>
      <c r="F12" s="631"/>
      <c r="G12" s="214"/>
      <c r="H12" s="214"/>
      <c r="I12" s="214"/>
      <c r="J12" s="214"/>
      <c r="K12" s="214"/>
      <c r="L12" s="215"/>
      <c r="M12" s="214"/>
      <c r="N12" s="77"/>
      <c r="Y12" s="78"/>
    </row>
    <row r="13" spans="2:25" ht="15" customHeight="1" x14ac:dyDescent="0.25">
      <c r="B13" s="77"/>
      <c r="C13" s="216" t="s">
        <v>371</v>
      </c>
      <c r="D13" s="82">
        <f>SUMIF('Monthly Detail'!$1:$1,'Annual Summary'!D$11, 'Monthly Detail'!11:11)</f>
        <v>449999.99846153852</v>
      </c>
      <c r="E13" s="82">
        <f>SUMIF('Monthly Detail'!$1:$1,'Annual Summary'!E$11, 'Monthly Detail'!11:11)</f>
        <v>301995.00184718252</v>
      </c>
      <c r="F13" s="632">
        <f>+E13-D13</f>
        <v>-148004.996614356</v>
      </c>
      <c r="G13" s="82">
        <f>SUMIF('Monthly Detail'!$1:$1,'Annual Summary'!G$11, 'Monthly Detail'!11:11)</f>
        <v>97533.716462945042</v>
      </c>
      <c r="H13" s="82">
        <f>SUMIF('Monthly Detail'!$1:$1,'Annual Summary'!H$11, 'Monthly Detail'!11:11)</f>
        <v>1255424.2758533203</v>
      </c>
      <c r="I13" s="82">
        <f>SUMIF('Monthly Detail'!$1:$1,'Annual Summary'!I$11, 'Monthly Detail'!11:11)</f>
        <v>2154821.5785362846</v>
      </c>
      <c r="J13" s="82">
        <f>SUMIF('Monthly Detail'!$1:$1,'Annual Summary'!J$11, 'Monthly Detail'!11:11)</f>
        <v>2952712.13792666</v>
      </c>
      <c r="K13" s="82">
        <f>SUMIF('Monthly Detail'!$1:$1,'Annual Summary'!K$11, 'Monthly Detail'!11:11)</f>
        <v>3406629.6704873922</v>
      </c>
      <c r="L13" s="217">
        <f>SUMIF('Monthly Detail'!$1:$1,'Annual Summary'!L$11, 'Monthly Detail'!11:11)</f>
        <v>4502410.7892681425</v>
      </c>
      <c r="M13" s="234"/>
      <c r="N13" s="77"/>
      <c r="Y13" s="78"/>
    </row>
    <row r="14" spans="2:25" ht="15" customHeight="1" x14ac:dyDescent="0.25">
      <c r="B14" s="77"/>
      <c r="C14" s="216" t="s">
        <v>355</v>
      </c>
      <c r="D14" s="82">
        <f>SUMIF('Monthly Detail'!$1:$1,'Annual Summary'!D$11, 'Monthly Detail'!12:12)</f>
        <v>0</v>
      </c>
      <c r="E14" s="82">
        <f>SUMIF('Monthly Detail'!$1:$1,'Annual Summary'!E$11, 'Monthly Detail'!12:12)</f>
        <v>237325.05</v>
      </c>
      <c r="F14" s="632">
        <f t="shared" ref="F14:F21" si="4">+E14-D14</f>
        <v>237325.05</v>
      </c>
      <c r="G14" s="82">
        <f>SUMIF('Monthly Detail'!$1:$1,'Annual Summary'!G$11, 'Monthly Detail'!12:12)</f>
        <v>146887.29999999999</v>
      </c>
      <c r="H14" s="82">
        <f>SUMIF('Monthly Detail'!$1:$1,'Annual Summary'!H$11, 'Monthly Detail'!12:12)</f>
        <v>277200</v>
      </c>
      <c r="I14" s="82">
        <f>SUMIF('Monthly Detail'!$1:$1,'Annual Summary'!I$11, 'Monthly Detail'!12:12)</f>
        <v>396000</v>
      </c>
      <c r="J14" s="82">
        <f>SUMIF('Monthly Detail'!$1:$1,'Annual Summary'!J$11, 'Monthly Detail'!12:12)</f>
        <v>475200</v>
      </c>
      <c r="K14" s="82">
        <f>SUMIF('Monthly Detail'!$1:$1,'Annual Summary'!K$11, 'Monthly Detail'!12:12)</f>
        <v>594000</v>
      </c>
      <c r="L14" s="217">
        <f>SUMIF('Monthly Detail'!$1:$1,'Annual Summary'!L$11, 'Monthly Detail'!12:12)</f>
        <v>673200</v>
      </c>
      <c r="M14" s="234"/>
      <c r="N14" s="77"/>
      <c r="Y14" s="78"/>
    </row>
    <row r="15" spans="2:25" ht="15" customHeight="1" x14ac:dyDescent="0.25">
      <c r="B15" s="77"/>
      <c r="C15" s="216" t="s">
        <v>517</v>
      </c>
      <c r="D15" s="82">
        <f>SUMIF('Monthly Detail'!$1:$1,'Annual Summary'!D$11, 'Monthly Detail'!8:8)</f>
        <v>0</v>
      </c>
      <c r="E15" s="82">
        <f>SUMIF('Monthly Detail'!$1:$1,'Annual Summary'!E$11, 'Monthly Detail'!8:8)</f>
        <v>3534</v>
      </c>
      <c r="F15" s="632">
        <f t="shared" si="4"/>
        <v>3534</v>
      </c>
      <c r="G15" s="82">
        <f>SUMIF('Monthly Detail'!$1:$1,'Annual Summary'!G$11, 'Monthly Detail'!8:8)</f>
        <v>18851</v>
      </c>
      <c r="H15" s="82">
        <f>SUMIF('Monthly Detail'!$1:$1,'Annual Summary'!H$11, 'Monthly Detail'!8:8)</f>
        <v>0</v>
      </c>
      <c r="I15" s="82">
        <f>SUMIF('Monthly Detail'!$1:$1,'Annual Summary'!I$11, 'Monthly Detail'!8:8)</f>
        <v>0</v>
      </c>
      <c r="J15" s="82">
        <f>SUMIF('Monthly Detail'!$1:$1,'Annual Summary'!J$11, 'Monthly Detail'!8:8)</f>
        <v>0</v>
      </c>
      <c r="K15" s="82">
        <f>SUMIF('Monthly Detail'!$1:$1,'Annual Summary'!K$11, 'Monthly Detail'!8:8)</f>
        <v>0</v>
      </c>
      <c r="L15" s="217">
        <f>SUMIF('Monthly Detail'!$1:$1,'Annual Summary'!L$11, 'Monthly Detail'!8:8)</f>
        <v>0</v>
      </c>
      <c r="M15" s="234"/>
      <c r="N15" s="77"/>
      <c r="Y15" s="78"/>
    </row>
    <row r="16" spans="2:25" ht="17.25" hidden="1" customHeight="1" x14ac:dyDescent="0.25">
      <c r="B16" s="77"/>
      <c r="C16" s="216" t="s">
        <v>360</v>
      </c>
      <c r="D16" s="82">
        <f>SUMIF('Monthly Detail'!$1:$1,'Annual Summary'!D$11, 'Monthly Detail'!144:144)</f>
        <v>525000</v>
      </c>
      <c r="E16" s="82">
        <f>SUMIF('Monthly Detail'!$1:$1,'Annual Summary'!E$11, 'Monthly Detail'!144:144)</f>
        <v>438230.33</v>
      </c>
      <c r="F16" s="632">
        <f t="shared" si="4"/>
        <v>-86769.669999999984</v>
      </c>
      <c r="G16" s="82">
        <f>SUMIF('Monthly Detail'!$1:$1,'Annual Summary'!G$11, 'Monthly Detail'!144:144)</f>
        <v>340613.64</v>
      </c>
      <c r="H16" s="82">
        <f>SUMIF('Monthly Detail'!$1:$1,'Annual Summary'!H$11, 'Monthly Detail'!144:144)</f>
        <v>1620000</v>
      </c>
      <c r="I16" s="82">
        <f>SUMIF('Monthly Detail'!$1:$1,'Annual Summary'!I$11, 'Monthly Detail'!144:144)</f>
        <v>2630000</v>
      </c>
      <c r="J16" s="82">
        <f>SUMIF('Monthly Detail'!$1:$1,'Annual Summary'!J$11, 'Monthly Detail'!144:144)</f>
        <v>3475000</v>
      </c>
      <c r="K16" s="82">
        <f>SUMIF('Monthly Detail'!$1:$1,'Annual Summary'!K$11, 'Monthly Detail'!144:144)</f>
        <v>4110000</v>
      </c>
      <c r="L16" s="217">
        <f>SUMIF('Monthly Detail'!$1:$1,'Annual Summary'!L$11, 'Monthly Detail'!144:144)</f>
        <v>5220000</v>
      </c>
      <c r="M16" s="234"/>
      <c r="N16" s="77"/>
      <c r="Y16" s="78"/>
    </row>
    <row r="17" spans="2:25" hidden="1" x14ac:dyDescent="0.25">
      <c r="B17" s="77"/>
      <c r="C17" s="216" t="s">
        <v>361</v>
      </c>
      <c r="D17" s="82">
        <f>SUMIF('Monthly Detail'!$1:$1,'Annual Summary'!D$11, 'Monthly Detail'!7:7)</f>
        <v>0</v>
      </c>
      <c r="E17" s="82">
        <f>SUMIF('Monthly Detail'!$1:$1,'Annual Summary'!E$11, 'Monthly Detail'!7:7)</f>
        <v>237325.05</v>
      </c>
      <c r="F17" s="632">
        <f t="shared" si="4"/>
        <v>237325.05</v>
      </c>
      <c r="G17" s="82">
        <f>SUMIF('Monthly Detail'!$1:$1,'Annual Summary'!G$11, 'Monthly Detail'!7:7)</f>
        <v>147287.29999999999</v>
      </c>
      <c r="H17" s="82">
        <f>SUMIF('Monthly Detail'!$1:$1,'Annual Summary'!H$11, 'Monthly Detail'!7:7)</f>
        <v>280000</v>
      </c>
      <c r="I17" s="82">
        <f>SUMIF('Monthly Detail'!$1:$1,'Annual Summary'!I$11, 'Monthly Detail'!7:7)</f>
        <v>400000</v>
      </c>
      <c r="J17" s="82">
        <f>SUMIF('Monthly Detail'!$1:$1,'Annual Summary'!J$11, 'Monthly Detail'!7:7)</f>
        <v>480000</v>
      </c>
      <c r="K17" s="82">
        <f>SUMIF('Monthly Detail'!$1:$1,'Annual Summary'!K$11, 'Monthly Detail'!7:7)</f>
        <v>600000</v>
      </c>
      <c r="L17" s="217">
        <f>SUMIF('Monthly Detail'!$1:$1,'Annual Summary'!L$11, 'Monthly Detail'!7:7)</f>
        <v>680000</v>
      </c>
      <c r="M17" s="234"/>
      <c r="N17" s="77"/>
      <c r="Y17" s="78"/>
    </row>
    <row r="18" spans="2:25" x14ac:dyDescent="0.25">
      <c r="B18" s="77"/>
      <c r="C18" s="523" t="s">
        <v>289</v>
      </c>
      <c r="D18" s="524">
        <f>+SUM(D13:D15)</f>
        <v>449999.99846153852</v>
      </c>
      <c r="E18" s="524">
        <f t="shared" ref="E18:L18" si="5">+SUM(E13:E15)</f>
        <v>542854.05184718245</v>
      </c>
      <c r="F18" s="633">
        <f t="shared" si="4"/>
        <v>92854.053385643929</v>
      </c>
      <c r="G18" s="524">
        <f t="shared" si="5"/>
        <v>263272.01646294503</v>
      </c>
      <c r="H18" s="524">
        <f t="shared" si="5"/>
        <v>1532624.2758533203</v>
      </c>
      <c r="I18" s="524">
        <f t="shared" si="5"/>
        <v>2550821.5785362846</v>
      </c>
      <c r="J18" s="524">
        <f t="shared" si="5"/>
        <v>3427912.13792666</v>
      </c>
      <c r="K18" s="524">
        <f t="shared" si="5"/>
        <v>4000629.6704873922</v>
      </c>
      <c r="L18" s="525">
        <f t="shared" si="5"/>
        <v>5175610.7892681425</v>
      </c>
      <c r="M18" s="237"/>
      <c r="N18" s="77"/>
      <c r="Y18" s="78"/>
    </row>
    <row r="19" spans="2:25" x14ac:dyDescent="0.25">
      <c r="B19" s="77"/>
      <c r="C19" s="523" t="s">
        <v>492</v>
      </c>
      <c r="D19" s="533">
        <f>SUMIF('Monthly Detail'!$1:$1,'Annual Summary'!D$11, 'Monthly Detail'!13:13)</f>
        <v>0</v>
      </c>
      <c r="E19" s="533">
        <f>SUMIF('Monthly Detail'!$1:$1,'Annual Summary'!E$11, 'Monthly Detail'!13:13)</f>
        <v>15</v>
      </c>
      <c r="F19" s="634">
        <f t="shared" si="4"/>
        <v>15</v>
      </c>
      <c r="G19" s="533">
        <f>SUMIF('Monthly Detail'!$1:$1,'Annual Summary'!G$11, 'Monthly Detail'!13:13)</f>
        <v>4</v>
      </c>
      <c r="H19" s="533">
        <f>SUMIF('Monthly Detail'!$1:$1,'Annual Summary'!H$11, 'Monthly Detail'!13:13)</f>
        <v>14</v>
      </c>
      <c r="I19" s="533">
        <f>SUMIF('Monthly Detail'!$1:$1,'Annual Summary'!I$11, 'Monthly Detail'!13:13)</f>
        <v>20</v>
      </c>
      <c r="J19" s="533">
        <f>SUMIF('Monthly Detail'!$1:$1,'Annual Summary'!J$11, 'Monthly Detail'!13:13)</f>
        <v>24</v>
      </c>
      <c r="K19" s="533">
        <f>SUMIF('Monthly Detail'!$1:$1,'Annual Summary'!K$11, 'Monthly Detail'!13:13)</f>
        <v>30</v>
      </c>
      <c r="L19" s="534">
        <f>SUMIF('Monthly Detail'!$1:$1,'Annual Summary'!L$11, 'Monthly Detail'!13:13)</f>
        <v>34</v>
      </c>
      <c r="M19" s="237"/>
      <c r="N19" s="77"/>
      <c r="Y19" s="78"/>
    </row>
    <row r="20" spans="2:25" hidden="1" x14ac:dyDescent="0.25">
      <c r="B20" s="77"/>
      <c r="C20" s="273" t="s">
        <v>276</v>
      </c>
      <c r="D20" s="516">
        <f>+SUM(D16:D17)</f>
        <v>525000</v>
      </c>
      <c r="E20" s="516">
        <f t="shared" ref="E20:I20" si="6">+SUM(E16:E17)</f>
        <v>675555.38</v>
      </c>
      <c r="F20" s="635">
        <f t="shared" si="4"/>
        <v>150555.38</v>
      </c>
      <c r="G20" s="516">
        <f t="shared" si="6"/>
        <v>487900.94</v>
      </c>
      <c r="H20" s="516">
        <f t="shared" si="6"/>
        <v>1900000</v>
      </c>
      <c r="I20" s="516">
        <f t="shared" si="6"/>
        <v>3030000</v>
      </c>
      <c r="J20" s="516">
        <f t="shared" ref="J20:L20" si="7">+SUM(J16:J17)</f>
        <v>3955000</v>
      </c>
      <c r="K20" s="516">
        <f t="shared" si="7"/>
        <v>4710000</v>
      </c>
      <c r="L20" s="517">
        <f t="shared" si="7"/>
        <v>5900000</v>
      </c>
      <c r="M20" s="237"/>
      <c r="N20" s="77"/>
      <c r="Y20" s="78"/>
    </row>
    <row r="21" spans="2:25" ht="10.9" customHeight="1" x14ac:dyDescent="0.25">
      <c r="B21" s="77"/>
      <c r="C21" s="219" t="s">
        <v>202</v>
      </c>
      <c r="D21" s="82"/>
      <c r="E21" s="106">
        <f>(E18/D18)-1</f>
        <v>0.20634234156243036</v>
      </c>
      <c r="F21" s="636">
        <f t="shared" si="4"/>
        <v>0.20634234156243036</v>
      </c>
      <c r="G21" s="106">
        <f>(G18/E18)-1</f>
        <v>-0.51502247138599588</v>
      </c>
      <c r="H21" s="106">
        <f>(H18/G18)-1</f>
        <v>4.8214477043329591</v>
      </c>
      <c r="I21" s="106">
        <f t="shared" ref="I21" si="8">(I18/H18)-1</f>
        <v>0.66434893321526034</v>
      </c>
      <c r="J21" s="106">
        <f t="shared" ref="J21:L21" si="9">(J18/I18)-1</f>
        <v>0.34384629907892994</v>
      </c>
      <c r="K21" s="106">
        <f t="shared" si="9"/>
        <v>0.16707474098421171</v>
      </c>
      <c r="L21" s="220">
        <f t="shared" si="9"/>
        <v>0.2936990462897815</v>
      </c>
      <c r="M21" s="235"/>
      <c r="N21" s="77"/>
      <c r="Y21" s="78"/>
    </row>
    <row r="22" spans="2:25" ht="15" customHeight="1" x14ac:dyDescent="0.25">
      <c r="B22" s="77"/>
      <c r="C22" s="221"/>
      <c r="F22" s="637"/>
      <c r="L22" s="154"/>
      <c r="N22" s="77"/>
      <c r="Y22" s="78"/>
    </row>
    <row r="23" spans="2:25" ht="15" hidden="1" customHeight="1" x14ac:dyDescent="0.25">
      <c r="B23" s="77"/>
      <c r="C23" s="216" t="s">
        <v>350</v>
      </c>
      <c r="D23" s="82">
        <f>SUMIF('Monthly Detail'!$1:$1,'Annual Summary'!D$11, 'Monthly Detail'!23:23)</f>
        <v>172986.15</v>
      </c>
      <c r="E23" s="82">
        <f>SUMIF('Monthly Detail'!$1:$1,'Annual Summary'!E$11, 'Monthly Detail'!23:23)</f>
        <v>0</v>
      </c>
      <c r="F23" s="632"/>
      <c r="G23" s="82">
        <f>SUMIF('Monthly Detail'!$1:$1,'Annual Summary'!G$11, 'Monthly Detail'!23:23)</f>
        <v>0</v>
      </c>
      <c r="H23" s="82">
        <f>SUMIF('Monthly Detail'!$1:$1,'Annual Summary'!H$11, 'Monthly Detail'!23:23)</f>
        <v>0</v>
      </c>
      <c r="I23" s="82">
        <f>SUMIF('Monthly Detail'!$1:$1,'Annual Summary'!I$11, 'Monthly Detail'!23:23)</f>
        <v>0</v>
      </c>
      <c r="J23" s="82">
        <f>SUMIF('Monthly Detail'!$1:$1,'Annual Summary'!J$11, 'Monthly Detail'!23:23)</f>
        <v>0</v>
      </c>
      <c r="K23" s="82">
        <f>SUMIF('Monthly Detail'!$1:$1,'Annual Summary'!K$11, 'Monthly Detail'!23:23)</f>
        <v>0</v>
      </c>
      <c r="L23" s="217">
        <f>SUMIF('Monthly Detail'!$1:$1,'Annual Summary'!L$11, 'Monthly Detail'!23:23)</f>
        <v>0</v>
      </c>
      <c r="M23" s="234"/>
      <c r="N23" s="77"/>
      <c r="Y23" s="78"/>
    </row>
    <row r="24" spans="2:25" ht="15" customHeight="1" x14ac:dyDescent="0.25">
      <c r="B24" s="77"/>
      <c r="C24" s="216" t="s">
        <v>351</v>
      </c>
      <c r="D24" s="82">
        <f>SUMIF('Monthly Detail'!$1:$1,'Annual Summary'!D$11, 'Monthly Detail'!24:24)</f>
        <v>124486.51000000001</v>
      </c>
      <c r="E24" s="82">
        <f>SUMIF('Monthly Detail'!$1:$1,'Annual Summary'!E$11, 'Monthly Detail'!24:24)</f>
        <v>57704.25</v>
      </c>
      <c r="F24" s="632">
        <f t="shared" ref="F24:F32" si="10">+E24-D24</f>
        <v>-66782.260000000009</v>
      </c>
      <c r="G24" s="82">
        <f>SUMIF('Monthly Detail'!$1:$1,'Annual Summary'!G$11, 'Monthly Detail'!24:24)</f>
        <v>4118.3479833580586</v>
      </c>
      <c r="H24" s="82">
        <f>SUMIF('Monthly Detail'!$1:$1,'Annual Summary'!H$11, 'Monthly Detail'!24:24)</f>
        <v>459212.31125461083</v>
      </c>
      <c r="I24" s="82">
        <f>SUMIF('Monthly Detail'!$1:$1,'Annual Summary'!I$11, 'Monthly Detail'!24:24)</f>
        <v>520483.63734607783</v>
      </c>
      <c r="J24" s="82">
        <f>SUMIF('Monthly Detail'!$1:$1,'Annual Summary'!J$11, 'Monthly Detail'!24:24)</f>
        <v>597326.2934422195</v>
      </c>
      <c r="K24" s="82">
        <f>SUMIF('Monthly Detail'!$1:$1,'Annual Summary'!K$11, 'Monthly Detail'!24:24)</f>
        <v>735255.91309760429</v>
      </c>
      <c r="L24" s="217">
        <f>SUMIF('Monthly Detail'!$1:$1,'Annual Summary'!L$11, 'Monthly Detail'!24:24)</f>
        <v>918793.34757366939</v>
      </c>
      <c r="M24" s="234"/>
      <c r="N24" s="77"/>
      <c r="Y24" s="78"/>
    </row>
    <row r="25" spans="2:25" ht="15" customHeight="1" x14ac:dyDescent="0.25">
      <c r="B25" s="77"/>
      <c r="C25" s="216" t="s">
        <v>352</v>
      </c>
      <c r="D25" s="82">
        <f>SUMIF('Monthly Detail'!$1:$1,'Annual Summary'!D$11, 'Monthly Detail'!25:25)</f>
        <v>53890</v>
      </c>
      <c r="E25" s="82">
        <f>SUMIF('Monthly Detail'!$1:$1,'Annual Summary'!E$11, 'Monthly Detail'!25:25)</f>
        <v>211149.31</v>
      </c>
      <c r="F25" s="632">
        <f t="shared" si="10"/>
        <v>157259.31</v>
      </c>
      <c r="G25" s="82">
        <f>SUMIF('Monthly Detail'!$1:$1,'Annual Summary'!G$11, 'Monthly Detail'!25:25)</f>
        <v>65649.671894408966</v>
      </c>
      <c r="H25" s="82">
        <f>SUMIF('Monthly Detail'!$1:$1,'Annual Summary'!H$11, 'Monthly Detail'!25:25)</f>
        <v>291390.38606242475</v>
      </c>
      <c r="I25" s="82">
        <f>SUMIF('Monthly Detail'!$1:$1,'Annual Summary'!I$11, 'Monthly Detail'!25:25)</f>
        <v>330269.7343002166</v>
      </c>
      <c r="J25" s="82">
        <f>SUMIF('Monthly Detail'!$1:$1,'Annual Summary'!J$11, 'Monthly Detail'!25:25)</f>
        <v>379029.77552111063</v>
      </c>
      <c r="K25" s="82">
        <f>SUMIF('Monthly Detail'!$1:$1,'Annual Summary'!K$11, 'Monthly Detail'!25:25)</f>
        <v>466552.17885350256</v>
      </c>
      <c r="L25" s="217">
        <f>SUMIF('Monthly Detail'!$1:$1,'Annual Summary'!L$11, 'Monthly Detail'!25:25)</f>
        <v>583014.74437743728</v>
      </c>
      <c r="M25" s="234"/>
      <c r="N25" s="77"/>
      <c r="Y25" s="78"/>
    </row>
    <row r="26" spans="2:25" ht="15" customHeight="1" x14ac:dyDescent="0.25">
      <c r="B26" s="77"/>
      <c r="C26" s="216" t="s">
        <v>454</v>
      </c>
      <c r="D26" s="82">
        <f>SUMIF('Monthly Detail'!$1:$1,'Annual Summary'!D$11, 'Monthly Detail'!26:26)</f>
        <v>0</v>
      </c>
      <c r="E26" s="351">
        <f>SUMIF('Monthly Detail'!$1:$1,'Annual Summary'!E$11, 'Monthly Detail'!26:26)</f>
        <v>196080.41999999998</v>
      </c>
      <c r="F26" s="632">
        <f t="shared" si="10"/>
        <v>196080.41999999998</v>
      </c>
      <c r="G26" s="82">
        <f>SUMIF('Monthly Detail'!$1:$1,'Annual Summary'!G$11, 'Monthly Detail'!26:26)</f>
        <v>98937.04</v>
      </c>
      <c r="H26" s="82">
        <f>SUMIF('Monthly Detail'!$1:$1,'Annual Summary'!H$11, 'Monthly Detail'!26:26)</f>
        <v>235620</v>
      </c>
      <c r="I26" s="351">
        <f>SUMIF('Monthly Detail'!$1:$1,'Annual Summary'!I$11, 'Monthly Detail'!26:26)</f>
        <v>316800</v>
      </c>
      <c r="J26" s="351">
        <f>SUMIF('Monthly Detail'!$1:$1,'Annual Summary'!J$11, 'Monthly Detail'!26:26)</f>
        <v>380160</v>
      </c>
      <c r="K26" s="351">
        <f>SUMIF('Monthly Detail'!$1:$1,'Annual Summary'!K$11, 'Monthly Detail'!26:26)</f>
        <v>475200</v>
      </c>
      <c r="L26" s="345">
        <f>SUMIF('Monthly Detail'!$1:$1,'Annual Summary'!L$11, 'Monthly Detail'!26:26)</f>
        <v>538560</v>
      </c>
      <c r="M26" s="234"/>
      <c r="N26" s="77"/>
      <c r="Y26" s="78"/>
    </row>
    <row r="27" spans="2:25" ht="15" customHeight="1" x14ac:dyDescent="0.25">
      <c r="B27" s="83"/>
      <c r="C27" s="222" t="s">
        <v>149</v>
      </c>
      <c r="D27" s="69">
        <f>D18-SUM(D23:D26)</f>
        <v>98637.338461538486</v>
      </c>
      <c r="E27" s="69">
        <f>E18-SUM(E23:E26)</f>
        <v>77920.071847182466</v>
      </c>
      <c r="F27" s="638">
        <f t="shared" si="10"/>
        <v>-20717.26661435602</v>
      </c>
      <c r="G27" s="69">
        <f t="shared" ref="G27:I27" si="11">G18-SUM(G23:G26)</f>
        <v>94566.956585178006</v>
      </c>
      <c r="H27" s="69">
        <f t="shared" si="11"/>
        <v>546401.57853628462</v>
      </c>
      <c r="I27" s="69">
        <f t="shared" si="11"/>
        <v>1383268.2068899903</v>
      </c>
      <c r="J27" s="69">
        <f t="shared" ref="J27:L27" si="12">J18-SUM(J23:J26)</f>
        <v>2071396.0689633298</v>
      </c>
      <c r="K27" s="69">
        <f t="shared" si="12"/>
        <v>2323621.5785362851</v>
      </c>
      <c r="L27" s="223">
        <f t="shared" si="12"/>
        <v>3135242.6973170359</v>
      </c>
      <c r="M27" s="232"/>
      <c r="N27" s="83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4"/>
    </row>
    <row r="28" spans="2:25" ht="15" hidden="1" customHeight="1" x14ac:dyDescent="0.25">
      <c r="B28" s="83"/>
      <c r="C28" s="247" t="s">
        <v>238</v>
      </c>
      <c r="D28" s="210">
        <f>+D20-SUM(D23:D26)</f>
        <v>173637.33999999997</v>
      </c>
      <c r="E28" s="210">
        <f t="shared" ref="E28:I28" si="13">+E20-SUM(E23:E26)</f>
        <v>210621.40000000002</v>
      </c>
      <c r="F28" s="639">
        <f t="shared" si="10"/>
        <v>36984.060000000056</v>
      </c>
      <c r="G28" s="210">
        <f t="shared" si="13"/>
        <v>319195.88012223295</v>
      </c>
      <c r="H28" s="210">
        <f t="shared" si="13"/>
        <v>913777.30268296436</v>
      </c>
      <c r="I28" s="210">
        <f t="shared" si="13"/>
        <v>1862446.6283537056</v>
      </c>
      <c r="J28" s="210">
        <f t="shared" ref="J28:L28" si="14">+J20-SUM(J23:J26)</f>
        <v>2598483.9310366698</v>
      </c>
      <c r="K28" s="210">
        <f t="shared" si="14"/>
        <v>3032991.9080488933</v>
      </c>
      <c r="L28" s="229">
        <f t="shared" si="14"/>
        <v>3859631.9080488933</v>
      </c>
      <c r="M28" s="232"/>
      <c r="N28" s="83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4"/>
    </row>
    <row r="29" spans="2:25" ht="15" customHeight="1" x14ac:dyDescent="0.25">
      <c r="B29" s="77"/>
      <c r="C29" s="224" t="s">
        <v>150</v>
      </c>
      <c r="D29" s="71">
        <f>+D27/D18</f>
        <v>0.21919408621946698</v>
      </c>
      <c r="E29" s="71">
        <f>+E27/E18</f>
        <v>0.14353779175460141</v>
      </c>
      <c r="F29" s="640">
        <f t="shared" si="10"/>
        <v>-7.5656294464865576E-2</v>
      </c>
      <c r="G29" s="71">
        <f>+G27/G18</f>
        <v>0.35919866401178302</v>
      </c>
      <c r="H29" s="71">
        <f>+H27/H18</f>
        <v>0.35651371777473917</v>
      </c>
      <c r="I29" s="352">
        <f>+I27/I18</f>
        <v>0.54228340332754232</v>
      </c>
      <c r="J29" s="352">
        <f t="shared" ref="J29:L29" si="15">+J27/J18</f>
        <v>0.60427338438615696</v>
      </c>
      <c r="K29" s="352">
        <f t="shared" si="15"/>
        <v>0.58081396428107801</v>
      </c>
      <c r="L29" s="488">
        <f t="shared" si="15"/>
        <v>0.60577250202393507</v>
      </c>
      <c r="M29" s="238"/>
      <c r="N29" s="77"/>
      <c r="Y29" s="78"/>
    </row>
    <row r="30" spans="2:25" ht="15" hidden="1" customHeight="1" x14ac:dyDescent="0.25">
      <c r="B30" s="77"/>
      <c r="C30" s="224" t="s">
        <v>150</v>
      </c>
      <c r="D30" s="71">
        <f t="shared" ref="D30:I30" si="16">+D28/D20</f>
        <v>0.3307377904761904</v>
      </c>
      <c r="E30" s="71">
        <f t="shared" si="16"/>
        <v>0.31177517970473423</v>
      </c>
      <c r="F30" s="640">
        <f t="shared" si="10"/>
        <v>-1.8962610771456168E-2</v>
      </c>
      <c r="G30" s="71">
        <f t="shared" si="16"/>
        <v>0.65422272013296989</v>
      </c>
      <c r="H30" s="71">
        <f t="shared" si="16"/>
        <v>0.4809354224647181</v>
      </c>
      <c r="I30" s="71">
        <f t="shared" si="16"/>
        <v>0.61466885424214712</v>
      </c>
      <c r="J30" s="71">
        <f t="shared" ref="J30:L30" si="17">+J28/J20</f>
        <v>0.65701237194353213</v>
      </c>
      <c r="K30" s="71">
        <f t="shared" si="17"/>
        <v>0.64394732654965892</v>
      </c>
      <c r="L30" s="225">
        <f t="shared" si="17"/>
        <v>0.65417489966930398</v>
      </c>
      <c r="M30" s="238"/>
      <c r="N30" s="77"/>
      <c r="Y30" s="78"/>
    </row>
    <row r="31" spans="2:25" ht="15" customHeight="1" x14ac:dyDescent="0.25">
      <c r="B31" s="77"/>
      <c r="C31" s="224" t="s">
        <v>372</v>
      </c>
      <c r="D31" s="71">
        <f t="shared" ref="D31:L31" si="18">+(D13-SUM(D23:D25))/D13</f>
        <v>0.21919408621946698</v>
      </c>
      <c r="E31" s="71">
        <f t="shared" si="18"/>
        <v>0.10974168991032827</v>
      </c>
      <c r="F31" s="640">
        <f t="shared" si="10"/>
        <v>-0.10945239630913871</v>
      </c>
      <c r="G31" s="71">
        <f>+(G13-SUM(G23:G25))/G13</f>
        <v>0.28467793079254539</v>
      </c>
      <c r="H31" s="71">
        <f t="shared" si="18"/>
        <v>0.4021123282749603</v>
      </c>
      <c r="I31" s="71">
        <f t="shared" si="18"/>
        <v>0.60518616477555909</v>
      </c>
      <c r="J31" s="71">
        <f t="shared" si="18"/>
        <v>0.66933584333455909</v>
      </c>
      <c r="K31" s="71">
        <f t="shared" si="18"/>
        <v>0.6472149284782216</v>
      </c>
      <c r="L31" s="225">
        <f t="shared" si="18"/>
        <v>0.66644356496062362</v>
      </c>
      <c r="M31" s="238"/>
      <c r="N31" s="77"/>
      <c r="Y31" s="78"/>
    </row>
    <row r="32" spans="2:25" ht="15" customHeight="1" x14ac:dyDescent="0.25">
      <c r="B32" s="77"/>
      <c r="C32" s="521" t="s">
        <v>373</v>
      </c>
      <c r="D32" s="522"/>
      <c r="E32" s="504">
        <f t="shared" ref="E32:I32" si="19">+(E14-E26)/E14</f>
        <v>0.17378961892139075</v>
      </c>
      <c r="F32" s="641">
        <f t="shared" si="10"/>
        <v>0.17378961892139075</v>
      </c>
      <c r="G32" s="504">
        <f t="shared" si="19"/>
        <v>0.3264425174947051</v>
      </c>
      <c r="H32" s="504">
        <f t="shared" si="19"/>
        <v>0.15</v>
      </c>
      <c r="I32" s="504">
        <f t="shared" si="19"/>
        <v>0.2</v>
      </c>
      <c r="J32" s="504">
        <f t="shared" ref="J32:L32" si="20">+(J14-J26)/J14</f>
        <v>0.2</v>
      </c>
      <c r="K32" s="504">
        <f t="shared" si="20"/>
        <v>0.2</v>
      </c>
      <c r="L32" s="505">
        <f t="shared" si="20"/>
        <v>0.2</v>
      </c>
      <c r="M32" s="238"/>
      <c r="N32" s="77"/>
      <c r="Y32" s="78"/>
    </row>
    <row r="33" spans="2:25" ht="15" customHeight="1" x14ac:dyDescent="0.25">
      <c r="B33" s="77"/>
      <c r="C33" s="221"/>
      <c r="F33" s="637"/>
      <c r="L33" s="154"/>
      <c r="N33" s="77"/>
      <c r="Y33" s="78"/>
    </row>
    <row r="34" spans="2:25" ht="15" customHeight="1" x14ac:dyDescent="0.25">
      <c r="B34" s="77"/>
      <c r="C34" s="221" t="s">
        <v>375</v>
      </c>
      <c r="D34" s="57">
        <f>SUMIF('Monthly Detail'!$1:$1,'Annual Summary'!D$11, 'Monthly Detail'!$42:$42)</f>
        <v>805.72</v>
      </c>
      <c r="E34" s="57">
        <f>SUMIF('Monthly Detail'!$1:$1,'Annual Summary'!E$11, 'Monthly Detail'!$42:$42)</f>
        <v>6344.7099999999991</v>
      </c>
      <c r="F34" s="642">
        <f t="shared" ref="F34:F37" si="21">+E34-D34</f>
        <v>5538.9899999999989</v>
      </c>
      <c r="G34" s="57">
        <f>SUMIF('Monthly Detail'!$1:$1,'Annual Summary'!G$11, 'Monthly Detail'!$42:$42)</f>
        <v>4260.3899999999994</v>
      </c>
      <c r="H34" s="57">
        <f>SUMIF('Monthly Detail'!$1:$1,'Annual Summary'!H$11, 'Monthly Detail'!$42:$42)</f>
        <v>8460</v>
      </c>
      <c r="I34" s="57">
        <f>SUMIF('Monthly Detail'!$1:$1,'Annual Summary'!I$11, 'Monthly Detail'!$42:$42)</f>
        <v>10920.599999999999</v>
      </c>
      <c r="J34" s="57">
        <f>SUMIF('Monthly Detail'!$1:$1,'Annual Summary'!J$11, 'Monthly Detail'!$42:$42)</f>
        <v>15781.805999999999</v>
      </c>
      <c r="K34" s="57">
        <f>SUMIF('Monthly Detail'!$1:$1,'Annual Summary'!K$11, 'Monthly Detail'!$42:$42)</f>
        <v>25443.624060000006</v>
      </c>
      <c r="L34" s="226">
        <f>SUMIF('Monthly Detail'!$1:$1,'Annual Summary'!L$11, 'Monthly Detail'!$42:$42)</f>
        <v>44706.060300599995</v>
      </c>
      <c r="N34" s="77"/>
      <c r="Y34" s="78"/>
    </row>
    <row r="35" spans="2:25" ht="15" customHeight="1" x14ac:dyDescent="0.25">
      <c r="B35" s="77"/>
      <c r="C35" s="221" t="s">
        <v>376</v>
      </c>
      <c r="D35" s="57">
        <f>SUMIF('Monthly Detail'!$1:$1,'Annual Summary'!D$11, 'Monthly Detail'!$78:$78)</f>
        <v>16993.260000000002</v>
      </c>
      <c r="E35" s="57">
        <f>SUMIF('Monthly Detail'!$1:$1,'Annual Summary'!E$11, 'Monthly Detail'!$78:$78)</f>
        <v>41385.42</v>
      </c>
      <c r="F35" s="642">
        <f t="shared" si="21"/>
        <v>24392.159999999996</v>
      </c>
      <c r="G35" s="57">
        <f>SUMIF('Monthly Detail'!$1:$1,'Annual Summary'!G$11, 'Monthly Detail'!$78:$78)</f>
        <v>127767.40999999997</v>
      </c>
      <c r="H35" s="57">
        <f>SUMIF('Monthly Detail'!$1:$1,'Annual Summary'!H$11, 'Monthly Detail'!$78:$78)</f>
        <v>212171.27000000008</v>
      </c>
      <c r="I35" s="57">
        <f>SUMIF('Monthly Detail'!$1:$1,'Annual Summary'!I$11, 'Monthly Detail'!$78:$78)</f>
        <v>259545.47250000003</v>
      </c>
      <c r="J35" s="57">
        <f>SUMIF('Monthly Detail'!$1:$1,'Annual Summary'!J$11, 'Monthly Detail'!$78:$78)</f>
        <v>341658.53562500002</v>
      </c>
      <c r="K35" s="57">
        <f>SUMIF('Monthly Detail'!$1:$1,'Annual Summary'!K$11, 'Monthly Detail'!$78:$78)</f>
        <v>379427.11865625007</v>
      </c>
      <c r="L35" s="226">
        <f>SUMIF('Monthly Detail'!$1:$1,'Annual Summary'!L$11, 'Monthly Detail'!$78:$78)</f>
        <v>434605.79046406242</v>
      </c>
      <c r="M35" s="57"/>
      <c r="N35" s="77"/>
      <c r="Y35" s="78"/>
    </row>
    <row r="36" spans="2:25" ht="15" hidden="1" customHeight="1" x14ac:dyDescent="0.25">
      <c r="B36" s="77"/>
      <c r="C36" s="221" t="s">
        <v>185</v>
      </c>
      <c r="D36" s="57">
        <f>SUMIF('Monthly Detail'!$1:$1,'Annual Summary'!D$11, 'Monthly Detail'!80:80)</f>
        <v>0</v>
      </c>
      <c r="E36" s="57">
        <f>SUMIF('Monthly Detail'!$1:$1,'Annual Summary'!E$11, 'Monthly Detail'!80:80)</f>
        <v>0</v>
      </c>
      <c r="F36" s="642">
        <f t="shared" si="21"/>
        <v>0</v>
      </c>
      <c r="G36" s="57">
        <f>SUMIF('Monthly Detail'!$1:$1,'Annual Summary'!G$11, 'Monthly Detail'!80:80)</f>
        <v>0</v>
      </c>
      <c r="H36" s="57">
        <f>SUMIF('Monthly Detail'!$1:$1,'Annual Summary'!H$11, 'Monthly Detail'!80:80)</f>
        <v>0</v>
      </c>
      <c r="I36" s="57">
        <f>SUMIF('Monthly Detail'!$1:$1,'Annual Summary'!I$11, 'Monthly Detail'!80:80)</f>
        <v>0</v>
      </c>
      <c r="J36" s="57">
        <f>SUMIF('Monthly Detail'!$1:$1,'Annual Summary'!J$11, 'Monthly Detail'!80:80)</f>
        <v>0</v>
      </c>
      <c r="K36" s="57">
        <f>SUMIF('Monthly Detail'!$1:$1,'Annual Summary'!K$11, 'Monthly Detail'!80:80)</f>
        <v>0</v>
      </c>
      <c r="L36" s="226">
        <f>SUMIF('Monthly Detail'!$1:$1,'Annual Summary'!L$11, 'Monthly Detail'!80:80)</f>
        <v>0</v>
      </c>
      <c r="M36" s="57"/>
      <c r="N36" s="77"/>
      <c r="Y36" s="78"/>
    </row>
    <row r="37" spans="2:25" ht="15" customHeight="1" x14ac:dyDescent="0.25">
      <c r="B37" s="77"/>
      <c r="C37" s="518" t="s">
        <v>159</v>
      </c>
      <c r="D37" s="519">
        <f>SUM(D34:D36)</f>
        <v>17798.980000000003</v>
      </c>
      <c r="E37" s="519">
        <f t="shared" ref="E37:L37" si="22">SUM(E34:E36)</f>
        <v>47730.13</v>
      </c>
      <c r="F37" s="633">
        <f t="shared" si="21"/>
        <v>29931.149999999994</v>
      </c>
      <c r="G37" s="519">
        <f t="shared" si="22"/>
        <v>132027.79999999999</v>
      </c>
      <c r="H37" s="519">
        <f t="shared" si="22"/>
        <v>220631.27000000008</v>
      </c>
      <c r="I37" s="519">
        <f t="shared" si="22"/>
        <v>270466.07250000001</v>
      </c>
      <c r="J37" s="519">
        <f t="shared" si="22"/>
        <v>357440.341625</v>
      </c>
      <c r="K37" s="519">
        <f t="shared" si="22"/>
        <v>404870.74271625007</v>
      </c>
      <c r="L37" s="520">
        <f t="shared" si="22"/>
        <v>479311.85076466243</v>
      </c>
      <c r="M37" s="239"/>
      <c r="N37" s="77"/>
      <c r="Y37" s="78"/>
    </row>
    <row r="38" spans="2:25" ht="15" customHeight="1" x14ac:dyDescent="0.25">
      <c r="B38" s="77"/>
      <c r="C38" s="221"/>
      <c r="F38" s="637"/>
      <c r="L38" s="154"/>
      <c r="N38" s="77"/>
      <c r="Y38" s="78"/>
    </row>
    <row r="39" spans="2:25" ht="15" customHeight="1" x14ac:dyDescent="0.25">
      <c r="B39" s="83"/>
      <c r="C39" s="222" t="s">
        <v>152</v>
      </c>
      <c r="D39" s="69">
        <f>D27-D37</f>
        <v>80838.358461538475</v>
      </c>
      <c r="E39" s="69">
        <f>E27-E37</f>
        <v>30189.941847182468</v>
      </c>
      <c r="F39" s="638">
        <f t="shared" ref="F39:F41" si="23">+E39-D39</f>
        <v>-50648.416614356007</v>
      </c>
      <c r="G39" s="69">
        <f>G27-G37</f>
        <v>-37460.843414821982</v>
      </c>
      <c r="H39" s="69">
        <f>H27-H37</f>
        <v>325770.30853628454</v>
      </c>
      <c r="I39" s="69">
        <f>I27-I37</f>
        <v>1112802.1343899902</v>
      </c>
      <c r="J39" s="69">
        <f t="shared" ref="J39:L39" si="24">J27-J37</f>
        <v>1713955.7273383299</v>
      </c>
      <c r="K39" s="69">
        <f t="shared" si="24"/>
        <v>1918750.8358200351</v>
      </c>
      <c r="L39" s="223">
        <f t="shared" si="24"/>
        <v>2655930.8465523734</v>
      </c>
      <c r="M39" s="232"/>
      <c r="N39" s="83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4"/>
    </row>
    <row r="40" spans="2:25" ht="15" hidden="1" customHeight="1" x14ac:dyDescent="0.25">
      <c r="B40" s="83"/>
      <c r="C40" s="222" t="s">
        <v>279</v>
      </c>
      <c r="D40" s="69">
        <f>D28-D37</f>
        <v>155838.35999999996</v>
      </c>
      <c r="E40" s="69">
        <f>E28-E37</f>
        <v>162891.27000000002</v>
      </c>
      <c r="F40" s="638">
        <f t="shared" si="23"/>
        <v>7052.9100000000617</v>
      </c>
      <c r="G40" s="69">
        <f>G28-G37</f>
        <v>187168.08012223296</v>
      </c>
      <c r="H40" s="69">
        <f>H28-H37</f>
        <v>693146.03268296435</v>
      </c>
      <c r="I40" s="69">
        <f>I28-I37</f>
        <v>1591980.5558537056</v>
      </c>
      <c r="J40" s="69">
        <f t="shared" ref="J40:L40" si="25">J28-J37</f>
        <v>2241043.5894116699</v>
      </c>
      <c r="K40" s="69">
        <f t="shared" si="25"/>
        <v>2628121.1653326433</v>
      </c>
      <c r="L40" s="223">
        <f t="shared" si="25"/>
        <v>3380320.0572842308</v>
      </c>
      <c r="M40" s="232"/>
      <c r="N40" s="83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4"/>
    </row>
    <row r="41" spans="2:25" ht="15" customHeight="1" x14ac:dyDescent="0.25">
      <c r="B41" s="77"/>
      <c r="C41" s="521" t="s">
        <v>153</v>
      </c>
      <c r="D41" s="504">
        <f>D39/D18</f>
        <v>0.17964079719535317</v>
      </c>
      <c r="E41" s="504">
        <f>E39/E18</f>
        <v>5.5613367431733139E-2</v>
      </c>
      <c r="F41" s="641">
        <f t="shared" si="23"/>
        <v>-0.12402742976362002</v>
      </c>
      <c r="G41" s="504">
        <f>G39/G18</f>
        <v>-0.14228949934789031</v>
      </c>
      <c r="H41" s="504">
        <f>H39/H18</f>
        <v>0.21255718943568552</v>
      </c>
      <c r="I41" s="504">
        <f>I39/I18</f>
        <v>0.43625243872546338</v>
      </c>
      <c r="J41" s="504">
        <f t="shared" ref="J41:L41" si="26">J39/J18</f>
        <v>0.49999990034021108</v>
      </c>
      <c r="K41" s="504">
        <f t="shared" si="26"/>
        <v>0.47961220954157346</v>
      </c>
      <c r="L41" s="505">
        <f t="shared" si="26"/>
        <v>0.51316278497207779</v>
      </c>
      <c r="M41" s="238"/>
      <c r="N41" s="77"/>
      <c r="Y41" s="78"/>
    </row>
    <row r="42" spans="2:25" ht="15" customHeight="1" x14ac:dyDescent="0.25">
      <c r="B42" s="77"/>
      <c r="C42" s="227"/>
      <c r="D42" s="63"/>
      <c r="E42" s="63"/>
      <c r="F42" s="643"/>
      <c r="G42" s="63"/>
      <c r="H42" s="63"/>
      <c r="I42" s="63"/>
      <c r="J42" s="63"/>
      <c r="K42" s="63"/>
      <c r="L42" s="228"/>
      <c r="M42" s="63"/>
      <c r="N42" s="77"/>
      <c r="Y42" s="78"/>
    </row>
    <row r="43" spans="2:25" ht="15" customHeight="1" x14ac:dyDescent="0.25">
      <c r="B43" s="77"/>
      <c r="C43" s="221" t="s">
        <v>154</v>
      </c>
      <c r="D43" s="57">
        <f>SUMIF('Monthly Detail'!$1:$1,'Annual Summary'!D$11, 'Monthly Detail'!91:91)</f>
        <v>-128.42000000000007</v>
      </c>
      <c r="E43" s="57">
        <f>SUMIF('Monthly Detail'!$1:$1,'Annual Summary'!E$11, 'Monthly Detail'!91:91)</f>
        <v>600</v>
      </c>
      <c r="F43" s="642">
        <f t="shared" ref="F43:F50" si="27">+E43-D43</f>
        <v>728.42000000000007</v>
      </c>
      <c r="G43" s="57">
        <f>SUMIF('Monthly Detail'!$1:$1,'Annual Summary'!G$11, 'Monthly Detail'!91:91)</f>
        <v>0.19</v>
      </c>
      <c r="H43" s="57">
        <f>SUMIF('Monthly Detail'!$1:$1,'Annual Summary'!H$11, 'Monthly Detail'!91:91)</f>
        <v>0</v>
      </c>
      <c r="I43" s="57">
        <f>SUMIF('Monthly Detail'!$1:$1,'Annual Summary'!I$11, 'Monthly Detail'!91:91)</f>
        <v>0</v>
      </c>
      <c r="J43" s="57">
        <f>SUMIF('Monthly Detail'!$1:$1,'Annual Summary'!J$11, 'Monthly Detail'!91:91)</f>
        <v>0</v>
      </c>
      <c r="K43" s="57">
        <f>SUMIF('Monthly Detail'!$1:$1,'Annual Summary'!K$11, 'Monthly Detail'!91:91)</f>
        <v>0</v>
      </c>
      <c r="L43" s="226">
        <f>SUMIF('Monthly Detail'!$1:$1,'Annual Summary'!L$11, 'Monthly Detail'!91:91)</f>
        <v>0</v>
      </c>
      <c r="M43" s="57"/>
      <c r="N43" s="77"/>
      <c r="Y43" s="78"/>
    </row>
    <row r="44" spans="2:25" ht="15" customHeight="1" x14ac:dyDescent="0.25">
      <c r="B44" s="83"/>
      <c r="C44" s="222" t="s">
        <v>12</v>
      </c>
      <c r="D44" s="69">
        <f>D39+D43</f>
        <v>80709.938461538477</v>
      </c>
      <c r="E44" s="69">
        <f>E39+E43</f>
        <v>30789.941847182468</v>
      </c>
      <c r="F44" s="638">
        <f t="shared" si="27"/>
        <v>-49919.996614356009</v>
      </c>
      <c r="G44" s="69">
        <f>G39+G43</f>
        <v>-37460.65341482198</v>
      </c>
      <c r="H44" s="69">
        <f>H39+H43</f>
        <v>325770.30853628454</v>
      </c>
      <c r="I44" s="69">
        <f>I39+I43</f>
        <v>1112802.1343899902</v>
      </c>
      <c r="J44" s="69">
        <f t="shared" ref="J44:L44" si="28">J39+J43</f>
        <v>1713955.7273383299</v>
      </c>
      <c r="K44" s="69">
        <f t="shared" si="28"/>
        <v>1918750.8358200351</v>
      </c>
      <c r="L44" s="223">
        <f t="shared" si="28"/>
        <v>2655930.8465523734</v>
      </c>
      <c r="M44" s="232"/>
      <c r="N44" s="83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4"/>
    </row>
    <row r="45" spans="2:25" ht="15.75" hidden="1" x14ac:dyDescent="0.25">
      <c r="B45" s="83"/>
      <c r="C45" s="222" t="s">
        <v>284</v>
      </c>
      <c r="D45" s="69">
        <f>D40+D43</f>
        <v>155709.93999999994</v>
      </c>
      <c r="E45" s="69">
        <f t="shared" ref="E45:I45" si="29">E40+E43</f>
        <v>163491.27000000002</v>
      </c>
      <c r="F45" s="638">
        <f t="shared" si="27"/>
        <v>7781.3300000000745</v>
      </c>
      <c r="G45" s="69">
        <f t="shared" si="29"/>
        <v>187168.27012223296</v>
      </c>
      <c r="H45" s="69">
        <f t="shared" si="29"/>
        <v>693146.03268296435</v>
      </c>
      <c r="I45" s="69">
        <f t="shared" si="29"/>
        <v>1591980.5558537056</v>
      </c>
      <c r="J45" s="69">
        <f t="shared" ref="J45:L45" si="30">J40+J43</f>
        <v>2241043.5894116699</v>
      </c>
      <c r="K45" s="69">
        <f t="shared" si="30"/>
        <v>2628121.1653326433</v>
      </c>
      <c r="L45" s="223">
        <f t="shared" si="30"/>
        <v>3380320.0572842308</v>
      </c>
      <c r="M45" s="232"/>
      <c r="N45" s="83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4"/>
    </row>
    <row r="46" spans="2:25" ht="15" customHeight="1" x14ac:dyDescent="0.25">
      <c r="B46" s="77"/>
      <c r="C46" s="521" t="s">
        <v>155</v>
      </c>
      <c r="D46" s="504">
        <f>D44/D18</f>
        <v>0.17935541941659974</v>
      </c>
      <c r="E46" s="504">
        <f>E44/E18</f>
        <v>5.6718636882994236E-2</v>
      </c>
      <c r="F46" s="641">
        <f t="shared" si="27"/>
        <v>-0.12263678253360551</v>
      </c>
      <c r="G46" s="504">
        <f>G44/G18</f>
        <v>-0.14228877766085893</v>
      </c>
      <c r="H46" s="504">
        <f>H44/H18</f>
        <v>0.21255718943568552</v>
      </c>
      <c r="I46" s="504">
        <f>I44/I18</f>
        <v>0.43625243872546338</v>
      </c>
      <c r="J46" s="504">
        <f t="shared" ref="J46:L46" si="31">J44/J18</f>
        <v>0.49999990034021108</v>
      </c>
      <c r="K46" s="504">
        <f t="shared" si="31"/>
        <v>0.47961220954157346</v>
      </c>
      <c r="L46" s="505">
        <f t="shared" si="31"/>
        <v>0.51316278497207779</v>
      </c>
      <c r="N46" s="77"/>
      <c r="Y46" s="78"/>
    </row>
    <row r="47" spans="2:25" ht="15" customHeight="1" x14ac:dyDescent="0.25">
      <c r="B47" s="77"/>
      <c r="C47" s="489" t="s">
        <v>228</v>
      </c>
      <c r="D47" s="490">
        <f>+'Monthly Detail'!AA195</f>
        <v>194649.22999999998</v>
      </c>
      <c r="E47" s="490">
        <f>+'Monthly Detail'!AM195</f>
        <v>39586.590000000018</v>
      </c>
      <c r="F47" s="644">
        <f t="shared" si="27"/>
        <v>-155062.63999999996</v>
      </c>
      <c r="G47" s="490">
        <f>+'Monthly Detail'!AY195</f>
        <v>237868.01771474344</v>
      </c>
      <c r="H47" s="490">
        <f>+'Monthly Detail'!BK195</f>
        <v>691862.72994532343</v>
      </c>
      <c r="I47" s="490">
        <f>+'Monthly Detail'!BW195</f>
        <v>1746433.0061396328</v>
      </c>
      <c r="J47" s="490">
        <f>+'Monthly Detail'!BX195</f>
        <v>1722674.740925851</v>
      </c>
      <c r="K47" s="490">
        <f>+'Monthly Detail'!BY195</f>
        <v>1607174.5388293227</v>
      </c>
      <c r="L47" s="491">
        <f>+'Monthly Detail'!BZ195</f>
        <v>2709394.5738505442</v>
      </c>
      <c r="M47" s="485" t="s">
        <v>0</v>
      </c>
      <c r="N47" s="77"/>
      <c r="Y47" s="78"/>
    </row>
    <row r="48" spans="2:25" ht="15.75" x14ac:dyDescent="0.25">
      <c r="B48" s="77"/>
      <c r="C48" s="233" t="s">
        <v>286</v>
      </c>
      <c r="D48" s="243">
        <f t="shared" ref="D48" si="32">+IFERROR(IF(D44&gt;0,D44*0.3, 0), 0)</f>
        <v>24212.981538461543</v>
      </c>
      <c r="E48" s="243">
        <f>+IFERROR(IF(E44&gt;0,E44*0.3, 0), 0)</f>
        <v>9236.9825541547398</v>
      </c>
      <c r="F48" s="645">
        <f t="shared" si="27"/>
        <v>-14975.998984306803</v>
      </c>
      <c r="G48" s="243">
        <f t="shared" ref="G48:L48" si="33">+IFERROR(IF(G44&gt;0,G44*0.3, 0), 0)</f>
        <v>0</v>
      </c>
      <c r="H48" s="243">
        <f t="shared" si="33"/>
        <v>97731.092560885358</v>
      </c>
      <c r="I48" s="243">
        <f t="shared" si="33"/>
        <v>333840.64031699707</v>
      </c>
      <c r="J48" s="243">
        <f t="shared" si="33"/>
        <v>514186.71820149897</v>
      </c>
      <c r="K48" s="243">
        <f t="shared" si="33"/>
        <v>575625.25074601045</v>
      </c>
      <c r="L48" s="244">
        <f t="shared" si="33"/>
        <v>796779.25396571204</v>
      </c>
      <c r="M48" s="241">
        <f>+SUM(D48:L48)</f>
        <v>2336636.9208994135</v>
      </c>
      <c r="N48" s="77"/>
      <c r="Y48" s="78"/>
    </row>
    <row r="49" spans="2:25" ht="15.75" x14ac:dyDescent="0.25">
      <c r="B49" s="77"/>
      <c r="C49" s="233" t="s">
        <v>287</v>
      </c>
      <c r="D49" s="243">
        <f t="shared" ref="D49" si="34">+IFERROR(IF(D45&gt;0,D45*0.3, 0), 0)</f>
        <v>46712.981999999982</v>
      </c>
      <c r="E49" s="243">
        <f>+IFERROR(IF(E45&gt;0,E45*0.3, 0), 0)</f>
        <v>49047.381000000001</v>
      </c>
      <c r="F49" s="645">
        <f t="shared" si="27"/>
        <v>2334.3990000000194</v>
      </c>
      <c r="G49" s="243">
        <f t="shared" ref="G49:L49" si="35">+IFERROR(IF(G45&gt;0,G45*0.3, 0), 0)</f>
        <v>56150.481036669888</v>
      </c>
      <c r="H49" s="243">
        <f>+IFERROR(IF(H45&gt;0,H45*0.3, 0), 0)</f>
        <v>207943.80980488929</v>
      </c>
      <c r="I49" s="243">
        <f t="shared" si="35"/>
        <v>477594.16675611166</v>
      </c>
      <c r="J49" s="243">
        <f t="shared" si="35"/>
        <v>672313.07682350092</v>
      </c>
      <c r="K49" s="243">
        <f t="shared" si="35"/>
        <v>788436.34959979297</v>
      </c>
      <c r="L49" s="244">
        <f t="shared" si="35"/>
        <v>1014096.0171852692</v>
      </c>
      <c r="M49" s="240">
        <f>+SUM(D49:L49)</f>
        <v>3314628.6632062336</v>
      </c>
      <c r="N49" s="77"/>
      <c r="Y49" s="78"/>
    </row>
    <row r="50" spans="2:25" ht="15.75" x14ac:dyDescent="0.25">
      <c r="B50" s="77"/>
      <c r="C50" s="230" t="s">
        <v>377</v>
      </c>
      <c r="D50" s="231">
        <f>+'Monthly Detail'!AA165-'Monthly Detail'!P165</f>
        <v>-20000</v>
      </c>
      <c r="E50" s="231">
        <f>+'Monthly Detail'!AM165-'Monthly Detail'!AB165</f>
        <v>-80000</v>
      </c>
      <c r="F50" s="644">
        <f t="shared" si="27"/>
        <v>-60000</v>
      </c>
      <c r="G50" s="231">
        <f>+'Monthly Detail'!AY165-'Monthly Detail'!AN165</f>
        <v>11262.330682964399</v>
      </c>
      <c r="H50" s="231">
        <f>+'Monthly Detail'!BK165-'Monthly Detail'!AZ165</f>
        <v>-65154.061707256988</v>
      </c>
      <c r="I50" s="231">
        <f>+'Monthly Detail'!BW165-'Monthly Detail'!BL165</f>
        <v>-222560.42687799811</v>
      </c>
      <c r="J50" s="231">
        <f>+'Monthly Detail'!CI165-'Monthly Detail'!BX165</f>
        <v>-342791.14546766609</v>
      </c>
      <c r="K50" s="231">
        <f>+'Monthly Detail'!CU165-'Monthly Detail'!CJ165</f>
        <v>-383750.16716400697</v>
      </c>
      <c r="L50" s="622">
        <f>+'Monthly Detail'!DG165-'Monthly Detail'!CV165</f>
        <v>-531186.16931047477</v>
      </c>
      <c r="M50" s="242">
        <f>+SUM(D50:L50)</f>
        <v>-1694179.6398444385</v>
      </c>
      <c r="N50" s="77"/>
      <c r="Y50" s="78"/>
    </row>
    <row r="51" spans="2:25" x14ac:dyDescent="0.25">
      <c r="B51" s="77"/>
      <c r="C51" s="7"/>
      <c r="E51" s="353" t="s">
        <v>281</v>
      </c>
      <c r="F51" s="629">
        <f>+E49-E48</f>
        <v>39810.398445845261</v>
      </c>
      <c r="G51" s="620">
        <f>+G49-G48</f>
        <v>56150.481036669888</v>
      </c>
      <c r="H51" s="620">
        <f t="shared" ref="H51:L51" si="36">+H49-H48</f>
        <v>110212.71724400393</v>
      </c>
      <c r="I51" s="620">
        <f t="shared" si="36"/>
        <v>143753.52643911459</v>
      </c>
      <c r="J51" s="620">
        <f t="shared" si="36"/>
        <v>158126.35862200195</v>
      </c>
      <c r="K51" s="620">
        <f t="shared" si="36"/>
        <v>212811.09885378252</v>
      </c>
      <c r="L51" s="621">
        <f t="shared" si="36"/>
        <v>217316.76321955712</v>
      </c>
      <c r="M51" s="255">
        <f>+M49-M48</f>
        <v>977991.74230682012</v>
      </c>
      <c r="N51" s="77"/>
      <c r="Y51" s="78"/>
    </row>
    <row r="52" spans="2:25" ht="15" customHeight="1" x14ac:dyDescent="0.25">
      <c r="B52" s="77"/>
      <c r="C52" s="7"/>
      <c r="N52" s="77"/>
      <c r="Y52" s="78"/>
    </row>
    <row r="53" spans="2:25" ht="15.75" customHeight="1" thickBot="1" x14ac:dyDescent="0.3">
      <c r="B53" s="86"/>
      <c r="C53" s="87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6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9"/>
    </row>
    <row r="56" spans="2:25" ht="15.75" hidden="1" x14ac:dyDescent="0.25">
      <c r="C56" s="49"/>
      <c r="D56" s="212">
        <v>2023</v>
      </c>
      <c r="E56" s="212">
        <f t="shared" ref="E56:K56" si="37">+D56+1</f>
        <v>2024</v>
      </c>
      <c r="F56" s="212">
        <f>+E56+1</f>
        <v>2025</v>
      </c>
      <c r="G56" s="212">
        <f>+F56+1</f>
        <v>2026</v>
      </c>
      <c r="H56" s="212">
        <f t="shared" si="37"/>
        <v>2027</v>
      </c>
      <c r="I56" s="212">
        <f t="shared" si="37"/>
        <v>2028</v>
      </c>
      <c r="J56" s="212">
        <f t="shared" si="37"/>
        <v>2029</v>
      </c>
      <c r="K56" s="212">
        <f t="shared" si="37"/>
        <v>2030</v>
      </c>
    </row>
    <row r="57" spans="2:25" hidden="1" x14ac:dyDescent="0.25">
      <c r="C57" s="354" t="s">
        <v>378</v>
      </c>
    </row>
    <row r="58" spans="2:25" hidden="1" x14ac:dyDescent="0.25">
      <c r="C58" s="7" t="s">
        <v>379</v>
      </c>
      <c r="D58" s="82" t="e">
        <f>INDEX('Monthly Detail'!113:113, MATCH(EOMONTH(DATE('Annual Summary'!D11, 12, 31), 0), 'Monthly Detail'!15:15,0))</f>
        <v>#N/A</v>
      </c>
      <c r="E58" s="82" t="e">
        <f>INDEX('Monthly Detail'!113:113, MATCH(EOMONTH(DATE('Annual Summary'!E18, 12, 31), 0), 'Monthly Detail'!15:15,0))</f>
        <v>#NUM!</v>
      </c>
      <c r="F58" s="82" t="e">
        <f>INDEX('Monthly Detail'!113:113, MATCH(EOMONTH(DATE('Annual Summary'!G18, 12, 31), 0), 'Monthly Detail'!15:15,0))</f>
        <v>#NUM!</v>
      </c>
      <c r="G58" s="82" t="e">
        <f>INDEX('Monthly Detail'!113:113, MATCH(EOMONTH(DATE('Annual Summary'!H18, 12, 31), 0), 'Monthly Detail'!15:15,0))</f>
        <v>#NUM!</v>
      </c>
      <c r="H58" s="82" t="e">
        <f>INDEX('Monthly Detail'!113:113, MATCH(EOMONTH(DATE('Annual Summary'!I18, 12, 31), 0), 'Monthly Detail'!15:15,0))</f>
        <v>#NUM!</v>
      </c>
      <c r="I58" s="82" t="e">
        <f>INDEX('Monthly Detail'!113:113, MATCH(EOMONTH(DATE('Annual Summary'!J18, 12, 31), 0), 'Monthly Detail'!15:15,0))</f>
        <v>#NUM!</v>
      </c>
      <c r="J58" s="82" t="e">
        <f>INDEX('Monthly Detail'!113:113, MATCH(EOMONTH(DATE('Annual Summary'!K18, 12, 31), 0), 'Monthly Detail'!15:15,0))</f>
        <v>#NUM!</v>
      </c>
      <c r="K58" s="82" t="e">
        <f>INDEX('Monthly Detail'!113:113, MATCH(EOMONTH(DATE('Annual Summary'!L18, 12, 31), 0), 'Monthly Detail'!15:15,0))</f>
        <v>#NUM!</v>
      </c>
    </row>
    <row r="59" spans="2:25" hidden="1" x14ac:dyDescent="0.25">
      <c r="C59" s="7" t="s">
        <v>380</v>
      </c>
      <c r="D59" s="82" t="e">
        <f>INDEX('Monthly Detail'!117:117, MATCH(EOMONTH(DATE('Annual Summary'!D$7, 12, 31), 0), 'Monthly Detail'!$3:$3,0))</f>
        <v>#N/A</v>
      </c>
      <c r="E59" s="82" t="e">
        <f>INDEX('Monthly Detail'!117:117, MATCH(EOMONTH(DATE('Annual Summary'!E$7, 12, 31), 0), 'Monthly Detail'!$3:$3,0))</f>
        <v>#N/A</v>
      </c>
      <c r="F59" s="82" t="e">
        <f>INDEX('Monthly Detail'!117:117, MATCH(EOMONTH(DATE('Annual Summary'!F$7, 12, 31), 0), 'Monthly Detail'!$3:$3,0))</f>
        <v>#N/A</v>
      </c>
      <c r="G59" s="82" t="e">
        <f>INDEX('Monthly Detail'!117:117, MATCH(EOMONTH(DATE('Annual Summary'!G$7, 12, 31), 0), 'Monthly Detail'!$3:$3,0))</f>
        <v>#N/A</v>
      </c>
      <c r="H59" s="82" t="e">
        <f>INDEX('Monthly Detail'!117:117, MATCH(EOMONTH(DATE('Annual Summary'!H$7, 12, 31), 0), 'Monthly Detail'!$3:$3,0))</f>
        <v>#N/A</v>
      </c>
      <c r="I59" s="82" t="e">
        <f>INDEX('Monthly Detail'!117:117, MATCH(EOMONTH(DATE('Annual Summary'!I$7, 12, 31), 0), 'Monthly Detail'!$3:$3,0))</f>
        <v>#N/A</v>
      </c>
      <c r="J59" s="82" t="e">
        <f>INDEX('Monthly Detail'!117:117, MATCH(EOMONTH(DATE('Annual Summary'!J$7, 12, 31), 0), 'Monthly Detail'!$3:$3,0))</f>
        <v>#N/A</v>
      </c>
      <c r="K59" s="82" t="e">
        <f>INDEX('Monthly Detail'!117:117, MATCH(EOMONTH(DATE('Annual Summary'!K$7, 12, 31), 0), 'Monthly Detail'!$3:$3,0))</f>
        <v>#N/A</v>
      </c>
    </row>
    <row r="60" spans="2:25" hidden="1" x14ac:dyDescent="0.25">
      <c r="C60" s="7" t="s">
        <v>381</v>
      </c>
      <c r="D60" s="82" t="e">
        <f>INDEX('Monthly Detail'!128:128, MATCH(EOMONTH(DATE('Annual Summary'!D18, 12, 31), 0), 'Monthly Detail'!15:15,0))</f>
        <v>#NUM!</v>
      </c>
      <c r="E60" s="82" t="e">
        <f>INDEX('Monthly Detail'!128:128, MATCH(EOMONTH(DATE('Annual Summary'!E18, 12, 31), 0), 'Monthly Detail'!15:15,0))</f>
        <v>#NUM!</v>
      </c>
      <c r="F60" s="82" t="e">
        <f>INDEX('Monthly Detail'!128:128, MATCH(EOMONTH(DATE('Annual Summary'!G18, 12, 31), 0), 'Monthly Detail'!15:15,0))</f>
        <v>#NUM!</v>
      </c>
      <c r="G60" s="82" t="e">
        <f>INDEX('Monthly Detail'!128:128, MATCH(EOMONTH(DATE('Annual Summary'!H18, 12, 31), 0), 'Monthly Detail'!15:15,0))</f>
        <v>#NUM!</v>
      </c>
      <c r="H60" s="82" t="e">
        <f>INDEX('Monthly Detail'!128:128, MATCH(EOMONTH(DATE('Annual Summary'!I18, 12, 31), 0), 'Monthly Detail'!15:15,0))</f>
        <v>#NUM!</v>
      </c>
      <c r="I60" s="82" t="e">
        <f>INDEX('Monthly Detail'!128:128, MATCH(EOMONTH(DATE('Annual Summary'!J18, 12, 31), 0), 'Monthly Detail'!15:15,0))</f>
        <v>#NUM!</v>
      </c>
      <c r="J60" s="82" t="e">
        <f>INDEX('Monthly Detail'!128:128, MATCH(EOMONTH(DATE('Annual Summary'!K18, 12, 31), 0), 'Monthly Detail'!15:15,0))</f>
        <v>#NUM!</v>
      </c>
      <c r="K60" s="82" t="e">
        <f>INDEX('Monthly Detail'!128:128, MATCH(EOMONTH(DATE('Annual Summary'!L18, 12, 31), 0), 'Monthly Detail'!15:15,0))</f>
        <v>#NUM!</v>
      </c>
    </row>
    <row r="61" spans="2:25" hidden="1" x14ac:dyDescent="0.25">
      <c r="C61" s="59" t="s">
        <v>382</v>
      </c>
      <c r="D61" s="60" t="e">
        <f t="shared" ref="D61:K61" si="38">SUM(D58:D60)</f>
        <v>#N/A</v>
      </c>
      <c r="E61" s="60" t="e">
        <f t="shared" si="38"/>
        <v>#NUM!</v>
      </c>
      <c r="F61" s="60" t="e">
        <f t="shared" si="38"/>
        <v>#NUM!</v>
      </c>
      <c r="G61" s="60" t="e">
        <f t="shared" si="38"/>
        <v>#NUM!</v>
      </c>
      <c r="H61" s="60" t="e">
        <f t="shared" si="38"/>
        <v>#NUM!</v>
      </c>
      <c r="I61" s="60" t="e">
        <f t="shared" si="38"/>
        <v>#NUM!</v>
      </c>
      <c r="J61" s="60" t="e">
        <f t="shared" si="38"/>
        <v>#NUM!</v>
      </c>
      <c r="K61" s="60" t="e">
        <f t="shared" si="38"/>
        <v>#NUM!</v>
      </c>
    </row>
    <row r="62" spans="2:25" hidden="1" x14ac:dyDescent="0.25">
      <c r="C62" s="7" t="s">
        <v>383</v>
      </c>
      <c r="D62" s="82" t="e">
        <f>INDEX('Monthly Detail'!140:140, MATCH(EOMONTH(DATE('Annual Summary'!D$7, 12, 31), 0), 'Monthly Detail'!$3:$3,0))</f>
        <v>#N/A</v>
      </c>
      <c r="E62" s="82" t="e">
        <f>INDEX('Monthly Detail'!140:140, MATCH(EOMONTH(DATE('Annual Summary'!E$7, 12, 31), 0), 'Monthly Detail'!$3:$3,0))</f>
        <v>#N/A</v>
      </c>
      <c r="F62" s="82" t="e">
        <f>INDEX('Monthly Detail'!140:140, MATCH(EOMONTH(DATE('Annual Summary'!F$7, 12, 31), 0), 'Monthly Detail'!$3:$3,0))</f>
        <v>#N/A</v>
      </c>
      <c r="G62" s="82" t="e">
        <f>INDEX('Monthly Detail'!140:140, MATCH(EOMONTH(DATE('Annual Summary'!G$7, 12, 31), 0), 'Monthly Detail'!$3:$3,0))</f>
        <v>#N/A</v>
      </c>
      <c r="H62" s="82" t="e">
        <f>INDEX('Monthly Detail'!140:140, MATCH(EOMONTH(DATE('Annual Summary'!H$7, 12, 31), 0), 'Monthly Detail'!$3:$3,0))</f>
        <v>#N/A</v>
      </c>
      <c r="I62" s="82" t="e">
        <f>INDEX('Monthly Detail'!140:140, MATCH(EOMONTH(DATE('Annual Summary'!I$7, 12, 31), 0), 'Monthly Detail'!$3:$3,0))</f>
        <v>#N/A</v>
      </c>
      <c r="J62" s="82" t="e">
        <f>INDEX('Monthly Detail'!140:140, MATCH(EOMONTH(DATE('Annual Summary'!J$7, 12, 31), 0), 'Monthly Detail'!$3:$3,0))</f>
        <v>#N/A</v>
      </c>
      <c r="K62" s="82" t="e">
        <f>INDEX('Monthly Detail'!140:140, MATCH(EOMONTH(DATE('Annual Summary'!K$7, 12, 31), 0), 'Monthly Detail'!$3:$3,0))</f>
        <v>#N/A</v>
      </c>
    </row>
    <row r="63" spans="2:25" hidden="1" x14ac:dyDescent="0.25">
      <c r="C63" s="59" t="s">
        <v>384</v>
      </c>
      <c r="D63" s="60" t="e">
        <f t="shared" ref="D63:K63" si="39">SUM(D61:D62)</f>
        <v>#N/A</v>
      </c>
      <c r="E63" s="60" t="e">
        <f t="shared" si="39"/>
        <v>#NUM!</v>
      </c>
      <c r="F63" s="60" t="e">
        <f t="shared" si="39"/>
        <v>#NUM!</v>
      </c>
      <c r="G63" s="60" t="e">
        <f t="shared" si="39"/>
        <v>#NUM!</v>
      </c>
      <c r="H63" s="60" t="e">
        <f t="shared" si="39"/>
        <v>#NUM!</v>
      </c>
      <c r="I63" s="60" t="e">
        <f t="shared" si="39"/>
        <v>#NUM!</v>
      </c>
      <c r="J63" s="60" t="e">
        <f t="shared" si="39"/>
        <v>#NUM!</v>
      </c>
      <c r="K63" s="60" t="e">
        <f t="shared" si="39"/>
        <v>#NUM!</v>
      </c>
    </row>
    <row r="64" spans="2:25" hidden="1" x14ac:dyDescent="0.25">
      <c r="C64" s="7" t="s">
        <v>385</v>
      </c>
      <c r="D64" s="82" t="e">
        <f>INDEX('Monthly Detail'!164:164, MATCH(EOMONTH(DATE('Annual Summary'!D$7, 12, 31), 0), 'Monthly Detail'!$3:$3,0))</f>
        <v>#N/A</v>
      </c>
      <c r="E64" s="82" t="e">
        <f>INDEX('Monthly Detail'!164:164, MATCH(EOMONTH(DATE('Annual Summary'!E$7, 12, 31), 0), 'Monthly Detail'!$3:$3,0))</f>
        <v>#N/A</v>
      </c>
      <c r="F64" s="82" t="e">
        <f>INDEX('Monthly Detail'!164:164, MATCH(EOMONTH(DATE('Annual Summary'!F$7, 12, 31), 0), 'Monthly Detail'!$3:$3,0))</f>
        <v>#N/A</v>
      </c>
      <c r="G64" s="82" t="e">
        <f>INDEX('Monthly Detail'!164:164, MATCH(EOMONTH(DATE('Annual Summary'!G$7, 12, 31), 0), 'Monthly Detail'!$3:$3,0))</f>
        <v>#N/A</v>
      </c>
      <c r="H64" s="82" t="e">
        <f>INDEX('Monthly Detail'!164:164, MATCH(EOMONTH(DATE('Annual Summary'!H$7, 12, 31), 0), 'Monthly Detail'!$3:$3,0))</f>
        <v>#N/A</v>
      </c>
      <c r="I64" s="82" t="e">
        <f>INDEX('Monthly Detail'!164:164, MATCH(EOMONTH(DATE('Annual Summary'!I$7, 12, 31), 0), 'Monthly Detail'!$3:$3,0))</f>
        <v>#N/A</v>
      </c>
      <c r="J64" s="82" t="e">
        <f>INDEX('Monthly Detail'!164:164, MATCH(EOMONTH(DATE('Annual Summary'!J$7, 12, 31), 0), 'Monthly Detail'!$3:$3,0))</f>
        <v>#N/A</v>
      </c>
      <c r="K64" s="82" t="e">
        <f>INDEX('Monthly Detail'!164:164, MATCH(EOMONTH(DATE('Annual Summary'!K$7, 12, 31), 0), 'Monthly Detail'!$3:$3,0))</f>
        <v>#N/A</v>
      </c>
    </row>
    <row r="65" spans="2:25" hidden="1" x14ac:dyDescent="0.25">
      <c r="C65" s="7" t="s">
        <v>386</v>
      </c>
      <c r="D65" s="82" t="e">
        <f>INDEX('Monthly Detail'!184:184, MATCH(EOMONTH(DATE('Annual Summary'!D$7, 12, 31), 0), 'Monthly Detail'!$3:$3,0))</f>
        <v>#N/A</v>
      </c>
      <c r="E65" s="82" t="e">
        <f>INDEX('Monthly Detail'!184:184, MATCH(EOMONTH(DATE('Annual Summary'!E$7, 12, 31), 0), 'Monthly Detail'!$3:$3,0))</f>
        <v>#N/A</v>
      </c>
      <c r="F65" s="82" t="e">
        <f>INDEX('Monthly Detail'!184:184, MATCH(EOMONTH(DATE('Annual Summary'!F$7, 12, 31), 0), 'Monthly Detail'!$3:$3,0))</f>
        <v>#N/A</v>
      </c>
      <c r="G65" s="82" t="e">
        <f>INDEX('Monthly Detail'!184:184, MATCH(EOMONTH(DATE('Annual Summary'!G$7, 12, 31), 0), 'Monthly Detail'!$3:$3,0))</f>
        <v>#N/A</v>
      </c>
      <c r="H65" s="82" t="e">
        <f>INDEX('Monthly Detail'!184:184, MATCH(EOMONTH(DATE('Annual Summary'!H$7, 12, 31), 0), 'Monthly Detail'!$3:$3,0))</f>
        <v>#N/A</v>
      </c>
      <c r="I65" s="82" t="e">
        <f>INDEX('Monthly Detail'!184:184, MATCH(EOMONTH(DATE('Annual Summary'!I$7, 12, 31), 0), 'Monthly Detail'!$3:$3,0))</f>
        <v>#N/A</v>
      </c>
      <c r="J65" s="82" t="e">
        <f>INDEX('Monthly Detail'!184:184, MATCH(EOMONTH(DATE('Annual Summary'!J$7, 12, 31), 0), 'Monthly Detail'!$3:$3,0))</f>
        <v>#N/A</v>
      </c>
      <c r="K65" s="82" t="e">
        <f>INDEX('Monthly Detail'!184:184, MATCH(EOMONTH(DATE('Annual Summary'!K$7, 12, 31), 0), 'Monthly Detail'!$3:$3,0))</f>
        <v>#N/A</v>
      </c>
    </row>
    <row r="66" spans="2:25" hidden="1" x14ac:dyDescent="0.25">
      <c r="C66" s="59" t="s">
        <v>387</v>
      </c>
      <c r="D66" s="60" t="e">
        <f t="shared" ref="D66:K66" si="40">SUM(D64:D65)</f>
        <v>#N/A</v>
      </c>
      <c r="E66" s="60" t="e">
        <f t="shared" si="40"/>
        <v>#N/A</v>
      </c>
      <c r="F66" s="60" t="e">
        <f t="shared" si="40"/>
        <v>#N/A</v>
      </c>
      <c r="G66" s="60" t="e">
        <f t="shared" si="40"/>
        <v>#N/A</v>
      </c>
      <c r="H66" s="60" t="e">
        <f t="shared" si="40"/>
        <v>#N/A</v>
      </c>
      <c r="I66" s="60" t="e">
        <f t="shared" si="40"/>
        <v>#N/A</v>
      </c>
      <c r="J66" s="60" t="e">
        <f t="shared" si="40"/>
        <v>#N/A</v>
      </c>
      <c r="K66" s="60" t="e">
        <f t="shared" si="40"/>
        <v>#N/A</v>
      </c>
    </row>
    <row r="67" spans="2:25" hidden="1" x14ac:dyDescent="0.25">
      <c r="C67" s="59" t="s">
        <v>388</v>
      </c>
      <c r="D67" s="60" t="e">
        <f t="shared" ref="D67:K67" si="41">D66-D58</f>
        <v>#N/A</v>
      </c>
      <c r="E67" s="60" t="e">
        <f t="shared" si="41"/>
        <v>#N/A</v>
      </c>
      <c r="F67" s="60" t="e">
        <f t="shared" si="41"/>
        <v>#N/A</v>
      </c>
      <c r="G67" s="60" t="e">
        <f t="shared" si="41"/>
        <v>#N/A</v>
      </c>
      <c r="H67" s="60" t="e">
        <f t="shared" si="41"/>
        <v>#N/A</v>
      </c>
      <c r="I67" s="60" t="e">
        <f t="shared" si="41"/>
        <v>#N/A</v>
      </c>
      <c r="J67" s="60" t="e">
        <f t="shared" si="41"/>
        <v>#N/A</v>
      </c>
      <c r="K67" s="60" t="e">
        <f t="shared" si="41"/>
        <v>#N/A</v>
      </c>
    </row>
    <row r="68" spans="2:25" hidden="1" x14ac:dyDescent="0.25">
      <c r="C68" s="7" t="s">
        <v>389</v>
      </c>
      <c r="D68" s="82" t="e">
        <f>INDEX('Monthly Detail'!193:193, MATCH(EOMONTH(DATE('Annual Summary'!D$7, 12, 31), 0), 'Monthly Detail'!$3:$3,0))+INDEX('Monthly Detail'!200:200, MATCH(EOMONTH(DATE('Annual Summary'!D$7, 12, 31), 0), 'Monthly Detail'!$3:$3,0))</f>
        <v>#N/A</v>
      </c>
      <c r="E68" s="82" t="e">
        <f>INDEX('Monthly Detail'!193:193, MATCH(EOMONTH(DATE('Annual Summary'!E$7, 12, 31), 0), 'Monthly Detail'!$3:$3,0))+INDEX('Monthly Detail'!200:200, MATCH(EOMONTH(DATE('Annual Summary'!E$7, 12, 31), 0), 'Monthly Detail'!$3:$3,0))</f>
        <v>#N/A</v>
      </c>
      <c r="F68" s="82" t="e">
        <f>INDEX('Monthly Detail'!193:193, MATCH(EOMONTH(DATE('Annual Summary'!F$7, 12, 31), 0), 'Monthly Detail'!$3:$3,0))+INDEX('Monthly Detail'!200:200, MATCH(EOMONTH(DATE('Annual Summary'!F$7, 12, 31), 0), 'Monthly Detail'!$3:$3,0))</f>
        <v>#N/A</v>
      </c>
      <c r="G68" s="82" t="e">
        <f>INDEX('Monthly Detail'!193:193, MATCH(EOMONTH(DATE('Annual Summary'!G$7, 12, 31), 0), 'Monthly Detail'!$3:$3,0))+INDEX('Monthly Detail'!200:200, MATCH(EOMONTH(DATE('Annual Summary'!G$7, 12, 31), 0), 'Monthly Detail'!$3:$3,0))</f>
        <v>#N/A</v>
      </c>
      <c r="H68" s="82" t="e">
        <f>INDEX('Monthly Detail'!193:193, MATCH(EOMONTH(DATE('Annual Summary'!H$7, 12, 31), 0), 'Monthly Detail'!$3:$3,0))+INDEX('Monthly Detail'!200:200, MATCH(EOMONTH(DATE('Annual Summary'!H$7, 12, 31), 0), 'Monthly Detail'!$3:$3,0))</f>
        <v>#N/A</v>
      </c>
      <c r="I68" s="82" t="e">
        <f>INDEX('Monthly Detail'!193:193, MATCH(EOMONTH(DATE('Annual Summary'!I$7, 12, 31), 0), 'Monthly Detail'!$3:$3,0))+INDEX('Monthly Detail'!200:200, MATCH(EOMONTH(DATE('Annual Summary'!I$7, 12, 31), 0), 'Monthly Detail'!$3:$3,0))</f>
        <v>#N/A</v>
      </c>
      <c r="J68" s="82" t="e">
        <f>INDEX('Monthly Detail'!193:193, MATCH(EOMONTH(DATE('Annual Summary'!J$7, 12, 31), 0), 'Monthly Detail'!$3:$3,0))+INDEX('Monthly Detail'!200:200, MATCH(EOMONTH(DATE('Annual Summary'!J$7, 12, 31), 0), 'Monthly Detail'!$3:$3,0))</f>
        <v>#N/A</v>
      </c>
      <c r="K68" s="82" t="e">
        <f>INDEX('Monthly Detail'!193:193, MATCH(EOMONTH(DATE('Annual Summary'!K$7, 12, 31), 0), 'Monthly Detail'!$3:$3,0))+INDEX('Monthly Detail'!200:200, MATCH(EOMONTH(DATE('Annual Summary'!K$7, 12, 31), 0), 'Monthly Detail'!$3:$3,0))</f>
        <v>#N/A</v>
      </c>
    </row>
    <row r="69" spans="2:25" hidden="1" x14ac:dyDescent="0.25">
      <c r="C69" s="7" t="s">
        <v>390</v>
      </c>
      <c r="D69" s="82" t="e">
        <f>INDEX('Monthly Detail'!202:202, MATCH(EOMONTH(DATE('Annual Summary'!D$7, 12, 31), 0), 'Monthly Detail'!$3:$3,0))-INDEX('Monthly Detail'!199:199, MATCH(EOMONTH(DATE('Annual Summary'!D$7, 12, 31), 0), 'Monthly Detail'!$3:$3,0))</f>
        <v>#N/A</v>
      </c>
      <c r="E69" s="82" t="e">
        <f>INDEX('Monthly Detail'!202:202, MATCH(EOMONTH(DATE('Annual Summary'!E$7, 12, 31), 0), 'Monthly Detail'!$3:$3,0))-INDEX('Monthly Detail'!199:199, MATCH(EOMONTH(DATE('Annual Summary'!E$7, 12, 31), 0), 'Monthly Detail'!$3:$3,0))</f>
        <v>#N/A</v>
      </c>
      <c r="F69" s="82" t="e">
        <f>INDEX('Monthly Detail'!202:202, MATCH(EOMONTH(DATE('Annual Summary'!F$7, 12, 31), 0), 'Monthly Detail'!$3:$3,0))-INDEX('Monthly Detail'!199:199, MATCH(EOMONTH(DATE('Annual Summary'!F$7, 12, 31), 0), 'Monthly Detail'!$3:$3,0))</f>
        <v>#N/A</v>
      </c>
      <c r="G69" s="82" t="e">
        <f>INDEX('Monthly Detail'!202:202, MATCH(EOMONTH(DATE('Annual Summary'!G$7, 12, 31), 0), 'Monthly Detail'!$3:$3,0))-INDEX('Monthly Detail'!199:199, MATCH(EOMONTH(DATE('Annual Summary'!G$7, 12, 31), 0), 'Monthly Detail'!$3:$3,0))</f>
        <v>#N/A</v>
      </c>
      <c r="H69" s="82" t="e">
        <f>INDEX('Monthly Detail'!202:202, MATCH(EOMONTH(DATE('Annual Summary'!H$7, 12, 31), 0), 'Monthly Detail'!$3:$3,0))-INDEX('Monthly Detail'!199:199, MATCH(EOMONTH(DATE('Annual Summary'!H$7, 12, 31), 0), 'Monthly Detail'!$3:$3,0))</f>
        <v>#N/A</v>
      </c>
      <c r="I69" s="82" t="e">
        <f>INDEX('Monthly Detail'!202:202, MATCH(EOMONTH(DATE('Annual Summary'!I$7, 12, 31), 0), 'Monthly Detail'!$3:$3,0))-INDEX('Monthly Detail'!199:199, MATCH(EOMONTH(DATE('Annual Summary'!I$7, 12, 31), 0), 'Monthly Detail'!$3:$3,0))</f>
        <v>#N/A</v>
      </c>
      <c r="J69" s="82" t="e">
        <f>INDEX('Monthly Detail'!202:202, MATCH(EOMONTH(DATE('Annual Summary'!J$7, 12, 31), 0), 'Monthly Detail'!$3:$3,0))-INDEX('Monthly Detail'!199:199, MATCH(EOMONTH(DATE('Annual Summary'!J$7, 12, 31), 0), 'Monthly Detail'!$3:$3,0))</f>
        <v>#N/A</v>
      </c>
      <c r="K69" s="82" t="e">
        <f>INDEX('Monthly Detail'!202:202, MATCH(EOMONTH(DATE('Annual Summary'!K$7, 12, 31), 0), 'Monthly Detail'!$3:$3,0))-INDEX('Monthly Detail'!199:199, MATCH(EOMONTH(DATE('Annual Summary'!K$7, 12, 31), 0), 'Monthly Detail'!$3:$3,0))</f>
        <v>#N/A</v>
      </c>
    </row>
    <row r="70" spans="2:25" hidden="1" x14ac:dyDescent="0.25">
      <c r="C70" s="59" t="s">
        <v>391</v>
      </c>
      <c r="D70" s="60" t="e">
        <f t="shared" ref="D70:K70" si="42">SUM(D68:D69)</f>
        <v>#N/A</v>
      </c>
      <c r="E70" s="60" t="e">
        <f t="shared" si="42"/>
        <v>#N/A</v>
      </c>
      <c r="F70" s="60" t="e">
        <f t="shared" si="42"/>
        <v>#N/A</v>
      </c>
      <c r="G70" s="60" t="e">
        <f t="shared" si="42"/>
        <v>#N/A</v>
      </c>
      <c r="H70" s="60" t="e">
        <f t="shared" si="42"/>
        <v>#N/A</v>
      </c>
      <c r="I70" s="60" t="e">
        <f t="shared" si="42"/>
        <v>#N/A</v>
      </c>
      <c r="J70" s="60" t="e">
        <f t="shared" si="42"/>
        <v>#N/A</v>
      </c>
      <c r="K70" s="60" t="e">
        <f t="shared" si="42"/>
        <v>#N/A</v>
      </c>
    </row>
    <row r="71" spans="2:25" hidden="1" x14ac:dyDescent="0.25">
      <c r="C71" s="7"/>
    </row>
    <row r="72" spans="2:25" hidden="1" x14ac:dyDescent="0.25">
      <c r="C72" s="64" t="s">
        <v>156</v>
      </c>
      <c r="D72" s="65" t="e">
        <v>#NUM!</v>
      </c>
      <c r="E72" s="65" t="e">
        <v>#NUM!</v>
      </c>
      <c r="F72" s="65" t="e">
        <v>#NUM!</v>
      </c>
      <c r="G72" s="65" t="e">
        <v>#NUM!</v>
      </c>
      <c r="H72" s="65" t="e">
        <v>#NUM!</v>
      </c>
      <c r="I72" s="65" t="e">
        <v>#NUM!</v>
      </c>
      <c r="J72" s="65" t="e">
        <v>#NUM!</v>
      </c>
      <c r="K72" s="65" t="e">
        <v>#NUM!</v>
      </c>
    </row>
    <row r="73" spans="2:25" ht="15.75" hidden="1" thickBot="1" x14ac:dyDescent="0.3">
      <c r="C73" s="66" t="s">
        <v>157</v>
      </c>
      <c r="D73" s="65" t="e">
        <v>#VALUE!</v>
      </c>
      <c r="E73" s="65" t="e">
        <v>#VALUE!</v>
      </c>
      <c r="F73" s="65" t="e">
        <v>#VALUE!</v>
      </c>
      <c r="G73" s="65" t="e">
        <v>#VALUE!</v>
      </c>
      <c r="H73" s="65" t="e">
        <v>#VALUE!</v>
      </c>
      <c r="I73" s="65" t="e">
        <v>#VALUE!</v>
      </c>
      <c r="J73" s="65" t="e">
        <v>#VALUE!</v>
      </c>
      <c r="K73" s="65" t="e">
        <v>#VALUE!</v>
      </c>
    </row>
    <row r="74" spans="2:25" hidden="1" x14ac:dyDescent="0.25"/>
    <row r="75" spans="2:25" hidden="1" x14ac:dyDescent="0.25"/>
    <row r="76" spans="2:25" hidden="1" x14ac:dyDescent="0.25"/>
    <row r="77" spans="2:25" ht="15.75" hidden="1" x14ac:dyDescent="0.25">
      <c r="B77" s="83"/>
      <c r="C77" s="7"/>
    </row>
    <row r="78" spans="2:25" ht="15.75" hidden="1" x14ac:dyDescent="0.25">
      <c r="B78" s="83"/>
      <c r="C78" s="7"/>
    </row>
    <row r="79" spans="2:25" ht="15.75" hidden="1" x14ac:dyDescent="0.25">
      <c r="B79" s="83"/>
      <c r="C79" s="402" t="s">
        <v>403</v>
      </c>
      <c r="D79" s="402"/>
      <c r="E79" s="402"/>
      <c r="F79" s="402"/>
      <c r="G79" s="402"/>
      <c r="H79" s="402"/>
      <c r="I79" s="15"/>
      <c r="J79" s="15"/>
      <c r="K79" s="15"/>
      <c r="L79" s="78"/>
      <c r="Y79" s="78"/>
    </row>
    <row r="80" spans="2:25" ht="15.75" hidden="1" x14ac:dyDescent="0.25">
      <c r="B80" s="83"/>
      <c r="C80" s="49"/>
      <c r="D80" s="212">
        <v>2023</v>
      </c>
      <c r="E80" s="212">
        <f t="shared" ref="E80:H80" si="43">+D80+1</f>
        <v>2024</v>
      </c>
      <c r="F80" s="212">
        <f>+E80+1</f>
        <v>2025</v>
      </c>
      <c r="G80" s="212">
        <f>+F80+1</f>
        <v>2026</v>
      </c>
      <c r="H80" s="212">
        <f t="shared" si="43"/>
        <v>2027</v>
      </c>
      <c r="I80" s="212">
        <f>+H80+1</f>
        <v>2028</v>
      </c>
      <c r="J80" s="212">
        <f t="shared" ref="J80:K80" si="44">+I80+1</f>
        <v>2029</v>
      </c>
      <c r="K80" s="212">
        <f t="shared" si="44"/>
        <v>2030</v>
      </c>
      <c r="L80" s="84"/>
      <c r="Y80" s="78"/>
    </row>
    <row r="81" spans="2:25" hidden="1" x14ac:dyDescent="0.25">
      <c r="B81" s="77"/>
      <c r="C81" s="7" t="s">
        <v>404</v>
      </c>
      <c r="D81" s="363" t="e">
        <f t="shared" ref="D81:H81" si="45">D61/D64</f>
        <v>#N/A</v>
      </c>
      <c r="E81" s="363" t="e">
        <f t="shared" si="45"/>
        <v>#NUM!</v>
      </c>
      <c r="F81" s="363" t="e">
        <f t="shared" si="45"/>
        <v>#NUM!</v>
      </c>
      <c r="G81" s="363" t="e">
        <f t="shared" si="45"/>
        <v>#NUM!</v>
      </c>
      <c r="H81" s="363" t="e">
        <f t="shared" si="45"/>
        <v>#NUM!</v>
      </c>
      <c r="I81" s="363" t="e">
        <f>I61/I64</f>
        <v>#NUM!</v>
      </c>
      <c r="J81" s="363" t="e">
        <f>J61/J64</f>
        <v>#NUM!</v>
      </c>
      <c r="K81" s="363" t="e">
        <f>K61/K64</f>
        <v>#NUM!</v>
      </c>
      <c r="L81" s="78"/>
      <c r="N81" s="364" t="s">
        <v>405</v>
      </c>
      <c r="O81" s="365"/>
      <c r="P81" s="365"/>
      <c r="Q81" s="365"/>
      <c r="R81" s="366"/>
      <c r="T81" s="364" t="s">
        <v>406</v>
      </c>
      <c r="U81" s="365"/>
      <c r="V81" s="365"/>
      <c r="W81" s="365"/>
      <c r="X81" s="366"/>
      <c r="Y81" s="78"/>
    </row>
    <row r="82" spans="2:25" hidden="1" x14ac:dyDescent="0.25">
      <c r="B82" s="77"/>
      <c r="C82" s="7" t="s">
        <v>407</v>
      </c>
      <c r="D82" s="363">
        <f t="shared" ref="D82:E82" si="46">D41/D45</f>
        <v>1.1536886931903849E-6</v>
      </c>
      <c r="E82" s="363">
        <f t="shared" si="46"/>
        <v>3.4016108280113753E-7</v>
      </c>
      <c r="F82" s="363">
        <f t="shared" ref="F82:K82" si="47">G41/G45</f>
        <v>-7.6022233498747457E-7</v>
      </c>
      <c r="G82" s="363">
        <f t="shared" si="47"/>
        <v>3.0665571093718761E-7</v>
      </c>
      <c r="H82" s="363">
        <f t="shared" si="47"/>
        <v>2.7403126069685024E-7</v>
      </c>
      <c r="I82" s="363">
        <f t="shared" si="47"/>
        <v>2.2311029678430913E-7</v>
      </c>
      <c r="J82" s="363">
        <f t="shared" si="47"/>
        <v>1.8249242685919642E-7</v>
      </c>
      <c r="K82" s="363">
        <f t="shared" si="47"/>
        <v>1.5180893414700969E-7</v>
      </c>
      <c r="L82" s="78"/>
      <c r="N82" s="367"/>
      <c r="O82" s="368"/>
      <c r="P82" s="368"/>
      <c r="Q82" s="368"/>
      <c r="R82" s="369"/>
      <c r="T82" s="367"/>
      <c r="U82" s="368"/>
      <c r="V82" s="368"/>
      <c r="W82" s="368"/>
      <c r="X82" s="369"/>
      <c r="Y82" s="78"/>
    </row>
    <row r="83" spans="2:25" hidden="1" x14ac:dyDescent="0.25">
      <c r="B83" s="77"/>
      <c r="C83" s="7" t="s">
        <v>408</v>
      </c>
      <c r="D83" s="370" t="e">
        <f t="shared" ref="D83:H83" si="48">D66/D70</f>
        <v>#N/A</v>
      </c>
      <c r="E83" s="370" t="e">
        <f t="shared" si="48"/>
        <v>#N/A</v>
      </c>
      <c r="F83" s="370" t="e">
        <f t="shared" si="48"/>
        <v>#N/A</v>
      </c>
      <c r="G83" s="370" t="e">
        <f t="shared" si="48"/>
        <v>#N/A</v>
      </c>
      <c r="H83" s="370" t="e">
        <f t="shared" si="48"/>
        <v>#N/A</v>
      </c>
      <c r="I83" s="370" t="e">
        <f>I66/I70</f>
        <v>#N/A</v>
      </c>
      <c r="J83" s="370" t="e">
        <f>J66/J70</f>
        <v>#N/A</v>
      </c>
      <c r="K83" s="370" t="e">
        <f>K66/K70</f>
        <v>#N/A</v>
      </c>
      <c r="L83" s="78"/>
      <c r="N83" s="371" t="s">
        <v>409</v>
      </c>
      <c r="O83" s="360"/>
      <c r="P83" s="360"/>
      <c r="Q83" s="360"/>
      <c r="R83" s="372" t="str">
        <f>C100</f>
        <v>WACC</v>
      </c>
      <c r="T83" s="371" t="s">
        <v>409</v>
      </c>
      <c r="U83" s="360"/>
      <c r="V83" s="360"/>
      <c r="W83" s="360"/>
      <c r="X83" s="373" t="str">
        <f>R83</f>
        <v>WACC</v>
      </c>
      <c r="Y83" s="78"/>
    </row>
    <row r="84" spans="2:25" hidden="1" x14ac:dyDescent="0.25">
      <c r="B84" s="77"/>
      <c r="C84" s="7" t="s">
        <v>410</v>
      </c>
      <c r="D84" s="374" t="e">
        <v>#VALUE!</v>
      </c>
      <c r="E84" s="374" t="e">
        <v>#VALUE!</v>
      </c>
      <c r="F84" s="374" t="e">
        <v>#VALUE!</v>
      </c>
      <c r="G84" s="374" t="e">
        <v>#VALUE!</v>
      </c>
      <c r="H84" s="374" t="e">
        <v>#VALUE!</v>
      </c>
      <c r="I84" s="374" t="e">
        <v>#VALUE!</v>
      </c>
      <c r="J84" s="374" t="e">
        <v>#VALUE!</v>
      </c>
      <c r="K84" s="374" t="e">
        <v>#VALUE!</v>
      </c>
      <c r="L84" s="78"/>
      <c r="M84" s="77"/>
      <c r="N84" s="375" t="s">
        <v>411</v>
      </c>
      <c r="O84" s="357"/>
      <c r="P84" s="360"/>
      <c r="Q84" s="360"/>
      <c r="R84" s="376" t="e">
        <v>#VALUE!</v>
      </c>
      <c r="T84" s="375" t="s">
        <v>411</v>
      </c>
      <c r="U84" s="357"/>
      <c r="V84" s="360"/>
      <c r="W84" s="360"/>
      <c r="X84" s="376" t="e">
        <v>#VALUE!</v>
      </c>
      <c r="Y84" s="78"/>
    </row>
    <row r="85" spans="2:25" hidden="1" x14ac:dyDescent="0.25">
      <c r="B85" s="77"/>
      <c r="C85" s="7" t="s">
        <v>412</v>
      </c>
      <c r="D85" s="374" t="e">
        <f>D63-D61</f>
        <v>#N/A</v>
      </c>
      <c r="E85" s="374" t="e">
        <f t="shared" ref="E85:H85" si="49">E63-E61</f>
        <v>#NUM!</v>
      </c>
      <c r="F85" s="374" t="e">
        <f t="shared" si="49"/>
        <v>#NUM!</v>
      </c>
      <c r="G85" s="374" t="e">
        <f t="shared" si="49"/>
        <v>#NUM!</v>
      </c>
      <c r="H85" s="374" t="e">
        <f t="shared" si="49"/>
        <v>#NUM!</v>
      </c>
      <c r="I85" s="374" t="e">
        <f>I63-I61</f>
        <v>#NUM!</v>
      </c>
      <c r="J85" s="374" t="e">
        <f>J63-J61</f>
        <v>#NUM!</v>
      </c>
      <c r="K85" s="374" t="e">
        <f>K63-K61</f>
        <v>#NUM!</v>
      </c>
      <c r="L85" s="78"/>
      <c r="M85" s="77"/>
      <c r="N85" s="377"/>
      <c r="O85" s="360"/>
      <c r="P85" s="360"/>
      <c r="Q85" s="360"/>
      <c r="R85" s="378"/>
      <c r="T85" s="377"/>
      <c r="U85" s="360"/>
      <c r="V85" s="360"/>
      <c r="W85" s="360"/>
      <c r="X85" s="378"/>
      <c r="Y85" s="78"/>
    </row>
    <row r="86" spans="2:25" hidden="1" x14ac:dyDescent="0.25">
      <c r="B86" s="77"/>
      <c r="C86" s="7" t="s">
        <v>413</v>
      </c>
      <c r="D86" s="370" t="e">
        <f>D85/D84</f>
        <v>#N/A</v>
      </c>
      <c r="E86" s="370" t="e">
        <f t="shared" ref="E86:K86" si="50">E85/E84</f>
        <v>#NUM!</v>
      </c>
      <c r="F86" s="370" t="e">
        <f t="shared" si="50"/>
        <v>#NUM!</v>
      </c>
      <c r="G86" s="370" t="e">
        <f t="shared" si="50"/>
        <v>#NUM!</v>
      </c>
      <c r="H86" s="370" t="e">
        <f t="shared" si="50"/>
        <v>#NUM!</v>
      </c>
      <c r="I86" s="370" t="e">
        <f t="shared" si="50"/>
        <v>#NUM!</v>
      </c>
      <c r="J86" s="370" t="e">
        <f t="shared" si="50"/>
        <v>#NUM!</v>
      </c>
      <c r="K86" s="370" t="e">
        <f t="shared" si="50"/>
        <v>#NUM!</v>
      </c>
      <c r="L86" s="78"/>
      <c r="M86" s="77"/>
      <c r="N86" s="377" t="s">
        <v>414</v>
      </c>
      <c r="O86" s="360"/>
      <c r="P86" s="360"/>
      <c r="Q86" s="360"/>
      <c r="R86" s="379" t="e">
        <f>RATE(L18-G18,0,-G23,L23)</f>
        <v>#NUM!</v>
      </c>
      <c r="T86" s="377" t="s">
        <v>414</v>
      </c>
      <c r="U86" s="360"/>
      <c r="V86" s="360"/>
      <c r="W86" s="360"/>
      <c r="X86" s="379" t="e">
        <f>RATE(L18-G18,0,-G23,L23)</f>
        <v>#NUM!</v>
      </c>
      <c r="Y86" s="78"/>
    </row>
    <row r="87" spans="2:25" hidden="1" x14ac:dyDescent="0.25">
      <c r="B87" s="77"/>
      <c r="C87" s="7" t="s">
        <v>415</v>
      </c>
      <c r="D87" s="370" t="e">
        <f t="shared" ref="D87:E87" si="51">D84/(D65+D45)</f>
        <v>#VALUE!</v>
      </c>
      <c r="E87" s="370" t="e">
        <f t="shared" si="51"/>
        <v>#VALUE!</v>
      </c>
      <c r="F87" s="370" t="e">
        <f t="shared" ref="F87:K87" si="52">F84/(F65+G45)</f>
        <v>#VALUE!</v>
      </c>
      <c r="G87" s="370" t="e">
        <f t="shared" si="52"/>
        <v>#VALUE!</v>
      </c>
      <c r="H87" s="370" t="e">
        <f t="shared" si="52"/>
        <v>#VALUE!</v>
      </c>
      <c r="I87" s="370" t="e">
        <f t="shared" si="52"/>
        <v>#VALUE!</v>
      </c>
      <c r="J87" s="370" t="e">
        <f t="shared" si="52"/>
        <v>#VALUE!</v>
      </c>
      <c r="K87" s="370" t="e">
        <f t="shared" si="52"/>
        <v>#VALUE!</v>
      </c>
      <c r="L87" s="78"/>
      <c r="M87" s="77"/>
      <c r="N87" s="380" t="str">
        <f>"Growth rate of FCF after "&amp;30</f>
        <v>Growth rate of FCF after 30</v>
      </c>
      <c r="O87" s="357"/>
      <c r="P87" s="360"/>
      <c r="Q87" s="360"/>
      <c r="R87" s="381" t="e">
        <v>#DIV/0!</v>
      </c>
      <c r="T87" s="380" t="s">
        <v>416</v>
      </c>
      <c r="U87" s="357"/>
      <c r="V87" s="360"/>
      <c r="W87" s="360"/>
      <c r="X87" s="382" t="e">
        <f>AVERAGE(C86:K86)</f>
        <v>#N/A</v>
      </c>
      <c r="Y87" s="78"/>
    </row>
    <row r="88" spans="2:25" hidden="1" x14ac:dyDescent="0.25">
      <c r="B88" s="77"/>
      <c r="C88" s="7" t="s">
        <v>417</v>
      </c>
      <c r="D88" s="196" t="e">
        <f t="shared" ref="D88:H88" si="53">D61-D64</f>
        <v>#N/A</v>
      </c>
      <c r="E88" s="196" t="e">
        <f t="shared" si="53"/>
        <v>#NUM!</v>
      </c>
      <c r="F88" s="196" t="e">
        <f t="shared" si="53"/>
        <v>#NUM!</v>
      </c>
      <c r="G88" s="196" t="e">
        <f t="shared" si="53"/>
        <v>#NUM!</v>
      </c>
      <c r="H88" s="196" t="e">
        <f t="shared" si="53"/>
        <v>#NUM!</v>
      </c>
      <c r="I88" s="196" t="e">
        <f>I61-I64</f>
        <v>#NUM!</v>
      </c>
      <c r="J88" s="196" t="e">
        <f>J61-J64</f>
        <v>#NUM!</v>
      </c>
      <c r="K88" s="196" t="e">
        <f>K61-K64</f>
        <v>#NUM!</v>
      </c>
      <c r="L88" s="78"/>
      <c r="M88" s="77"/>
      <c r="N88" s="371" t="s">
        <v>418</v>
      </c>
      <c r="O88" s="360"/>
      <c r="P88" s="360"/>
      <c r="Q88" s="360"/>
      <c r="R88" s="383" t="e">
        <v>#DIV/0!</v>
      </c>
      <c r="T88" s="371" t="s">
        <v>418</v>
      </c>
      <c r="U88" s="360"/>
      <c r="V88" s="360"/>
      <c r="W88" s="360"/>
      <c r="X88" s="383" t="e">
        <v>#N/A</v>
      </c>
      <c r="Y88" s="78"/>
    </row>
    <row r="89" spans="2:25" hidden="1" x14ac:dyDescent="0.25">
      <c r="B89" s="77"/>
      <c r="C89" s="7" t="s">
        <v>401</v>
      </c>
      <c r="D89" s="196" t="e">
        <v>#VALUE!</v>
      </c>
      <c r="E89" s="196" t="e">
        <v>#VALUE!</v>
      </c>
      <c r="F89" s="196" t="e">
        <v>#VALUE!</v>
      </c>
      <c r="G89" s="196" t="e">
        <v>#VALUE!</v>
      </c>
      <c r="H89" s="196" t="e">
        <v>#VALUE!</v>
      </c>
      <c r="I89" s="196" t="e">
        <v>#VALUE!</v>
      </c>
      <c r="J89" s="196" t="e">
        <v>#VALUE!</v>
      </c>
      <c r="K89" s="196" t="e">
        <v>#VALUE!</v>
      </c>
      <c r="L89" s="78"/>
      <c r="M89" s="77"/>
      <c r="N89" s="375" t="s">
        <v>419</v>
      </c>
      <c r="O89" s="357"/>
      <c r="P89" s="360"/>
      <c r="Q89" s="360"/>
      <c r="R89" s="384" t="e">
        <f>PV(R83,R86,0,-R88)</f>
        <v>#VALUE!</v>
      </c>
      <c r="T89" s="375" t="s">
        <v>419</v>
      </c>
      <c r="U89" s="357"/>
      <c r="V89" s="360"/>
      <c r="W89" s="360"/>
      <c r="X89" s="384" t="e">
        <f>PV(X83,X86,0,-X88)</f>
        <v>#VALUE!</v>
      </c>
      <c r="Y89" s="78"/>
    </row>
    <row r="90" spans="2:25" hidden="1" x14ac:dyDescent="0.25">
      <c r="B90" s="77"/>
      <c r="C90" s="7" t="s">
        <v>420</v>
      </c>
      <c r="D90" s="363" t="e">
        <f>D47/D63</f>
        <v>#N/A</v>
      </c>
      <c r="E90" s="363" t="e">
        <f t="shared" ref="E90" si="54">E47/E63</f>
        <v>#NUM!</v>
      </c>
      <c r="F90" s="363" t="e">
        <f t="shared" ref="F90:K90" si="55">G47/F63</f>
        <v>#NUM!</v>
      </c>
      <c r="G90" s="363" t="e">
        <f t="shared" si="55"/>
        <v>#NUM!</v>
      </c>
      <c r="H90" s="363" t="e">
        <f t="shared" si="55"/>
        <v>#NUM!</v>
      </c>
      <c r="I90" s="363" t="e">
        <f t="shared" si="55"/>
        <v>#NUM!</v>
      </c>
      <c r="J90" s="363" t="e">
        <f t="shared" si="55"/>
        <v>#NUM!</v>
      </c>
      <c r="K90" s="363" t="e">
        <f t="shared" si="55"/>
        <v>#NUM!</v>
      </c>
      <c r="L90" s="78"/>
      <c r="M90" s="77"/>
      <c r="N90" s="375"/>
      <c r="O90" s="357"/>
      <c r="P90" s="360"/>
      <c r="Q90" s="360"/>
      <c r="R90" s="384"/>
      <c r="T90" s="375"/>
      <c r="U90" s="357"/>
      <c r="V90" s="360"/>
      <c r="W90" s="360"/>
      <c r="X90" s="384"/>
      <c r="Y90" s="78"/>
    </row>
    <row r="91" spans="2:25" hidden="1" x14ac:dyDescent="0.25">
      <c r="B91" s="77"/>
      <c r="C91" s="7" t="s">
        <v>421</v>
      </c>
      <c r="D91" s="363" t="e">
        <f t="shared" ref="D91:E91" si="56">D47/AVERAGE(C70:D70)</f>
        <v>#N/A</v>
      </c>
      <c r="E91" s="363" t="e">
        <f t="shared" si="56"/>
        <v>#N/A</v>
      </c>
      <c r="F91" s="363" t="e">
        <f t="shared" ref="F91:K91" si="57">G47/AVERAGE(E70:F70)</f>
        <v>#N/A</v>
      </c>
      <c r="G91" s="363" t="e">
        <f t="shared" si="57"/>
        <v>#N/A</v>
      </c>
      <c r="H91" s="363" t="e">
        <f t="shared" si="57"/>
        <v>#N/A</v>
      </c>
      <c r="I91" s="363" t="e">
        <f t="shared" si="57"/>
        <v>#N/A</v>
      </c>
      <c r="J91" s="363" t="e">
        <f t="shared" si="57"/>
        <v>#N/A</v>
      </c>
      <c r="K91" s="363" t="e">
        <f t="shared" si="57"/>
        <v>#N/A</v>
      </c>
      <c r="L91" s="78"/>
      <c r="M91" s="77"/>
      <c r="N91" s="377"/>
      <c r="O91" s="360"/>
      <c r="P91" s="360"/>
      <c r="Q91" s="360"/>
      <c r="R91" s="378"/>
      <c r="T91" s="377"/>
      <c r="U91" s="360"/>
      <c r="V91" s="360"/>
      <c r="W91" s="360"/>
      <c r="X91" s="378"/>
      <c r="Y91" s="78"/>
    </row>
    <row r="92" spans="2:25" hidden="1" x14ac:dyDescent="0.25">
      <c r="B92" s="77"/>
      <c r="C92" s="7" t="s">
        <v>422</v>
      </c>
      <c r="D92" s="370" t="e">
        <v>#VALUE!</v>
      </c>
      <c r="E92" s="370" t="e">
        <v>#VALUE!</v>
      </c>
      <c r="F92" s="370" t="e">
        <v>#VALUE!</v>
      </c>
      <c r="G92" s="370" t="e">
        <v>#VALUE!</v>
      </c>
      <c r="H92" s="370" t="e">
        <v>#VALUE!</v>
      </c>
      <c r="I92" s="370" t="e">
        <v>#VALUE!</v>
      </c>
      <c r="J92" s="370" t="e">
        <v>#VALUE!</v>
      </c>
      <c r="K92" s="370" t="e">
        <v>#VALUE!</v>
      </c>
      <c r="L92" s="78"/>
      <c r="M92" s="77"/>
      <c r="N92" s="380" t="s">
        <v>412</v>
      </c>
      <c r="O92" s="361"/>
      <c r="P92" s="385"/>
      <c r="Q92" s="385"/>
      <c r="R92" s="386" t="e">
        <f>R89+R84</f>
        <v>#VALUE!</v>
      </c>
      <c r="T92" s="380" t="s">
        <v>412</v>
      </c>
      <c r="U92" s="361"/>
      <c r="V92" s="385"/>
      <c r="W92" s="385"/>
      <c r="X92" s="386" t="e">
        <f>X89+X84</f>
        <v>#VALUE!</v>
      </c>
      <c r="Y92" s="78"/>
    </row>
    <row r="93" spans="2:25" hidden="1" x14ac:dyDescent="0.25">
      <c r="B93" s="77"/>
      <c r="C93" s="7" t="s">
        <v>423</v>
      </c>
      <c r="D93" s="387">
        <f t="shared" ref="D93:K93" si="58">AVERAGE(1.19,1.06,1.61)</f>
        <v>1.2866666666666668</v>
      </c>
      <c r="E93" s="387">
        <f t="shared" si="58"/>
        <v>1.2866666666666668</v>
      </c>
      <c r="F93" s="387">
        <f t="shared" si="58"/>
        <v>1.2866666666666668</v>
      </c>
      <c r="G93" s="387">
        <f t="shared" si="58"/>
        <v>1.2866666666666668</v>
      </c>
      <c r="H93" s="387">
        <f t="shared" si="58"/>
        <v>1.2866666666666668</v>
      </c>
      <c r="I93" s="387">
        <f t="shared" si="58"/>
        <v>1.2866666666666668</v>
      </c>
      <c r="J93" s="387">
        <f t="shared" si="58"/>
        <v>1.2866666666666668</v>
      </c>
      <c r="K93" s="387">
        <f t="shared" si="58"/>
        <v>1.2866666666666668</v>
      </c>
      <c r="L93" s="78"/>
      <c r="M93" s="77"/>
      <c r="N93" s="377" t="s">
        <v>424</v>
      </c>
      <c r="O93" s="360"/>
      <c r="P93" s="360"/>
      <c r="Q93" s="360"/>
      <c r="R93" s="388" t="e">
        <f>+AVERAGE(F67:J67)</f>
        <v>#N/A</v>
      </c>
      <c r="T93" s="377" t="str">
        <f>N93</f>
        <v xml:space="preserve"> LESS: Net Debt (Cash)</v>
      </c>
      <c r="U93" s="360"/>
      <c r="V93" s="360"/>
      <c r="W93" s="360"/>
      <c r="X93" s="388" t="e">
        <f>R93</f>
        <v>#N/A</v>
      </c>
      <c r="Y93" s="78"/>
    </row>
    <row r="94" spans="2:25" hidden="1" x14ac:dyDescent="0.25">
      <c r="B94" s="77"/>
      <c r="C94" s="7" t="s">
        <v>425</v>
      </c>
      <c r="D94" s="370" t="e">
        <f t="shared" ref="D94:H94" si="59">D93*(1+(D66/D70))</f>
        <v>#N/A</v>
      </c>
      <c r="E94" s="370" t="e">
        <f t="shared" si="59"/>
        <v>#N/A</v>
      </c>
      <c r="F94" s="370" t="e">
        <f t="shared" si="59"/>
        <v>#N/A</v>
      </c>
      <c r="G94" s="370" t="e">
        <f t="shared" si="59"/>
        <v>#N/A</v>
      </c>
      <c r="H94" s="370" t="e">
        <f t="shared" si="59"/>
        <v>#N/A</v>
      </c>
      <c r="I94" s="370" t="e">
        <f>I93*(1+(I66/I70))</f>
        <v>#N/A</v>
      </c>
      <c r="J94" s="370" t="e">
        <f>J93*(1+(J66/J70))</f>
        <v>#N/A</v>
      </c>
      <c r="K94" s="370" t="e">
        <f>K93*(1+(K66/K70))</f>
        <v>#N/A</v>
      </c>
      <c r="L94" s="78"/>
      <c r="M94" s="77"/>
      <c r="N94" s="389" t="s">
        <v>426</v>
      </c>
      <c r="O94" s="390"/>
      <c r="P94" s="391"/>
      <c r="Q94" s="391"/>
      <c r="R94" s="392" t="e">
        <f>R92-R93</f>
        <v>#VALUE!</v>
      </c>
      <c r="T94" s="389" t="s">
        <v>426</v>
      </c>
      <c r="U94" s="390"/>
      <c r="V94" s="391"/>
      <c r="W94" s="391"/>
      <c r="X94" s="392" t="e">
        <f>X92-X93</f>
        <v>#VALUE!</v>
      </c>
      <c r="Y94" s="78"/>
    </row>
    <row r="95" spans="2:25" hidden="1" x14ac:dyDescent="0.25">
      <c r="B95" s="393">
        <v>4.1250000000000002E-2</v>
      </c>
      <c r="C95" s="7" t="s">
        <v>427</v>
      </c>
      <c r="D95" s="394">
        <v>4.1250000000000002E-2</v>
      </c>
      <c r="E95" s="394">
        <v>4.1250000000000002E-2</v>
      </c>
      <c r="F95" s="394">
        <v>4.1250000000000002E-2</v>
      </c>
      <c r="G95" s="394">
        <v>4.1250000000000002E-2</v>
      </c>
      <c r="H95" s="394">
        <v>4.1250000000000002E-2</v>
      </c>
      <c r="I95" s="394">
        <v>4.1250000000000002E-2</v>
      </c>
      <c r="J95" s="394">
        <v>4.1250000000000002E-2</v>
      </c>
      <c r="K95" s="394">
        <v>4.1250000000000002E-2</v>
      </c>
      <c r="L95" s="78"/>
      <c r="M95" s="77"/>
      <c r="T95" s="360"/>
      <c r="U95" s="360"/>
      <c r="V95" s="360"/>
      <c r="W95" s="360"/>
      <c r="X95" s="360"/>
      <c r="Y95" s="78"/>
    </row>
    <row r="96" spans="2:25" hidden="1" x14ac:dyDescent="0.25">
      <c r="B96" s="393"/>
      <c r="C96" s="7" t="s">
        <v>428</v>
      </c>
      <c r="D96" s="394">
        <v>8.1100000000000005E-2</v>
      </c>
      <c r="E96" s="394">
        <v>8.1100000000000005E-2</v>
      </c>
      <c r="F96" s="394">
        <v>8.1100000000000005E-2</v>
      </c>
      <c r="G96" s="394">
        <v>8.1100000000000005E-2</v>
      </c>
      <c r="H96" s="394">
        <v>8.1100000000000005E-2</v>
      </c>
      <c r="I96" s="394">
        <v>8.1100000000000005E-2</v>
      </c>
      <c r="J96" s="394">
        <v>8.1100000000000005E-2</v>
      </c>
      <c r="K96" s="394">
        <v>8.1100000000000005E-2</v>
      </c>
      <c r="L96" s="78"/>
      <c r="M96" s="77"/>
      <c r="Q96" s="395" t="s">
        <v>429</v>
      </c>
      <c r="R96" s="396">
        <v>0</v>
      </c>
      <c r="T96" s="360"/>
      <c r="W96" s="395" t="s">
        <v>429</v>
      </c>
      <c r="X96" s="397">
        <f>R96</f>
        <v>0</v>
      </c>
      <c r="Y96" s="78"/>
    </row>
    <row r="97" spans="2:25" hidden="1" x14ac:dyDescent="0.25">
      <c r="B97" s="393"/>
      <c r="C97" s="7" t="s">
        <v>430</v>
      </c>
      <c r="D97" s="363" t="e">
        <f t="shared" ref="D97:K97" si="60">D$85+(D94*(D$86-D$85))</f>
        <v>#N/A</v>
      </c>
      <c r="E97" s="363" t="e">
        <f t="shared" si="60"/>
        <v>#NUM!</v>
      </c>
      <c r="F97" s="363" t="e">
        <f>F$85+(F94*(F$86-F$85))</f>
        <v>#NUM!</v>
      </c>
      <c r="G97" s="363" t="e">
        <f t="shared" si="60"/>
        <v>#NUM!</v>
      </c>
      <c r="H97" s="363" t="e">
        <f t="shared" si="60"/>
        <v>#NUM!</v>
      </c>
      <c r="I97" s="363" t="e">
        <f t="shared" si="60"/>
        <v>#NUM!</v>
      </c>
      <c r="J97" s="363" t="e">
        <f t="shared" si="60"/>
        <v>#NUM!</v>
      </c>
      <c r="K97" s="363" t="e">
        <f t="shared" si="60"/>
        <v>#NUM!</v>
      </c>
      <c r="L97" s="78"/>
      <c r="M97" s="77"/>
      <c r="Y97" s="78"/>
    </row>
    <row r="98" spans="2:25" hidden="1" x14ac:dyDescent="0.25">
      <c r="B98" s="393"/>
      <c r="C98" s="7" t="s">
        <v>431</v>
      </c>
      <c r="D98" s="363" t="e">
        <f t="shared" ref="D98:E98" si="61">D45/D65</f>
        <v>#N/A</v>
      </c>
      <c r="E98" s="363" t="e">
        <f t="shared" si="61"/>
        <v>#N/A</v>
      </c>
      <c r="F98" s="363" t="e">
        <f t="shared" ref="F98:K98" si="62">G45/F65</f>
        <v>#N/A</v>
      </c>
      <c r="G98" s="363" t="e">
        <f t="shared" si="62"/>
        <v>#N/A</v>
      </c>
      <c r="H98" s="363" t="e">
        <f t="shared" si="62"/>
        <v>#N/A</v>
      </c>
      <c r="I98" s="363" t="e">
        <f t="shared" si="62"/>
        <v>#N/A</v>
      </c>
      <c r="J98" s="363" t="e">
        <f t="shared" si="62"/>
        <v>#N/A</v>
      </c>
      <c r="K98" s="363" t="e">
        <f t="shared" si="62"/>
        <v>#N/A</v>
      </c>
      <c r="L98" s="78"/>
      <c r="M98" s="77"/>
      <c r="O98" s="398"/>
      <c r="P98" s="399"/>
      <c r="Q98" s="400" t="s">
        <v>432</v>
      </c>
      <c r="R98" s="401" t="e">
        <f>R94/R96</f>
        <v>#VALUE!</v>
      </c>
      <c r="U98" s="398"/>
      <c r="V98" s="399"/>
      <c r="W98" s="400" t="s">
        <v>432</v>
      </c>
      <c r="X98" s="401" t="e">
        <f>X94/X96</f>
        <v>#VALUE!</v>
      </c>
      <c r="Y98" s="78"/>
    </row>
    <row r="99" spans="2:25" hidden="1" x14ac:dyDescent="0.25">
      <c r="B99" s="77"/>
      <c r="C99" s="7" t="s">
        <v>433</v>
      </c>
      <c r="D99" s="363" t="e">
        <f t="shared" ref="D99:E99" si="63">D45/D66</f>
        <v>#N/A</v>
      </c>
      <c r="E99" s="363" t="e">
        <f t="shared" si="63"/>
        <v>#N/A</v>
      </c>
      <c r="F99" s="363" t="e">
        <f t="shared" ref="F99:K99" si="64">G45/F66</f>
        <v>#N/A</v>
      </c>
      <c r="G99" s="363" t="e">
        <f t="shared" si="64"/>
        <v>#N/A</v>
      </c>
      <c r="H99" s="363" t="e">
        <f t="shared" si="64"/>
        <v>#N/A</v>
      </c>
      <c r="I99" s="363" t="e">
        <f t="shared" si="64"/>
        <v>#N/A</v>
      </c>
      <c r="J99" s="363" t="e">
        <f t="shared" si="64"/>
        <v>#N/A</v>
      </c>
      <c r="K99" s="363" t="e">
        <f t="shared" si="64"/>
        <v>#N/A</v>
      </c>
      <c r="L99" s="78"/>
      <c r="M99" s="77"/>
      <c r="Y99" s="78"/>
    </row>
    <row r="100" spans="2:25" hidden="1" x14ac:dyDescent="0.25">
      <c r="B100" s="77"/>
      <c r="C100" s="7" t="s">
        <v>434</v>
      </c>
      <c r="D100" s="363" t="e">
        <f>((D70/(D66+D70))*D97)+(((D66/(D66+D70))*D99))</f>
        <v>#N/A</v>
      </c>
      <c r="E100" s="363" t="e">
        <f t="shared" ref="E100:H100" si="65">((E70/(E66+E70))*E97)+(((E66/(E66+E70))*E99))</f>
        <v>#N/A</v>
      </c>
      <c r="F100" s="363" t="e">
        <f t="shared" si="65"/>
        <v>#N/A</v>
      </c>
      <c r="G100" s="363" t="e">
        <f t="shared" si="65"/>
        <v>#N/A</v>
      </c>
      <c r="H100" s="363" t="e">
        <f t="shared" si="65"/>
        <v>#N/A</v>
      </c>
      <c r="I100" s="363" t="e">
        <f>((I70/(I66+I70))*I97)+(((I66/(I66+I70))*I99))</f>
        <v>#N/A</v>
      </c>
      <c r="J100" s="363" t="e">
        <f>((J70/(J66+J70))*J97)+(((J66/(J66+J70))*J99))</f>
        <v>#N/A</v>
      </c>
      <c r="K100" s="363" t="e">
        <f>((K70/(K66+K70))*K97)+(((K66/(K66+K70))*K99))</f>
        <v>#N/A</v>
      </c>
      <c r="L100" s="78"/>
      <c r="M100" s="77"/>
      <c r="Y100" s="78"/>
    </row>
    <row r="101" spans="2:25" hidden="1" x14ac:dyDescent="0.25">
      <c r="B101" s="77"/>
      <c r="C101" s="7" t="s">
        <v>435</v>
      </c>
      <c r="D101" s="363" t="e">
        <f t="shared" ref="D101:E101" si="66">D41/D62</f>
        <v>#N/A</v>
      </c>
      <c r="E101" s="363" t="e">
        <f t="shared" si="66"/>
        <v>#N/A</v>
      </c>
      <c r="F101" s="363" t="e">
        <f t="shared" ref="F101:K101" si="67">G41/F62</f>
        <v>#N/A</v>
      </c>
      <c r="G101" s="363" t="e">
        <f t="shared" si="67"/>
        <v>#N/A</v>
      </c>
      <c r="H101" s="363" t="e">
        <f t="shared" si="67"/>
        <v>#N/A</v>
      </c>
      <c r="I101" s="363" t="e">
        <f t="shared" si="67"/>
        <v>#N/A</v>
      </c>
      <c r="J101" s="363" t="e">
        <f t="shared" si="67"/>
        <v>#N/A</v>
      </c>
      <c r="K101" s="363" t="e">
        <f t="shared" si="67"/>
        <v>#N/A</v>
      </c>
      <c r="L101" s="78"/>
      <c r="M101" s="77"/>
      <c r="Y101" s="78"/>
    </row>
    <row r="102" spans="2:25" hidden="1" x14ac:dyDescent="0.25">
      <c r="B102" s="77"/>
      <c r="C102" s="7" t="s">
        <v>436</v>
      </c>
      <c r="D102" s="196" t="e">
        <f t="shared" ref="D102:H102" si="68">(D63-D64-D65)/$S$86</f>
        <v>#N/A</v>
      </c>
      <c r="E102" s="196" t="e">
        <f t="shared" si="68"/>
        <v>#NUM!</v>
      </c>
      <c r="F102" s="196" t="e">
        <f t="shared" si="68"/>
        <v>#NUM!</v>
      </c>
      <c r="G102" s="196" t="e">
        <f t="shared" si="68"/>
        <v>#NUM!</v>
      </c>
      <c r="H102" s="196" t="e">
        <f t="shared" si="68"/>
        <v>#NUM!</v>
      </c>
      <c r="I102" s="196" t="e">
        <f>(I63-I64-I65)/$S$86</f>
        <v>#NUM!</v>
      </c>
      <c r="J102" s="196" t="e">
        <f>(J63-J64-J65)/$S$86</f>
        <v>#NUM!</v>
      </c>
      <c r="K102" s="196" t="e">
        <f>(K63-K64-K65)/$S$86</f>
        <v>#NUM!</v>
      </c>
      <c r="L102" s="78"/>
      <c r="M102" s="77"/>
      <c r="Y102" s="78"/>
    </row>
    <row r="103" spans="2:25" ht="15.75" hidden="1" thickBot="1" x14ac:dyDescent="0.3">
      <c r="B103" s="86"/>
      <c r="C103" s="88"/>
      <c r="D103" s="88"/>
      <c r="E103" s="88"/>
      <c r="F103" s="88"/>
      <c r="G103" s="88"/>
      <c r="H103" s="88"/>
      <c r="I103" s="88"/>
      <c r="J103" s="88"/>
      <c r="K103" s="88"/>
      <c r="L103" s="89"/>
      <c r="M103" s="86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9"/>
    </row>
  </sheetData>
  <protectedRanges>
    <protectedRange sqref="R87" name="Range1_2_2"/>
    <protectedRange sqref="X87" name="Range1_1_1_2"/>
  </protectedRanges>
  <conditionalFormatting sqref="R84 X84 R88:R90 X88:X90 R92 X92 R94 X94">
    <cfRule type="cellIs" dxfId="6" priority="1" stopIfTrue="1" operator="equal">
      <formula>0.000001</formula>
    </cfRule>
  </conditionalFormatting>
  <printOptions horizontalCentered="1" verticalCentered="1"/>
  <pageMargins left="0.7" right="0.7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4F3E-54E6-4A54-8E9E-279EDE3181A3}">
  <sheetPr>
    <tabColor theme="1"/>
    <pageSetUpPr fitToPage="1"/>
  </sheetPr>
  <dimension ref="B1:S66"/>
  <sheetViews>
    <sheetView topLeftCell="A32" zoomScale="55" zoomScaleNormal="55" workbookViewId="0">
      <selection activeCell="S66" sqref="S66"/>
    </sheetView>
  </sheetViews>
  <sheetFormatPr defaultRowHeight="15" x14ac:dyDescent="0.25"/>
  <cols>
    <col min="2" max="2" width="37.42578125" bestFit="1" customWidth="1"/>
    <col min="3" max="3" width="18.85546875" bestFit="1" customWidth="1"/>
    <col min="4" max="4" width="19.140625" bestFit="1" customWidth="1"/>
    <col min="5" max="5" width="17.85546875" bestFit="1" customWidth="1"/>
    <col min="6" max="6" width="18.7109375" bestFit="1" customWidth="1"/>
    <col min="7" max="10" width="19.140625" bestFit="1" customWidth="1"/>
    <col min="11" max="11" width="18.7109375" bestFit="1" customWidth="1"/>
    <col min="12" max="12" width="19.140625" bestFit="1" customWidth="1"/>
    <col min="13" max="13" width="18.28515625" bestFit="1" customWidth="1"/>
    <col min="14" max="14" width="20" bestFit="1" customWidth="1"/>
    <col min="15" max="15" width="0.28515625" customWidth="1"/>
    <col min="16" max="16" width="15.5703125" bestFit="1" customWidth="1"/>
  </cols>
  <sheetData>
    <row r="1" spans="2:16" x14ac:dyDescent="0.25">
      <c r="B1" s="7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x14ac:dyDescent="0.25">
      <c r="B2" s="77"/>
      <c r="P2" s="78"/>
    </row>
    <row r="3" spans="2:16" x14ac:dyDescent="0.25">
      <c r="B3" s="77"/>
      <c r="P3" s="78"/>
    </row>
    <row r="4" spans="2:16" x14ac:dyDescent="0.25">
      <c r="B4" s="77"/>
      <c r="P4" s="78"/>
    </row>
    <row r="5" spans="2:16" x14ac:dyDescent="0.25">
      <c r="B5" s="77"/>
      <c r="P5" s="78"/>
    </row>
    <row r="6" spans="2:16" x14ac:dyDescent="0.25">
      <c r="B6" s="77"/>
      <c r="P6" s="78"/>
    </row>
    <row r="7" spans="2:16" x14ac:dyDescent="0.25">
      <c r="B7" s="77"/>
      <c r="P7" s="78"/>
    </row>
    <row r="8" spans="2:16" ht="23.25" x14ac:dyDescent="0.35">
      <c r="B8" s="768" t="s">
        <v>451</v>
      </c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70"/>
    </row>
    <row r="9" spans="2:16" x14ac:dyDescent="0.25">
      <c r="B9" s="77"/>
      <c r="P9" s="78"/>
    </row>
    <row r="10" spans="2:16" ht="15.75" x14ac:dyDescent="0.25">
      <c r="B10" s="407"/>
      <c r="C10" s="268" t="s">
        <v>212</v>
      </c>
      <c r="D10" s="268" t="s">
        <v>213</v>
      </c>
      <c r="E10" s="268" t="s">
        <v>214</v>
      </c>
      <c r="F10" s="268" t="s">
        <v>215</v>
      </c>
      <c r="G10" s="268" t="s">
        <v>216</v>
      </c>
      <c r="H10" s="268" t="s">
        <v>217</v>
      </c>
      <c r="I10" s="268" t="s">
        <v>218</v>
      </c>
      <c r="J10" s="268" t="s">
        <v>219</v>
      </c>
      <c r="K10" s="268" t="s">
        <v>220</v>
      </c>
      <c r="L10" s="268" t="s">
        <v>221</v>
      </c>
      <c r="M10" s="268" t="s">
        <v>222</v>
      </c>
      <c r="N10" s="432" t="s">
        <v>223</v>
      </c>
      <c r="O10" s="438"/>
      <c r="P10" s="408" t="s">
        <v>0</v>
      </c>
    </row>
    <row r="11" spans="2:16" x14ac:dyDescent="0.25">
      <c r="B11" s="198"/>
      <c r="C11" s="72">
        <v>45688</v>
      </c>
      <c r="D11" s="72">
        <v>45716</v>
      </c>
      <c r="E11" s="72">
        <v>45747</v>
      </c>
      <c r="F11" s="72">
        <v>45777</v>
      </c>
      <c r="G11" s="72">
        <v>45808</v>
      </c>
      <c r="H11" s="72">
        <v>45838</v>
      </c>
      <c r="I11" s="72">
        <v>45869</v>
      </c>
      <c r="J11" s="72">
        <v>45900</v>
      </c>
      <c r="K11" s="72">
        <v>45930</v>
      </c>
      <c r="L11" s="72">
        <v>45961</v>
      </c>
      <c r="M11" s="72">
        <v>45991</v>
      </c>
      <c r="N11" s="433">
        <v>46022</v>
      </c>
      <c r="O11" s="439">
        <v>45322</v>
      </c>
      <c r="P11" s="78"/>
    </row>
    <row r="12" spans="2:16" x14ac:dyDescent="0.25">
      <c r="B12" s="199" t="s">
        <v>227</v>
      </c>
      <c r="C12" s="54">
        <v>0</v>
      </c>
      <c r="D12" s="54">
        <v>0</v>
      </c>
      <c r="E12" s="54">
        <v>5424.2758533204296</v>
      </c>
      <c r="F12" s="54">
        <v>775.80873005112676</v>
      </c>
      <c r="G12" s="54">
        <v>32151.700723854017</v>
      </c>
      <c r="H12" s="54">
        <v>2902.2908812357086</v>
      </c>
      <c r="I12" s="54">
        <v>140336.8606202681</v>
      </c>
      <c r="J12" s="54">
        <v>236751.93787230042</v>
      </c>
      <c r="K12" s="54">
        <v>212242.4692810605</v>
      </c>
      <c r="L12" s="54">
        <v>109530.43245430337</v>
      </c>
      <c r="M12" s="54">
        <v>240745.91082818271</v>
      </c>
      <c r="N12" s="271">
        <v>560284.12691081478</v>
      </c>
      <c r="O12" s="440"/>
      <c r="P12" s="409">
        <v>1541145.8141553912</v>
      </c>
    </row>
    <row r="13" spans="2:16" x14ac:dyDescent="0.25">
      <c r="B13" s="199" t="s">
        <v>355</v>
      </c>
      <c r="C13" s="54">
        <v>77453.3</v>
      </c>
      <c r="D13" s="54">
        <v>15114</v>
      </c>
      <c r="E13" s="54">
        <v>6600</v>
      </c>
      <c r="F13" s="54">
        <v>6600</v>
      </c>
      <c r="G13" s="54">
        <v>6600</v>
      </c>
      <c r="H13" s="54">
        <v>6600</v>
      </c>
      <c r="I13" s="54">
        <v>6600</v>
      </c>
      <c r="J13" s="54">
        <v>6600</v>
      </c>
      <c r="K13" s="54">
        <v>13200</v>
      </c>
      <c r="L13" s="54">
        <v>13200</v>
      </c>
      <c r="M13" s="54">
        <v>13200</v>
      </c>
      <c r="N13" s="271">
        <v>13200</v>
      </c>
      <c r="O13" s="440"/>
      <c r="P13" s="409">
        <v>184967.3</v>
      </c>
    </row>
    <row r="14" spans="2:16" x14ac:dyDescent="0.25">
      <c r="B14" s="200" t="s">
        <v>289</v>
      </c>
      <c r="C14" s="55">
        <v>77453.3</v>
      </c>
      <c r="D14" s="55">
        <v>15114</v>
      </c>
      <c r="E14" s="55">
        <v>12024.275853320429</v>
      </c>
      <c r="F14" s="55">
        <v>7375.808730051127</v>
      </c>
      <c r="G14" s="55">
        <v>38751.700723854017</v>
      </c>
      <c r="H14" s="55">
        <v>9502.2908812357091</v>
      </c>
      <c r="I14" s="55">
        <v>146936.8606202681</v>
      </c>
      <c r="J14" s="55">
        <v>243351.93787230042</v>
      </c>
      <c r="K14" s="55">
        <v>225442.4692810605</v>
      </c>
      <c r="L14" s="55">
        <v>122730.43245430337</v>
      </c>
      <c r="M14" s="55">
        <v>253945.91082818271</v>
      </c>
      <c r="N14" s="272">
        <v>573484.12691081478</v>
      </c>
      <c r="O14" s="441"/>
      <c r="P14" s="506">
        <v>1726113.1141553912</v>
      </c>
    </row>
    <row r="15" spans="2:16" x14ac:dyDescent="0.25">
      <c r="B15" s="498" t="s">
        <v>493</v>
      </c>
      <c r="C15" s="530">
        <v>0</v>
      </c>
      <c r="D15" s="530">
        <v>0</v>
      </c>
      <c r="E15" s="530">
        <v>1</v>
      </c>
      <c r="F15" s="530">
        <v>0</v>
      </c>
      <c r="G15" s="530">
        <v>0</v>
      </c>
      <c r="H15" s="530">
        <v>1</v>
      </c>
      <c r="I15" s="530">
        <v>0</v>
      </c>
      <c r="J15" s="530">
        <v>0</v>
      </c>
      <c r="K15" s="530">
        <v>2</v>
      </c>
      <c r="L15" s="530">
        <v>0</v>
      </c>
      <c r="M15" s="530">
        <v>0</v>
      </c>
      <c r="N15" s="531">
        <v>2</v>
      </c>
      <c r="O15" s="529"/>
      <c r="P15" s="532">
        <v>6</v>
      </c>
    </row>
    <row r="16" spans="2:16" hidden="1" x14ac:dyDescent="0.25">
      <c r="B16" s="199" t="s">
        <v>350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226">
        <v>0</v>
      </c>
      <c r="O16" s="442"/>
      <c r="P16" s="412">
        <v>0</v>
      </c>
    </row>
    <row r="17" spans="2:19" x14ac:dyDescent="0.25">
      <c r="B17" s="199" t="s">
        <v>351</v>
      </c>
      <c r="C17" s="57">
        <v>0</v>
      </c>
      <c r="D17" s="57">
        <v>0</v>
      </c>
      <c r="E17" s="57">
        <v>2286.0953995759955</v>
      </c>
      <c r="F17" s="57">
        <v>326.96950093994519</v>
      </c>
      <c r="G17" s="57">
        <v>13550.537823100067</v>
      </c>
      <c r="H17" s="57">
        <v>1223.1888663558293</v>
      </c>
      <c r="I17" s="57">
        <v>58101.13736782354</v>
      </c>
      <c r="J17" s="57">
        <v>99631.18155119619</v>
      </c>
      <c r="K17" s="57">
        <v>83258.482309183542</v>
      </c>
      <c r="L17" s="57">
        <v>45603.310037771305</v>
      </c>
      <c r="M17" s="57">
        <v>76176.068674319919</v>
      </c>
      <c r="N17" s="226">
        <v>190785.66566052643</v>
      </c>
      <c r="O17" s="442"/>
      <c r="P17" s="412">
        <v>570942.63719079271</v>
      </c>
    </row>
    <row r="18" spans="2:19" x14ac:dyDescent="0.25">
      <c r="B18" s="199" t="s">
        <v>352</v>
      </c>
      <c r="C18" s="57">
        <v>0</v>
      </c>
      <c r="D18" s="57">
        <v>0</v>
      </c>
      <c r="E18" s="57">
        <v>1450.6279660447451</v>
      </c>
      <c r="F18" s="57">
        <v>207.47651309527546</v>
      </c>
      <c r="G18" s="57">
        <v>8598.4115644438116</v>
      </c>
      <c r="H18" s="57">
        <v>776.16707405099214</v>
      </c>
      <c r="I18" s="57">
        <v>36867.724216760282</v>
      </c>
      <c r="J18" s="57">
        <v>63220.361790261326</v>
      </c>
      <c r="K18" s="57">
        <v>52831.16481951889</v>
      </c>
      <c r="L18" s="57">
        <v>28937.303708878309</v>
      </c>
      <c r="M18" s="57">
        <v>48337.06221656745</v>
      </c>
      <c r="N18" s="226">
        <v>121061.88664696715</v>
      </c>
      <c r="O18" s="442"/>
      <c r="P18" s="412">
        <v>362288.1865165882</v>
      </c>
    </row>
    <row r="19" spans="2:19" x14ac:dyDescent="0.25">
      <c r="B19" s="199" t="s">
        <v>353</v>
      </c>
      <c r="C19" s="57">
        <v>66222.571500000005</v>
      </c>
      <c r="D19" s="57">
        <v>12846.9</v>
      </c>
      <c r="E19" s="57">
        <v>5610</v>
      </c>
      <c r="F19" s="57">
        <v>5610</v>
      </c>
      <c r="G19" s="57">
        <v>5610</v>
      </c>
      <c r="H19" s="57">
        <v>5610</v>
      </c>
      <c r="I19" s="57">
        <v>5610</v>
      </c>
      <c r="J19" s="57">
        <v>5610</v>
      </c>
      <c r="K19" s="57">
        <v>11220</v>
      </c>
      <c r="L19" s="57">
        <v>11220</v>
      </c>
      <c r="M19" s="57">
        <v>11220</v>
      </c>
      <c r="N19" s="226">
        <v>11220</v>
      </c>
      <c r="O19" s="442"/>
      <c r="P19" s="412">
        <v>157609.47149999999</v>
      </c>
    </row>
    <row r="20" spans="2:19" ht="15.75" x14ac:dyDescent="0.25">
      <c r="B20" s="202" t="s">
        <v>354</v>
      </c>
      <c r="C20" s="69">
        <v>11230.728499999997</v>
      </c>
      <c r="D20" s="69">
        <v>2267.1000000000004</v>
      </c>
      <c r="E20" s="69">
        <v>2677.5524876996878</v>
      </c>
      <c r="F20" s="69">
        <v>1231.3627160159067</v>
      </c>
      <c r="G20" s="69">
        <v>10992.751336310139</v>
      </c>
      <c r="H20" s="69">
        <v>1892.9349408288872</v>
      </c>
      <c r="I20" s="69">
        <v>46357.999035684275</v>
      </c>
      <c r="J20" s="69">
        <v>74890.394530842896</v>
      </c>
      <c r="K20" s="69">
        <v>78132.822152358072</v>
      </c>
      <c r="L20" s="69">
        <v>36969.818707653758</v>
      </c>
      <c r="M20" s="69">
        <v>118212.77993729533</v>
      </c>
      <c r="N20" s="223">
        <v>250416.57460332121</v>
      </c>
      <c r="O20" s="443"/>
      <c r="P20" s="413">
        <v>635272.81894801045</v>
      </c>
    </row>
    <row r="21" spans="2:19" x14ac:dyDescent="0.25">
      <c r="B21" s="203" t="s">
        <v>366</v>
      </c>
      <c r="C21" s="71">
        <v>0</v>
      </c>
      <c r="D21" s="71">
        <v>0</v>
      </c>
      <c r="E21" s="71">
        <v>0.31111111111111101</v>
      </c>
      <c r="F21" s="71">
        <v>0.31111111111111117</v>
      </c>
      <c r="G21" s="71">
        <v>0.31111111111111112</v>
      </c>
      <c r="H21" s="71">
        <v>0.31111111111111112</v>
      </c>
      <c r="I21" s="71">
        <v>0.32327927841027976</v>
      </c>
      <c r="J21" s="71">
        <v>0.31214272286423012</v>
      </c>
      <c r="K21" s="71">
        <v>0.35880105621798652</v>
      </c>
      <c r="L21" s="71">
        <v>0.31945294037117655</v>
      </c>
      <c r="M21" s="71">
        <v>0.48280271734396846</v>
      </c>
      <c r="N21" s="225">
        <v>0.44341176676394933</v>
      </c>
      <c r="O21" s="444"/>
      <c r="P21" s="414">
        <v>0.39445650428682616</v>
      </c>
    </row>
    <row r="22" spans="2:19" x14ac:dyDescent="0.25">
      <c r="B22" s="203" t="s">
        <v>367</v>
      </c>
      <c r="C22" s="71">
        <v>0.14499999999999996</v>
      </c>
      <c r="D22" s="71">
        <v>0.15000000000000002</v>
      </c>
      <c r="E22" s="71">
        <v>0.15</v>
      </c>
      <c r="F22" s="71">
        <v>0.15</v>
      </c>
      <c r="G22" s="71">
        <v>0.15</v>
      </c>
      <c r="H22" s="71">
        <v>0.15</v>
      </c>
      <c r="I22" s="71">
        <v>0.15</v>
      </c>
      <c r="J22" s="71">
        <v>0.15</v>
      </c>
      <c r="K22" s="71">
        <v>0.15</v>
      </c>
      <c r="L22" s="71">
        <v>0.15</v>
      </c>
      <c r="M22" s="71">
        <v>0.15</v>
      </c>
      <c r="N22" s="225">
        <v>0.15</v>
      </c>
      <c r="O22" s="444"/>
      <c r="P22" s="414">
        <v>0.14790629749150258</v>
      </c>
    </row>
    <row r="23" spans="2:19" x14ac:dyDescent="0.25">
      <c r="B23" s="198"/>
      <c r="N23" s="154"/>
      <c r="O23" s="442"/>
      <c r="P23" s="78"/>
    </row>
    <row r="24" spans="2:19" x14ac:dyDescent="0.25">
      <c r="B24" s="198" t="s">
        <v>375</v>
      </c>
      <c r="C24" s="54">
        <v>1300.6599999999999</v>
      </c>
      <c r="D24" s="54">
        <v>1300.6599999999999</v>
      </c>
      <c r="E24" s="54">
        <v>1300.6599999999999</v>
      </c>
      <c r="F24" s="54">
        <v>1307.6666</v>
      </c>
      <c r="G24" s="54">
        <v>1307.6666</v>
      </c>
      <c r="H24" s="54">
        <v>1307.6666</v>
      </c>
      <c r="I24" s="54">
        <v>1314.7432659999999</v>
      </c>
      <c r="J24" s="54">
        <v>1314.7432659999999</v>
      </c>
      <c r="K24" s="54">
        <v>1314.7432659999999</v>
      </c>
      <c r="L24" s="54">
        <v>1321.89069866</v>
      </c>
      <c r="M24" s="54">
        <v>1321.89069866</v>
      </c>
      <c r="N24" s="271">
        <v>1321.89069866</v>
      </c>
      <c r="O24" s="442"/>
      <c r="P24" s="409">
        <v>15734.881693979998</v>
      </c>
    </row>
    <row r="25" spans="2:19" x14ac:dyDescent="0.25">
      <c r="B25" s="198" t="s">
        <v>376</v>
      </c>
      <c r="C25" s="54">
        <v>6079.0349999999999</v>
      </c>
      <c r="D25" s="54">
        <v>6673.2349999999997</v>
      </c>
      <c r="E25" s="54">
        <v>6229.0349999999999</v>
      </c>
      <c r="F25" s="54">
        <v>9129.0349999999999</v>
      </c>
      <c r="G25" s="54">
        <v>6669.0349999999999</v>
      </c>
      <c r="H25" s="54">
        <v>6229.0349999999999</v>
      </c>
      <c r="I25" s="54">
        <v>6741.0349999999999</v>
      </c>
      <c r="J25" s="54">
        <v>6269.0349999999999</v>
      </c>
      <c r="K25" s="54">
        <v>6229.0349999999999</v>
      </c>
      <c r="L25" s="54">
        <v>6455.0349999999999</v>
      </c>
      <c r="M25" s="54">
        <v>6229.0349999999999</v>
      </c>
      <c r="N25" s="271">
        <v>6275.6350000000002</v>
      </c>
      <c r="O25" s="442"/>
      <c r="P25" s="409">
        <v>79207.220000000016</v>
      </c>
      <c r="S25" s="1"/>
    </row>
    <row r="26" spans="2:19" x14ac:dyDescent="0.25">
      <c r="B26" s="204" t="s">
        <v>151</v>
      </c>
      <c r="C26" s="60">
        <v>7379.6949999999997</v>
      </c>
      <c r="D26" s="60">
        <v>7973.8949999999995</v>
      </c>
      <c r="E26" s="60">
        <v>7529.6949999999997</v>
      </c>
      <c r="F26" s="60">
        <v>10436.7016</v>
      </c>
      <c r="G26" s="60">
        <v>7976.7016000000003</v>
      </c>
      <c r="H26" s="60">
        <v>7536.7016000000003</v>
      </c>
      <c r="I26" s="60">
        <v>8055.7782659999993</v>
      </c>
      <c r="J26" s="60">
        <v>7583.7782659999993</v>
      </c>
      <c r="K26" s="60">
        <v>7543.7782659999993</v>
      </c>
      <c r="L26" s="60">
        <v>7776.9256986599994</v>
      </c>
      <c r="M26" s="60">
        <v>7550.9256986599994</v>
      </c>
      <c r="N26" s="278">
        <v>7597.5256986599998</v>
      </c>
      <c r="O26" s="445"/>
      <c r="P26" s="415">
        <v>94942.101693980017</v>
      </c>
    </row>
    <row r="27" spans="2:19" x14ac:dyDescent="0.25">
      <c r="B27" s="198"/>
      <c r="N27" s="154"/>
      <c r="O27" s="442"/>
      <c r="P27" s="78"/>
    </row>
    <row r="28" spans="2:19" ht="15.75" x14ac:dyDescent="0.25">
      <c r="B28" s="202" t="s">
        <v>152</v>
      </c>
      <c r="C28" s="69">
        <v>3851.0334999999977</v>
      </c>
      <c r="D28" s="69">
        <v>-5706.7949999999992</v>
      </c>
      <c r="E28" s="69">
        <v>-4852.1425123003119</v>
      </c>
      <c r="F28" s="69">
        <v>-9205.3388839840936</v>
      </c>
      <c r="G28" s="69">
        <v>3016.0497363101385</v>
      </c>
      <c r="H28" s="69">
        <v>-5643.7666591711131</v>
      </c>
      <c r="I28" s="69">
        <v>38302.220769684274</v>
      </c>
      <c r="J28" s="69">
        <v>67306.616264842902</v>
      </c>
      <c r="K28" s="69">
        <v>70589.043886358078</v>
      </c>
      <c r="L28" s="69">
        <v>29192.893008993757</v>
      </c>
      <c r="M28" s="69">
        <v>110661.85423863534</v>
      </c>
      <c r="N28" s="223">
        <v>242819.04890466121</v>
      </c>
      <c r="O28" s="443"/>
      <c r="P28" s="413">
        <v>540330.7172540304</v>
      </c>
    </row>
    <row r="29" spans="2:19" x14ac:dyDescent="0.25">
      <c r="B29" s="203" t="s">
        <v>153</v>
      </c>
      <c r="C29" s="71">
        <v>4.9720715579581472E-2</v>
      </c>
      <c r="D29" s="71">
        <v>-0.37758336641524409</v>
      </c>
      <c r="E29" s="71">
        <v>-0.40352887537592735</v>
      </c>
      <c r="F29" s="71">
        <v>-1.2480446851175715</v>
      </c>
      <c r="G29" s="71">
        <v>7.7830125645390769E-2</v>
      </c>
      <c r="H29" s="71">
        <v>-0.59393747567925215</v>
      </c>
      <c r="I29" s="71">
        <v>0.26067128838875547</v>
      </c>
      <c r="J29" s="71">
        <v>0.27658138600959992</v>
      </c>
      <c r="K29" s="71">
        <v>0.31311333712528799</v>
      </c>
      <c r="L29" s="71">
        <v>0.23786189313610739</v>
      </c>
      <c r="M29" s="71">
        <v>0.43576938836202822</v>
      </c>
      <c r="N29" s="225">
        <v>0.423410234931268</v>
      </c>
      <c r="O29" s="444"/>
      <c r="P29" s="414">
        <v>0.31303320322574629</v>
      </c>
    </row>
    <row r="30" spans="2:19" x14ac:dyDescent="0.25">
      <c r="B30" s="20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228"/>
      <c r="O30" s="442"/>
      <c r="P30" s="416"/>
    </row>
    <row r="31" spans="2:19" x14ac:dyDescent="0.25">
      <c r="B31" s="198" t="s">
        <v>154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434">
        <v>0</v>
      </c>
      <c r="O31" s="446"/>
      <c r="P31" s="417">
        <v>0</v>
      </c>
    </row>
    <row r="32" spans="2:19" ht="15.75" x14ac:dyDescent="0.25">
      <c r="B32" s="202" t="s">
        <v>12</v>
      </c>
      <c r="C32" s="69">
        <v>3851.0334999999977</v>
      </c>
      <c r="D32" s="69">
        <v>-5706.7949999999992</v>
      </c>
      <c r="E32" s="69">
        <v>-4852.1425123003119</v>
      </c>
      <c r="F32" s="69">
        <v>-9205.3388839840936</v>
      </c>
      <c r="G32" s="69">
        <v>3016.0497363101385</v>
      </c>
      <c r="H32" s="69">
        <v>-5643.7666591711131</v>
      </c>
      <c r="I32" s="69">
        <v>38302.220769684274</v>
      </c>
      <c r="J32" s="69">
        <v>67306.616264842902</v>
      </c>
      <c r="K32" s="69">
        <v>70589.043886358078</v>
      </c>
      <c r="L32" s="69">
        <v>29192.893008993757</v>
      </c>
      <c r="M32" s="69">
        <v>110661.85423863534</v>
      </c>
      <c r="N32" s="223">
        <v>242819.04890466121</v>
      </c>
      <c r="O32" s="443"/>
      <c r="P32" s="413">
        <v>540330.7172540304</v>
      </c>
    </row>
    <row r="33" spans="2:16" x14ac:dyDescent="0.25">
      <c r="B33" s="203" t="s">
        <v>155</v>
      </c>
      <c r="C33" s="71">
        <v>4.9720715579581472E-2</v>
      </c>
      <c r="D33" s="71">
        <v>-0.37758336641524409</v>
      </c>
      <c r="E33" s="71">
        <v>-0.40352887537592735</v>
      </c>
      <c r="F33" s="71">
        <v>-1.2480446851175715</v>
      </c>
      <c r="G33" s="71">
        <v>7.7830125645390769E-2</v>
      </c>
      <c r="H33" s="71">
        <v>-0.59393747567925215</v>
      </c>
      <c r="I33" s="71">
        <v>0.26067128838875547</v>
      </c>
      <c r="J33" s="71">
        <v>0.27658138600959992</v>
      </c>
      <c r="K33" s="71">
        <v>0.31311333712528799</v>
      </c>
      <c r="L33" s="71">
        <v>0.23786189313610739</v>
      </c>
      <c r="M33" s="71">
        <v>0.43576938836202822</v>
      </c>
      <c r="N33" s="225">
        <v>0.423410234931268</v>
      </c>
      <c r="O33" s="444"/>
      <c r="P33" s="414">
        <v>0.31303320322574629</v>
      </c>
    </row>
    <row r="34" spans="2:16" ht="15.75" x14ac:dyDescent="0.25">
      <c r="B34" s="203" t="s">
        <v>226</v>
      </c>
      <c r="C34" s="210">
        <v>0</v>
      </c>
      <c r="D34" s="210">
        <v>0</v>
      </c>
      <c r="E34" s="210">
        <v>0</v>
      </c>
      <c r="F34" s="210">
        <v>0</v>
      </c>
      <c r="G34" s="210">
        <v>0</v>
      </c>
      <c r="H34" s="210">
        <v>0</v>
      </c>
      <c r="I34" s="210">
        <v>0</v>
      </c>
      <c r="J34" s="210">
        <v>0</v>
      </c>
      <c r="K34" s="210">
        <v>0</v>
      </c>
      <c r="L34" s="210">
        <v>0</v>
      </c>
      <c r="M34" s="210">
        <v>0</v>
      </c>
      <c r="N34" s="280">
        <v>-107393.24345080604</v>
      </c>
      <c r="O34" s="444"/>
      <c r="P34" s="429">
        <v>-104393.24345080604</v>
      </c>
    </row>
    <row r="35" spans="2:16" ht="15.75" x14ac:dyDescent="0.25">
      <c r="B35" s="203" t="s">
        <v>490</v>
      </c>
      <c r="C35" s="210">
        <v>1500</v>
      </c>
      <c r="D35" s="210">
        <v>1500</v>
      </c>
      <c r="E35" s="210">
        <v>1500</v>
      </c>
      <c r="F35" s="210">
        <v>1500</v>
      </c>
      <c r="G35" s="210">
        <v>1500</v>
      </c>
      <c r="H35" s="210">
        <v>1500</v>
      </c>
      <c r="I35" s="210">
        <v>1500</v>
      </c>
      <c r="J35" s="210">
        <v>1500</v>
      </c>
      <c r="K35" s="210">
        <v>1500</v>
      </c>
      <c r="L35" s="210">
        <v>1500</v>
      </c>
      <c r="M35" s="210">
        <v>1500</v>
      </c>
      <c r="N35" s="229">
        <v>1500</v>
      </c>
      <c r="O35" s="444"/>
      <c r="P35" s="418">
        <v>18000</v>
      </c>
    </row>
    <row r="36" spans="2:16" ht="16.5" thickBot="1" x14ac:dyDescent="0.3">
      <c r="B36" s="448" t="s">
        <v>491</v>
      </c>
      <c r="C36" s="449">
        <v>1500</v>
      </c>
      <c r="D36" s="449">
        <v>1500</v>
      </c>
      <c r="E36" s="449">
        <v>1500</v>
      </c>
      <c r="F36" s="449">
        <v>1500</v>
      </c>
      <c r="G36" s="449">
        <v>1500</v>
      </c>
      <c r="H36" s="449">
        <v>1500</v>
      </c>
      <c r="I36" s="449">
        <v>1500</v>
      </c>
      <c r="J36" s="449">
        <v>1500</v>
      </c>
      <c r="K36" s="449">
        <v>1500</v>
      </c>
      <c r="L36" s="449">
        <v>1500</v>
      </c>
      <c r="M36" s="449">
        <v>1500</v>
      </c>
      <c r="N36" s="450">
        <v>1500</v>
      </c>
      <c r="O36" s="451"/>
      <c r="P36" s="452">
        <v>18000</v>
      </c>
    </row>
    <row r="37" spans="2:16" ht="15" customHeight="1" thickBot="1" x14ac:dyDescent="0.3">
      <c r="B37" s="198"/>
      <c r="N37" s="154"/>
      <c r="O37" s="442"/>
      <c r="P37" s="453"/>
    </row>
    <row r="38" spans="2:16" ht="22.9" customHeight="1" x14ac:dyDescent="0.25">
      <c r="B38" s="64" t="s">
        <v>156</v>
      </c>
      <c r="C38" s="65">
        <v>138590.71977260895</v>
      </c>
      <c r="D38" s="134">
        <v>235205.00801663983</v>
      </c>
      <c r="E38" s="65">
        <v>213953.98971160929</v>
      </c>
      <c r="F38" s="134">
        <v>202135.19936884177</v>
      </c>
      <c r="G38" s="134">
        <v>170153.23468100798</v>
      </c>
      <c r="H38" s="134">
        <v>788250.19289638195</v>
      </c>
      <c r="I38" s="65">
        <v>1138699.0437665745</v>
      </c>
      <c r="J38" s="134">
        <v>1102059.5147118792</v>
      </c>
      <c r="K38" s="65">
        <v>715583.55566518789</v>
      </c>
      <c r="L38" s="65">
        <v>1308806.7879150836</v>
      </c>
      <c r="M38" s="65">
        <v>1758273.9392502178</v>
      </c>
      <c r="N38" s="435">
        <v>1774945.4334433675</v>
      </c>
      <c r="O38" s="442"/>
      <c r="P38" s="771" t="s">
        <v>448</v>
      </c>
    </row>
    <row r="39" spans="2:16" ht="22.9" customHeight="1" x14ac:dyDescent="0.25">
      <c r="B39" s="419" t="s">
        <v>157</v>
      </c>
      <c r="C39" s="283">
        <v>99004.129772608925</v>
      </c>
      <c r="D39" s="282">
        <v>96614.288244030875</v>
      </c>
      <c r="E39" s="283">
        <v>-21251.018305030542</v>
      </c>
      <c r="F39" s="282">
        <v>-11818.790342767508</v>
      </c>
      <c r="G39" s="282">
        <v>-31981.96468783381</v>
      </c>
      <c r="H39" s="282">
        <v>618096.95821537392</v>
      </c>
      <c r="I39" s="283">
        <v>350448.85087019246</v>
      </c>
      <c r="J39" s="282">
        <v>-36639.529054695209</v>
      </c>
      <c r="K39" s="283">
        <v>-386475.95904669131</v>
      </c>
      <c r="L39" s="283">
        <v>593223.23224989581</v>
      </c>
      <c r="M39" s="283">
        <v>449467.15133513411</v>
      </c>
      <c r="N39" s="436">
        <v>16671.494193149701</v>
      </c>
      <c r="O39" s="442"/>
      <c r="P39" s="771"/>
    </row>
    <row r="40" spans="2:16" ht="22.9" customHeight="1" x14ac:dyDescent="0.25">
      <c r="B40" s="430" t="s">
        <v>569</v>
      </c>
      <c r="C40" s="431"/>
      <c r="D40" s="431"/>
      <c r="E40" s="431"/>
      <c r="F40" s="431"/>
      <c r="G40" s="431"/>
      <c r="H40" s="431"/>
      <c r="I40" s="431"/>
      <c r="J40" s="431"/>
      <c r="K40" s="431"/>
      <c r="L40" s="431"/>
      <c r="M40" s="431"/>
      <c r="N40" s="437"/>
      <c r="O40" s="442"/>
      <c r="P40" s="771"/>
    </row>
    <row r="41" spans="2:16" x14ac:dyDescent="0.25">
      <c r="B41" s="430" t="s">
        <v>445</v>
      </c>
      <c r="C41" s="431">
        <v>23926.739906988223</v>
      </c>
      <c r="D41" s="431">
        <v>177562.14703698386</v>
      </c>
      <c r="E41" s="431">
        <v>144760.77274440945</v>
      </c>
      <c r="F41" s="431">
        <v>134672.34322685585</v>
      </c>
      <c r="G41" s="431">
        <v>10636.88630247346</v>
      </c>
      <c r="H41" s="431">
        <v>488424.1738979338</v>
      </c>
      <c r="I41" s="431">
        <v>699165.65691383067</v>
      </c>
      <c r="J41" s="431">
        <v>677623.22826440958</v>
      </c>
      <c r="K41" s="431">
        <v>323908.53423562844</v>
      </c>
      <c r="L41" s="431">
        <v>741320.11387407302</v>
      </c>
      <c r="M41" s="431">
        <v>1104512.5789367671</v>
      </c>
      <c r="N41" s="437">
        <v>1156067.8976258365</v>
      </c>
      <c r="O41" s="442"/>
      <c r="P41" s="771"/>
    </row>
    <row r="42" spans="2:16" ht="15.75" thickBot="1" x14ac:dyDescent="0.3">
      <c r="B42" s="66" t="s">
        <v>446</v>
      </c>
      <c r="C42" s="464">
        <v>1.2086683188131873</v>
      </c>
      <c r="D42" s="464">
        <v>4.0803840062631744</v>
      </c>
      <c r="E42" s="464">
        <v>3.0921237527232104</v>
      </c>
      <c r="F42" s="464">
        <v>2.9962443176644831</v>
      </c>
      <c r="G42" s="464">
        <v>1.0666821075745287</v>
      </c>
      <c r="H42" s="464">
        <v>2.6290253111770858</v>
      </c>
      <c r="I42" s="464">
        <v>2.5906997689530944</v>
      </c>
      <c r="J42" s="464">
        <v>2.5965252027250405</v>
      </c>
      <c r="K42" s="464">
        <v>1.8269828723144184</v>
      </c>
      <c r="L42" s="464">
        <v>2.3063216244272549</v>
      </c>
      <c r="M42" s="464">
        <v>2.6894736305724773</v>
      </c>
      <c r="N42" s="464">
        <v>2.868007530922386</v>
      </c>
      <c r="O42" s="447"/>
      <c r="P42" s="772"/>
    </row>
    <row r="43" spans="2:16" x14ac:dyDescent="0.25">
      <c r="B43" s="77"/>
      <c r="E43" s="9"/>
      <c r="P43" s="78"/>
    </row>
    <row r="44" spans="2:16" x14ac:dyDescent="0.25">
      <c r="B44" s="77"/>
      <c r="P44" s="78"/>
    </row>
    <row r="45" spans="2:16" x14ac:dyDescent="0.25">
      <c r="B45" s="77"/>
      <c r="P45" s="78"/>
    </row>
    <row r="46" spans="2:16" x14ac:dyDescent="0.25">
      <c r="B46" s="77"/>
      <c r="P46" s="78"/>
    </row>
    <row r="47" spans="2:16" x14ac:dyDescent="0.25">
      <c r="B47" s="77"/>
      <c r="P47" s="78"/>
    </row>
    <row r="48" spans="2:16" x14ac:dyDescent="0.25">
      <c r="B48" s="77"/>
      <c r="P48" s="78"/>
    </row>
    <row r="49" spans="2:16" x14ac:dyDescent="0.25">
      <c r="B49" s="77"/>
      <c r="P49" s="78"/>
    </row>
    <row r="50" spans="2:16" x14ac:dyDescent="0.25">
      <c r="B50" s="77"/>
      <c r="P50" s="78"/>
    </row>
    <row r="51" spans="2:16" x14ac:dyDescent="0.25">
      <c r="B51" s="77"/>
      <c r="P51" s="78"/>
    </row>
    <row r="52" spans="2:16" x14ac:dyDescent="0.25">
      <c r="B52" s="77"/>
      <c r="P52" s="78"/>
    </row>
    <row r="53" spans="2:16" x14ac:dyDescent="0.25">
      <c r="B53" s="77"/>
      <c r="P53" s="78"/>
    </row>
    <row r="54" spans="2:16" x14ac:dyDescent="0.25">
      <c r="B54" s="77"/>
      <c r="P54" s="78"/>
    </row>
    <row r="55" spans="2:16" x14ac:dyDescent="0.25">
      <c r="B55" s="77"/>
      <c r="P55" s="78"/>
    </row>
    <row r="56" spans="2:16" x14ac:dyDescent="0.25">
      <c r="B56" s="77"/>
      <c r="P56" s="78"/>
    </row>
    <row r="57" spans="2:16" x14ac:dyDescent="0.25">
      <c r="B57" s="77"/>
      <c r="P57" s="78"/>
    </row>
    <row r="58" spans="2:16" x14ac:dyDescent="0.25">
      <c r="B58" s="77"/>
      <c r="P58" s="78"/>
    </row>
    <row r="59" spans="2:16" x14ac:dyDescent="0.25">
      <c r="B59" s="77"/>
      <c r="P59" s="78"/>
    </row>
    <row r="60" spans="2:16" ht="215.45" customHeight="1" thickBot="1" x14ac:dyDescent="0.3">
      <c r="B60" s="86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9"/>
    </row>
    <row r="66" spans="4:4" x14ac:dyDescent="0.25">
      <c r="D66" s="9"/>
    </row>
  </sheetData>
  <mergeCells count="2">
    <mergeCell ref="B8:P8"/>
    <mergeCell ref="P38:P42"/>
  </mergeCells>
  <conditionalFormatting sqref="C38:N38">
    <cfRule type="cellIs" dxfId="5" priority="1" operator="lessThan">
      <formula>0</formula>
    </cfRule>
  </conditionalFormatting>
  <pageMargins left="0.25" right="0.25" top="0.75" bottom="0.75" header="0.3" footer="0.3"/>
  <pageSetup scale="46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CA28-F251-43F8-92B3-03E613ED850F}">
  <sheetPr>
    <tabColor theme="1"/>
    <pageSetUpPr fitToPage="1"/>
  </sheetPr>
  <dimension ref="B1:S68"/>
  <sheetViews>
    <sheetView topLeftCell="A31" zoomScale="55" zoomScaleNormal="55" workbookViewId="0">
      <selection activeCell="B1" sqref="B1:P63"/>
    </sheetView>
  </sheetViews>
  <sheetFormatPr defaultRowHeight="15" x14ac:dyDescent="0.25"/>
  <cols>
    <col min="2" max="2" width="37.42578125" bestFit="1" customWidth="1"/>
    <col min="3" max="3" width="18.85546875" bestFit="1" customWidth="1"/>
    <col min="4" max="4" width="19.140625" bestFit="1" customWidth="1"/>
    <col min="5" max="5" width="19.42578125" bestFit="1" customWidth="1"/>
    <col min="6" max="6" width="18.7109375" bestFit="1" customWidth="1"/>
    <col min="7" max="10" width="19.140625" bestFit="1" customWidth="1"/>
    <col min="11" max="11" width="18.7109375" bestFit="1" customWidth="1"/>
    <col min="12" max="12" width="19.140625" bestFit="1" customWidth="1"/>
    <col min="13" max="13" width="18.28515625" bestFit="1" customWidth="1"/>
    <col min="14" max="14" width="20" bestFit="1" customWidth="1"/>
    <col min="15" max="15" width="0.28515625" customWidth="1"/>
    <col min="16" max="16" width="15.5703125" bestFit="1" customWidth="1"/>
  </cols>
  <sheetData>
    <row r="1" spans="2:16" x14ac:dyDescent="0.25">
      <c r="B1" s="7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x14ac:dyDescent="0.25">
      <c r="B2" s="77"/>
      <c r="P2" s="78"/>
    </row>
    <row r="3" spans="2:16" x14ac:dyDescent="0.25">
      <c r="B3" s="77"/>
      <c r="P3" s="78"/>
    </row>
    <row r="4" spans="2:16" x14ac:dyDescent="0.25">
      <c r="B4" s="77"/>
      <c r="P4" s="78"/>
    </row>
    <row r="5" spans="2:16" x14ac:dyDescent="0.25">
      <c r="B5" s="77"/>
      <c r="P5" s="78"/>
    </row>
    <row r="6" spans="2:16" x14ac:dyDescent="0.25">
      <c r="B6" s="77"/>
      <c r="P6" s="78"/>
    </row>
    <row r="7" spans="2:16" x14ac:dyDescent="0.25">
      <c r="B7" s="77"/>
      <c r="P7" s="78"/>
    </row>
    <row r="8" spans="2:16" ht="23.25" x14ac:dyDescent="0.35">
      <c r="B8" s="768" t="s">
        <v>451</v>
      </c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70"/>
    </row>
    <row r="9" spans="2:16" x14ac:dyDescent="0.25">
      <c r="B9" s="77"/>
      <c r="P9" s="78"/>
    </row>
    <row r="10" spans="2:16" ht="15.75" x14ac:dyDescent="0.25">
      <c r="B10" s="407"/>
      <c r="C10" s="268" t="str">
        <f>TEXT('Monthly Detail'!D3,"mmmm")</f>
        <v>January</v>
      </c>
      <c r="D10" s="268" t="str">
        <f>TEXT('Monthly Detail'!E3,"mmmm")</f>
        <v>February</v>
      </c>
      <c r="E10" s="268" t="str">
        <f>TEXT('Monthly Detail'!F3,"mmmm")</f>
        <v>March</v>
      </c>
      <c r="F10" s="268" t="str">
        <f>TEXT('Monthly Detail'!G3,"mmmm")</f>
        <v>April</v>
      </c>
      <c r="G10" s="268" t="str">
        <f>TEXT('Monthly Detail'!H3,"mmmm")</f>
        <v>May</v>
      </c>
      <c r="H10" s="267" t="str">
        <f>TEXT('Monthly Detail'!I3,"mmmm")</f>
        <v>June</v>
      </c>
      <c r="I10" s="268" t="str">
        <f>TEXT('Monthly Detail'!J3,"mmmm")</f>
        <v>July</v>
      </c>
      <c r="J10" s="268" t="str">
        <f>TEXT('Monthly Detail'!K3,"mmmm")</f>
        <v>August</v>
      </c>
      <c r="K10" s="268" t="str">
        <f>TEXT('Monthly Detail'!L3,"mmmm")</f>
        <v>September</v>
      </c>
      <c r="L10" s="268" t="str">
        <f>TEXT('Monthly Detail'!M3,"mmmm")</f>
        <v>October</v>
      </c>
      <c r="M10" s="268" t="str">
        <f>TEXT('Monthly Detail'!N3,"mmmm")</f>
        <v>November</v>
      </c>
      <c r="N10" s="432" t="str">
        <f>TEXT('Monthly Detail'!O3,"mmmm")</f>
        <v>December</v>
      </c>
      <c r="O10" s="438"/>
      <c r="P10" s="408" t="s">
        <v>0</v>
      </c>
    </row>
    <row r="11" spans="2:16" x14ac:dyDescent="0.25">
      <c r="B11" s="198"/>
      <c r="C11" s="72">
        <v>45688</v>
      </c>
      <c r="D11" s="72">
        <v>45716</v>
      </c>
      <c r="E11" s="72">
        <v>45747</v>
      </c>
      <c r="F11" s="72">
        <v>45777</v>
      </c>
      <c r="G11" s="72">
        <v>45808</v>
      </c>
      <c r="H11" s="122">
        <v>45838</v>
      </c>
      <c r="I11" s="72">
        <v>45869</v>
      </c>
      <c r="J11" s="72">
        <v>45900</v>
      </c>
      <c r="K11" s="72">
        <v>45930</v>
      </c>
      <c r="L11" s="72">
        <v>45961</v>
      </c>
      <c r="M11" s="72">
        <v>45991</v>
      </c>
      <c r="N11" s="433">
        <v>46022</v>
      </c>
      <c r="O11" s="439">
        <v>45322</v>
      </c>
      <c r="P11" s="78"/>
    </row>
    <row r="12" spans="2:16" x14ac:dyDescent="0.25">
      <c r="B12" s="199" t="s">
        <v>227</v>
      </c>
      <c r="C12" s="54">
        <f>SUMIF('Monthly Detail'!$3:$3, '2025 Overview (Accrual Basis)'!C$11, 'Monthly Detail'!11:11)</f>
        <v>0</v>
      </c>
      <c r="D12" s="54">
        <f>SUMIF('Monthly Detail'!$3:$3, '2025 Overview (Accrual Basis)'!D$11, 'Monthly Detail'!11:11)</f>
        <v>0</v>
      </c>
      <c r="E12" s="54">
        <f>SUMIF('Monthly Detail'!$3:$3, '2025 Overview (Accrual Basis)'!E$11, 'Monthly Detail'!11:11)</f>
        <v>0</v>
      </c>
      <c r="F12" s="54">
        <f>SUMIF('Monthly Detail'!$3:$3, '2025 Overview (Accrual Basis)'!F$11, 'Monthly Detail'!11:11)</f>
        <v>0</v>
      </c>
      <c r="G12" s="54">
        <f>SUMIF('Monthly Detail'!$3:$3, '2025 Overview (Accrual Basis)'!G$11, 'Monthly Detail'!11:11)</f>
        <v>0</v>
      </c>
      <c r="H12" s="123">
        <f>SUMIF('Monthly Detail'!$3:$3, '2025 Overview (Accrual Basis)'!H$11, 'Monthly Detail'!11:11)</f>
        <v>90000</v>
      </c>
      <c r="I12" s="54">
        <f>SUMIF('Monthly Detail'!$3:$3, '2025 Overview (Accrual Basis)'!I$11, 'Monthly Detail'!11:11)</f>
        <v>0</v>
      </c>
      <c r="J12" s="54">
        <f>SUMIF('Monthly Detail'!$3:$3, '2025 Overview (Accrual Basis)'!J$11, 'Monthly Detail'!11:11)</f>
        <v>0</v>
      </c>
      <c r="K12" s="54">
        <f>SUMIF('Monthly Detail'!$3:$3, '2025 Overview (Accrual Basis)'!K$11, 'Monthly Detail'!11:11)</f>
        <v>0</v>
      </c>
      <c r="L12" s="54">
        <f>SUMIF('Monthly Detail'!$3:$3, '2025 Overview (Accrual Basis)'!L$11, 'Monthly Detail'!11:11)</f>
        <v>0</v>
      </c>
      <c r="M12" s="54">
        <f>SUMIF('Monthly Detail'!$3:$3, '2025 Overview (Accrual Basis)'!M$11, 'Monthly Detail'!11:11)</f>
        <v>0</v>
      </c>
      <c r="N12" s="271">
        <f>SUMIF('Monthly Detail'!$3:$3, '2025 Overview (Accrual Basis)'!N$11, 'Monthly Detail'!11:11)</f>
        <v>7533.7164629450408</v>
      </c>
      <c r="O12" s="440"/>
      <c r="P12" s="409">
        <f>SUM(C12:O12)</f>
        <v>97533.716462945042</v>
      </c>
    </row>
    <row r="13" spans="2:16" x14ac:dyDescent="0.25">
      <c r="B13" s="199" t="s">
        <v>355</v>
      </c>
      <c r="C13" s="54">
        <f>SUMIF('Monthly Detail'!$3:$3, '2025 Overview (Accrual Basis)'!C$11, 'Monthly Detail'!12:12)</f>
        <v>70951.44</v>
      </c>
      <c r="D13" s="54">
        <f>SUMIF('Monthly Detail'!$3:$3, '2025 Overview (Accrual Basis)'!D$11, 'Monthly Detail'!12:12)</f>
        <v>20473.86</v>
      </c>
      <c r="E13" s="54">
        <f>SUMIF('Monthly Detail'!$3:$3, '2025 Overview (Accrual Basis)'!E$11, 'Monthly Detail'!12:12)</f>
        <v>0</v>
      </c>
      <c r="F13" s="54">
        <f>SUMIF('Monthly Detail'!$3:$3, '2025 Overview (Accrual Basis)'!F$11, 'Monthly Detail'!12:12)</f>
        <v>11761.5</v>
      </c>
      <c r="G13" s="54">
        <f>SUMIF('Monthly Detail'!$3:$3, '2025 Overview (Accrual Basis)'!G$11, 'Monthly Detail'!12:12)</f>
        <v>4100.5</v>
      </c>
      <c r="H13" s="123">
        <f>SUMIF('Monthly Detail'!$3:$3, '2025 Overview (Accrual Basis)'!H$11, 'Monthly Detail'!12:12)</f>
        <v>0</v>
      </c>
      <c r="I13" s="54">
        <f>SUMIF('Monthly Detail'!$3:$3, '2025 Overview (Accrual Basis)'!I$11, 'Monthly Detail'!12:12)</f>
        <v>6600</v>
      </c>
      <c r="J13" s="54">
        <f>SUMIF('Monthly Detail'!$3:$3, '2025 Overview (Accrual Basis)'!J$11, 'Monthly Detail'!12:12)</f>
        <v>6600</v>
      </c>
      <c r="K13" s="54">
        <f>SUMIF('Monthly Detail'!$3:$3, '2025 Overview (Accrual Basis)'!K$11, 'Monthly Detail'!12:12)</f>
        <v>6600</v>
      </c>
      <c r="L13" s="54">
        <f>SUMIF('Monthly Detail'!$3:$3, '2025 Overview (Accrual Basis)'!L$11, 'Monthly Detail'!12:12)</f>
        <v>6600</v>
      </c>
      <c r="M13" s="54">
        <f>SUMIF('Monthly Detail'!$3:$3, '2025 Overview (Accrual Basis)'!M$11, 'Monthly Detail'!12:12)</f>
        <v>6600</v>
      </c>
      <c r="N13" s="271">
        <f>SUMIF('Monthly Detail'!$3:$3, '2025 Overview (Accrual Basis)'!N$11, 'Monthly Detail'!12:12)</f>
        <v>6600</v>
      </c>
      <c r="O13" s="440"/>
      <c r="P13" s="409">
        <f>SUM(C13:O13)</f>
        <v>146887.29999999999</v>
      </c>
    </row>
    <row r="14" spans="2:16" x14ac:dyDescent="0.25">
      <c r="B14" s="199" t="s">
        <v>566</v>
      </c>
      <c r="C14" s="54">
        <f>SUMIF('Monthly Detail'!$3:$3, '2025 Overview (Accrual Basis)'!C$11, 'Monthly Detail'!8:8)</f>
        <v>18851</v>
      </c>
      <c r="D14" s="54">
        <f>SUMIF('Monthly Detail'!$3:$3, '2025 Overview (Accrual Basis)'!D$11, 'Monthly Detail'!8:8)</f>
        <v>0</v>
      </c>
      <c r="E14" s="54">
        <f>SUMIF('Monthly Detail'!$3:$3, '2025 Overview (Accrual Basis)'!E$11, 'Monthly Detail'!8:8)</f>
        <v>0</v>
      </c>
      <c r="F14" s="54">
        <f>SUMIF('Monthly Detail'!$3:$3, '2025 Overview (Accrual Basis)'!F$11, 'Monthly Detail'!8:8)</f>
        <v>0</v>
      </c>
      <c r="G14" s="54">
        <f>SUMIF('Monthly Detail'!$3:$3, '2025 Overview (Accrual Basis)'!G$11, 'Monthly Detail'!8:8)</f>
        <v>0</v>
      </c>
      <c r="H14" s="123">
        <f>SUMIF('Monthly Detail'!$3:$3, '2025 Overview (Accrual Basis)'!H$11, 'Monthly Detail'!8:8)</f>
        <v>0</v>
      </c>
      <c r="I14" s="54">
        <f>SUMIF('Monthly Detail'!$3:$3, '2025 Overview (Accrual Basis)'!I$11, 'Monthly Detail'!8:8)</f>
        <v>0</v>
      </c>
      <c r="J14" s="54">
        <f>SUMIF('Monthly Detail'!$3:$3, '2025 Overview (Accrual Basis)'!J$11, 'Monthly Detail'!8:8)</f>
        <v>0</v>
      </c>
      <c r="K14" s="54">
        <f>SUMIF('Monthly Detail'!$3:$3, '2025 Overview (Accrual Basis)'!K$11, 'Monthly Detail'!8:8)</f>
        <v>0</v>
      </c>
      <c r="L14" s="54">
        <f>SUMIF('Monthly Detail'!$3:$3, '2025 Overview (Accrual Basis)'!L$11, 'Monthly Detail'!8:8)</f>
        <v>0</v>
      </c>
      <c r="M14" s="54">
        <f>SUMIF('Monthly Detail'!$3:$3, '2025 Overview (Accrual Basis)'!M$11, 'Monthly Detail'!8:8)</f>
        <v>0</v>
      </c>
      <c r="N14" s="271">
        <f>SUMIF('Monthly Detail'!$3:$3, '2025 Overview (Accrual Basis)'!N$11, 'Monthly Detail'!8:8)</f>
        <v>0</v>
      </c>
      <c r="O14" s="440"/>
      <c r="P14" s="409">
        <f>SUM(C14:O14)</f>
        <v>18851</v>
      </c>
    </row>
    <row r="15" spans="2:16" x14ac:dyDescent="0.25">
      <c r="B15" s="200" t="s">
        <v>289</v>
      </c>
      <c r="C15" s="55">
        <f>+C12+C13</f>
        <v>70951.44</v>
      </c>
      <c r="D15" s="55">
        <f t="shared" ref="D15:N15" si="0">+D12+D13</f>
        <v>20473.86</v>
      </c>
      <c r="E15" s="55">
        <f t="shared" si="0"/>
        <v>0</v>
      </c>
      <c r="F15" s="55">
        <f t="shared" si="0"/>
        <v>11761.5</v>
      </c>
      <c r="G15" s="55">
        <f t="shared" si="0"/>
        <v>4100.5</v>
      </c>
      <c r="H15" s="124">
        <f t="shared" si="0"/>
        <v>90000</v>
      </c>
      <c r="I15" s="55">
        <f t="shared" si="0"/>
        <v>6600</v>
      </c>
      <c r="J15" s="55">
        <f t="shared" si="0"/>
        <v>6600</v>
      </c>
      <c r="K15" s="55">
        <f t="shared" si="0"/>
        <v>6600</v>
      </c>
      <c r="L15" s="55">
        <f t="shared" si="0"/>
        <v>6600</v>
      </c>
      <c r="M15" s="55">
        <f t="shared" si="0"/>
        <v>6600</v>
      </c>
      <c r="N15" s="272">
        <f t="shared" si="0"/>
        <v>14133.716462945042</v>
      </c>
      <c r="O15" s="441"/>
      <c r="P15" s="506">
        <f>SUM(P12:P14)</f>
        <v>263272.01646294503</v>
      </c>
    </row>
    <row r="16" spans="2:16" x14ac:dyDescent="0.25">
      <c r="B16" s="498" t="s">
        <v>493</v>
      </c>
      <c r="C16" s="530">
        <f>SUMIF('Monthly Detail'!$3:$3, '2025 Overview (Accrual Basis)'!C$11, 'Monthly Detail'!13:13)</f>
        <v>1</v>
      </c>
      <c r="D16" s="530">
        <f>SUMIF('Monthly Detail'!$3:$3, '2025 Overview (Accrual Basis)'!D$11, 'Monthly Detail'!13:13)</f>
        <v>0</v>
      </c>
      <c r="E16" s="530">
        <f>SUMIF('Monthly Detail'!$3:$3, '2025 Overview (Accrual Basis)'!E$11, 'Monthly Detail'!13:13)</f>
        <v>1</v>
      </c>
      <c r="F16" s="530">
        <f>SUMIF('Monthly Detail'!$3:$3, '2025 Overview (Accrual Basis)'!F$11, 'Monthly Detail'!13:13)</f>
        <v>0</v>
      </c>
      <c r="G16" s="530">
        <f>SUMIF('Monthly Detail'!$3:$3, '2025 Overview (Accrual Basis)'!G$11, 'Monthly Detail'!13:13)</f>
        <v>0</v>
      </c>
      <c r="H16" s="732">
        <f>SUMIF('Monthly Detail'!$3:$3, '2025 Overview (Accrual Basis)'!H$11, 'Monthly Detail'!13:13)</f>
        <v>0</v>
      </c>
      <c r="I16" s="530">
        <f>SUMIF('Monthly Detail'!$3:$3, '2025 Overview (Accrual Basis)'!I$11, 'Monthly Detail'!13:13)</f>
        <v>1</v>
      </c>
      <c r="J16" s="530">
        <f>SUMIF('Monthly Detail'!$3:$3, '2025 Overview (Accrual Basis)'!J$11, 'Monthly Detail'!13:13)</f>
        <v>0</v>
      </c>
      <c r="K16" s="530">
        <f>SUMIF('Monthly Detail'!$3:$3, '2025 Overview (Accrual Basis)'!K$11, 'Monthly Detail'!13:13)</f>
        <v>0</v>
      </c>
      <c r="L16" s="530">
        <f>SUMIF('Monthly Detail'!$3:$3, '2025 Overview (Accrual Basis)'!L$11, 'Monthly Detail'!13:13)</f>
        <v>1</v>
      </c>
      <c r="M16" s="530">
        <f>SUMIF('Monthly Detail'!$3:$3, '2025 Overview (Accrual Basis)'!M$11, 'Monthly Detail'!13:13)</f>
        <v>0</v>
      </c>
      <c r="N16" s="531">
        <f>SUMIF('Monthly Detail'!$3:$3, '2025 Overview (Accrual Basis)'!N$11, 'Monthly Detail'!13:13)</f>
        <v>0</v>
      </c>
      <c r="O16" s="529"/>
      <c r="P16" s="532">
        <f>+SUM(C16:N16)</f>
        <v>4</v>
      </c>
    </row>
    <row r="17" spans="2:19" hidden="1" x14ac:dyDescent="0.25">
      <c r="B17" s="199" t="s">
        <v>350</v>
      </c>
      <c r="C17" s="57">
        <f>SUMIF('Monthly Detail'!$3:$3, '2025 Overview (Accrual Basis)'!C$11, 'Monthly Detail'!23:23)</f>
        <v>0</v>
      </c>
      <c r="D17" s="57">
        <f>SUMIF('Monthly Detail'!$3:$3, '2025 Overview (Accrual Basis)'!D$11, 'Monthly Detail'!23:23)</f>
        <v>0</v>
      </c>
      <c r="E17" s="57">
        <f>SUMIF('Monthly Detail'!$3:$3, '2025 Overview (Accrual Basis)'!E$11, 'Monthly Detail'!23:23)</f>
        <v>0</v>
      </c>
      <c r="F17" s="57">
        <f>SUMIF('Monthly Detail'!$3:$3, '2025 Overview (Accrual Basis)'!F$11, 'Monthly Detail'!23:23)</f>
        <v>0</v>
      </c>
      <c r="G17" s="57">
        <f>SUMIF('Monthly Detail'!$3:$3, '2025 Overview (Accrual Basis)'!G$11, 'Monthly Detail'!23:23)</f>
        <v>0</v>
      </c>
      <c r="H17" s="125">
        <f>SUMIF('Monthly Detail'!$3:$3, '2025 Overview (Accrual Basis)'!H$11, 'Monthly Detail'!23:23)</f>
        <v>0</v>
      </c>
      <c r="I17" s="57">
        <f>SUMIF('Monthly Detail'!$3:$3, '2025 Overview (Accrual Basis)'!I$11, 'Monthly Detail'!23:23)</f>
        <v>0</v>
      </c>
      <c r="J17" s="57">
        <f>SUMIF('Monthly Detail'!$3:$3, '2025 Overview (Accrual Basis)'!J$11, 'Monthly Detail'!23:23)</f>
        <v>0</v>
      </c>
      <c r="K17" s="57">
        <f>SUMIF('Monthly Detail'!$3:$3, '2025 Overview (Accrual Basis)'!K$11, 'Monthly Detail'!23:23)</f>
        <v>0</v>
      </c>
      <c r="L17" s="57">
        <f>SUMIF('Monthly Detail'!$3:$3, '2025 Overview (Accrual Basis)'!L$11, 'Monthly Detail'!23:23)</f>
        <v>0</v>
      </c>
      <c r="M17" s="57">
        <f>SUMIF('Monthly Detail'!$3:$3, '2025 Overview (Accrual Basis)'!M$11, 'Monthly Detail'!23:23)</f>
        <v>0</v>
      </c>
      <c r="N17" s="226">
        <f>SUMIF('Monthly Detail'!$3:$3, '2025 Overview (Accrual Basis)'!N$11, 'Monthly Detail'!23:23)</f>
        <v>0</v>
      </c>
      <c r="O17" s="442"/>
      <c r="P17" s="412">
        <f>SUM(C17:O17)</f>
        <v>0</v>
      </c>
    </row>
    <row r="18" spans="2:19" x14ac:dyDescent="0.25">
      <c r="B18" s="199" t="s">
        <v>351</v>
      </c>
      <c r="C18" s="57">
        <f>SUMIF('Monthly Detail'!$3:$3, '2025 Overview (Accrual Basis)'!C$11, 'Monthly Detail'!24:24)</f>
        <v>97.52</v>
      </c>
      <c r="D18" s="57">
        <f>SUMIF('Monthly Detail'!$3:$3, '2025 Overview (Accrual Basis)'!D$11, 'Monthly Detail'!24:24)</f>
        <v>659.89</v>
      </c>
      <c r="E18" s="57">
        <f>SUMIF('Monthly Detail'!$3:$3, '2025 Overview (Accrual Basis)'!E$11, 'Monthly Detail'!24:24)</f>
        <v>0</v>
      </c>
      <c r="F18" s="57">
        <f>SUMIF('Monthly Detail'!$3:$3, '2025 Overview (Accrual Basis)'!F$11, 'Monthly Detail'!24:24)</f>
        <v>0</v>
      </c>
      <c r="G18" s="57">
        <f>SUMIF('Monthly Detail'!$3:$3, '2025 Overview (Accrual Basis)'!G$11, 'Monthly Detail'!24:24)</f>
        <v>0</v>
      </c>
      <c r="H18" s="125">
        <f>SUMIF('Monthly Detail'!$3:$3, '2025 Overview (Accrual Basis)'!H$11, 'Monthly Detail'!24:24)</f>
        <v>595.5</v>
      </c>
      <c r="I18" s="57">
        <f>SUMIF('Monthly Detail'!$3:$3, '2025 Overview (Accrual Basis)'!I$11, 'Monthly Detail'!24:24)</f>
        <v>0</v>
      </c>
      <c r="J18" s="57">
        <f>SUMIF('Monthly Detail'!$3:$3, '2025 Overview (Accrual Basis)'!J$11, 'Monthly Detail'!24:24)</f>
        <v>0</v>
      </c>
      <c r="K18" s="57">
        <f>SUMIF('Monthly Detail'!$3:$3, '2025 Overview (Accrual Basis)'!K$11, 'Monthly Detail'!24:24)</f>
        <v>0</v>
      </c>
      <c r="L18" s="57">
        <f>SUMIF('Monthly Detail'!$3:$3, '2025 Overview (Accrual Basis)'!L$11, 'Monthly Detail'!24:24)</f>
        <v>0</v>
      </c>
      <c r="M18" s="57">
        <f>SUMIF('Monthly Detail'!$3:$3, '2025 Overview (Accrual Basis)'!M$11, 'Monthly Detail'!24:24)</f>
        <v>0</v>
      </c>
      <c r="N18" s="226">
        <f>SUMIF('Monthly Detail'!$3:$3, '2025 Overview (Accrual Basis)'!N$11, 'Monthly Detail'!24:24)</f>
        <v>2765.4379833580592</v>
      </c>
      <c r="O18" s="442"/>
      <c r="P18" s="412">
        <f t="shared" ref="P18:P20" si="1">SUM(C18:O18)</f>
        <v>4118.3479833580586</v>
      </c>
    </row>
    <row r="19" spans="2:19" x14ac:dyDescent="0.25">
      <c r="B19" s="199" t="s">
        <v>352</v>
      </c>
      <c r="C19" s="57">
        <f>SUMIF('Monthly Detail'!$3:$3, '2025 Overview (Accrual Basis)'!C$11, 'Monthly Detail'!25:25)</f>
        <v>0</v>
      </c>
      <c r="D19" s="57">
        <f>SUMIF('Monthly Detail'!$3:$3, '2025 Overview (Accrual Basis)'!D$11, 'Monthly Detail'!25:25)</f>
        <v>0</v>
      </c>
      <c r="E19" s="57">
        <f>SUMIF('Monthly Detail'!$3:$3, '2025 Overview (Accrual Basis)'!E$11, 'Monthly Detail'!25:25)</f>
        <v>0</v>
      </c>
      <c r="F19" s="57">
        <f>SUMIF('Monthly Detail'!$3:$3, '2025 Overview (Accrual Basis)'!F$11, 'Monthly Detail'!25:25)</f>
        <v>0</v>
      </c>
      <c r="G19" s="57">
        <f>SUMIF('Monthly Detail'!$3:$3, '2025 Overview (Accrual Basis)'!G$11, 'Monthly Detail'!25:25)</f>
        <v>0</v>
      </c>
      <c r="H19" s="125">
        <f>SUMIF('Monthly Detail'!$3:$3, '2025 Overview (Accrual Basis)'!H$11, 'Monthly Detail'!25:25)</f>
        <v>63894.879999999997</v>
      </c>
      <c r="I19" s="57">
        <f>SUMIF('Monthly Detail'!$3:$3, '2025 Overview (Accrual Basis)'!I$11, 'Monthly Detail'!25:25)</f>
        <v>0</v>
      </c>
      <c r="J19" s="57">
        <f>SUMIF('Monthly Detail'!$3:$3, '2025 Overview (Accrual Basis)'!J$11, 'Monthly Detail'!25:25)</f>
        <v>0</v>
      </c>
      <c r="K19" s="57">
        <f>SUMIF('Monthly Detail'!$3:$3, '2025 Overview (Accrual Basis)'!K$11, 'Monthly Detail'!25:25)</f>
        <v>0</v>
      </c>
      <c r="L19" s="57">
        <f>SUMIF('Monthly Detail'!$3:$3, '2025 Overview (Accrual Basis)'!L$11, 'Monthly Detail'!25:25)</f>
        <v>0</v>
      </c>
      <c r="M19" s="57">
        <f>SUMIF('Monthly Detail'!$3:$3, '2025 Overview (Accrual Basis)'!M$11, 'Monthly Detail'!25:25)</f>
        <v>0</v>
      </c>
      <c r="N19" s="226">
        <f>SUMIF('Monthly Detail'!$3:$3, '2025 Overview (Accrual Basis)'!N$11, 'Monthly Detail'!25:25)</f>
        <v>1754.7918944089658</v>
      </c>
      <c r="O19" s="442"/>
      <c r="P19" s="412">
        <f t="shared" si="1"/>
        <v>65649.671894408966</v>
      </c>
    </row>
    <row r="20" spans="2:19" x14ac:dyDescent="0.25">
      <c r="B20" s="199" t="s">
        <v>353</v>
      </c>
      <c r="C20" s="57">
        <f>SUMIF('Monthly Detail'!$3:$3, '2025 Overview (Accrual Basis)'!C$11, 'Monthly Detail'!26:26)</f>
        <v>34675.019999999997</v>
      </c>
      <c r="D20" s="57">
        <f>SUMIF('Monthly Detail'!$3:$3, '2025 Overview (Accrual Basis)'!D$11, 'Monthly Detail'!26:26)</f>
        <v>18537.52</v>
      </c>
      <c r="E20" s="57">
        <f>SUMIF('Monthly Detail'!$3:$3, '2025 Overview (Accrual Basis)'!E$11, 'Monthly Detail'!26:26)</f>
        <v>0</v>
      </c>
      <c r="F20" s="57">
        <f>SUMIF('Monthly Detail'!$3:$3, '2025 Overview (Accrual Basis)'!F$11, 'Monthly Detail'!26:26)</f>
        <v>10184</v>
      </c>
      <c r="G20" s="57">
        <f>SUMIF('Monthly Detail'!$3:$3, '2025 Overview (Accrual Basis)'!G$11, 'Monthly Detail'!26:26)</f>
        <v>1682.5</v>
      </c>
      <c r="H20" s="125">
        <f>SUMIF('Monthly Detail'!$3:$3, '2025 Overview (Accrual Basis)'!H$11, 'Monthly Detail'!26:26)</f>
        <v>0</v>
      </c>
      <c r="I20" s="57">
        <f>SUMIF('Monthly Detail'!$3:$3, '2025 Overview (Accrual Basis)'!I$11, 'Monthly Detail'!26:26)</f>
        <v>5643</v>
      </c>
      <c r="J20" s="57">
        <f>SUMIF('Monthly Detail'!$3:$3, '2025 Overview (Accrual Basis)'!J$11, 'Monthly Detail'!26:26)</f>
        <v>5643</v>
      </c>
      <c r="K20" s="57">
        <f>SUMIF('Monthly Detail'!$3:$3, '2025 Overview (Accrual Basis)'!K$11, 'Monthly Detail'!26:26)</f>
        <v>5643</v>
      </c>
      <c r="L20" s="57">
        <f>SUMIF('Monthly Detail'!$3:$3, '2025 Overview (Accrual Basis)'!L$11, 'Monthly Detail'!26:26)</f>
        <v>5643</v>
      </c>
      <c r="M20" s="57">
        <f>SUMIF('Monthly Detail'!$3:$3, '2025 Overview (Accrual Basis)'!M$11, 'Monthly Detail'!26:26)</f>
        <v>5643</v>
      </c>
      <c r="N20" s="226">
        <f>SUMIF('Monthly Detail'!$3:$3, '2025 Overview (Accrual Basis)'!N$11, 'Monthly Detail'!26:26)</f>
        <v>5643</v>
      </c>
      <c r="O20" s="442"/>
      <c r="P20" s="412">
        <f t="shared" si="1"/>
        <v>98937.04</v>
      </c>
    </row>
    <row r="21" spans="2:19" ht="15.75" x14ac:dyDescent="0.25">
      <c r="B21" s="202" t="s">
        <v>354</v>
      </c>
      <c r="C21" s="69">
        <f t="shared" ref="C21:N21" si="2">C15-SUM(C17:C20)</f>
        <v>36178.900000000009</v>
      </c>
      <c r="D21" s="69">
        <f t="shared" si="2"/>
        <v>1276.4500000000007</v>
      </c>
      <c r="E21" s="69">
        <f t="shared" si="2"/>
        <v>0</v>
      </c>
      <c r="F21" s="69">
        <f t="shared" si="2"/>
        <v>1577.5</v>
      </c>
      <c r="G21" s="69">
        <f t="shared" si="2"/>
        <v>2418</v>
      </c>
      <c r="H21" s="126">
        <f t="shared" si="2"/>
        <v>25509.620000000003</v>
      </c>
      <c r="I21" s="69">
        <f t="shared" si="2"/>
        <v>957</v>
      </c>
      <c r="J21" s="69">
        <f t="shared" si="2"/>
        <v>957</v>
      </c>
      <c r="K21" s="69">
        <f t="shared" si="2"/>
        <v>957</v>
      </c>
      <c r="L21" s="69">
        <f t="shared" si="2"/>
        <v>957</v>
      </c>
      <c r="M21" s="69">
        <f t="shared" si="2"/>
        <v>957</v>
      </c>
      <c r="N21" s="223">
        <f t="shared" si="2"/>
        <v>3970.486585178016</v>
      </c>
      <c r="O21" s="443"/>
      <c r="P21" s="413">
        <f>P15-SUM(P17:P20)</f>
        <v>94566.956585178006</v>
      </c>
    </row>
    <row r="22" spans="2:19" x14ac:dyDescent="0.25">
      <c r="B22" s="203" t="s">
        <v>366</v>
      </c>
      <c r="C22" s="71">
        <f t="shared" ref="C22:N22" si="3">+IFERROR((C12-SUM(C17:C19))/C12, 0)</f>
        <v>0</v>
      </c>
      <c r="D22" s="71">
        <f t="shared" si="3"/>
        <v>0</v>
      </c>
      <c r="E22" s="71">
        <f t="shared" si="3"/>
        <v>0</v>
      </c>
      <c r="F22" s="71">
        <f t="shared" si="3"/>
        <v>0</v>
      </c>
      <c r="G22" s="71">
        <f t="shared" si="3"/>
        <v>0</v>
      </c>
      <c r="H22" s="127">
        <f t="shared" si="3"/>
        <v>0.28344022222222226</v>
      </c>
      <c r="I22" s="71">
        <f t="shared" si="3"/>
        <v>0</v>
      </c>
      <c r="J22" s="71">
        <f t="shared" si="3"/>
        <v>0</v>
      </c>
      <c r="K22" s="71">
        <f t="shared" si="3"/>
        <v>0</v>
      </c>
      <c r="L22" s="71">
        <f t="shared" si="3"/>
        <v>0</v>
      </c>
      <c r="M22" s="71">
        <f t="shared" si="3"/>
        <v>0</v>
      </c>
      <c r="N22" s="225">
        <f t="shared" si="3"/>
        <v>0.39999999999999997</v>
      </c>
      <c r="O22" s="444"/>
      <c r="P22" s="414">
        <f>((P12-SUM(P17:P19))/P12)</f>
        <v>0.28467793079254539</v>
      </c>
    </row>
    <row r="23" spans="2:19" x14ac:dyDescent="0.25">
      <c r="B23" s="203" t="s">
        <v>367</v>
      </c>
      <c r="C23" s="71">
        <f t="shared" ref="C23:N23" si="4">+IFERROR((C13-C20)/C13, 0)</f>
        <v>0.51128518321826877</v>
      </c>
      <c r="D23" s="71">
        <f t="shared" si="4"/>
        <v>9.4576205952370485E-2</v>
      </c>
      <c r="E23" s="71">
        <f t="shared" si="4"/>
        <v>0</v>
      </c>
      <c r="F23" s="71">
        <f t="shared" si="4"/>
        <v>0.1341240488032989</v>
      </c>
      <c r="G23" s="71">
        <f t="shared" si="4"/>
        <v>0.58968418485550544</v>
      </c>
      <c r="H23" s="127">
        <f t="shared" si="4"/>
        <v>0</v>
      </c>
      <c r="I23" s="71">
        <f t="shared" si="4"/>
        <v>0.14499999999999999</v>
      </c>
      <c r="J23" s="71">
        <f t="shared" si="4"/>
        <v>0.14499999999999999</v>
      </c>
      <c r="K23" s="71">
        <f t="shared" si="4"/>
        <v>0.14499999999999999</v>
      </c>
      <c r="L23" s="71">
        <f t="shared" si="4"/>
        <v>0.14499999999999999</v>
      </c>
      <c r="M23" s="71">
        <f t="shared" si="4"/>
        <v>0.14499999999999999</v>
      </c>
      <c r="N23" s="225">
        <f t="shared" si="4"/>
        <v>0.14499999999999999</v>
      </c>
      <c r="O23" s="444"/>
      <c r="P23" s="414">
        <f>((P13-P20))/P13</f>
        <v>0.3264425174947051</v>
      </c>
    </row>
    <row r="24" spans="2:19" x14ac:dyDescent="0.25">
      <c r="B24" s="198"/>
      <c r="H24" s="92"/>
      <c r="N24" s="154"/>
      <c r="O24" s="442"/>
      <c r="P24" s="78"/>
    </row>
    <row r="25" spans="2:19" x14ac:dyDescent="0.25">
      <c r="B25" s="198" t="s">
        <v>375</v>
      </c>
      <c r="C25" s="54">
        <f>SUMIF('Monthly Detail'!$3:$3, '2025 Overview (Accrual Basis)'!C$11, 'Monthly Detail'!$42:$42)</f>
        <v>0</v>
      </c>
      <c r="D25" s="54">
        <f>SUMIF('Monthly Detail'!$3:$3, '2025 Overview (Accrual Basis)'!D$11, 'Monthly Detail'!$42:$42)</f>
        <v>500</v>
      </c>
      <c r="E25" s="54">
        <f>SUMIF('Monthly Detail'!$3:$3, '2025 Overview (Accrual Basis)'!E$11, 'Monthly Detail'!$42:$42)</f>
        <v>160.38999999999999</v>
      </c>
      <c r="F25" s="54">
        <f>SUMIF('Monthly Detail'!$3:$3, '2025 Overview (Accrual Basis)'!F$11, 'Monthly Detail'!$42:$42)</f>
        <v>0</v>
      </c>
      <c r="G25" s="54">
        <f>SUMIF('Monthly Detail'!$3:$3, '2025 Overview (Accrual Basis)'!G$11, 'Monthly Detail'!$42:$42)</f>
        <v>0</v>
      </c>
      <c r="H25" s="123">
        <f>SUMIF('Monthly Detail'!$3:$3, '2025 Overview (Accrual Basis)'!H$11, 'Monthly Detail'!$42:$42)</f>
        <v>0</v>
      </c>
      <c r="I25" s="54">
        <f>SUMIF('Monthly Detail'!$3:$3, '2025 Overview (Accrual Basis)'!I$11, 'Monthly Detail'!$42:$42)</f>
        <v>600</v>
      </c>
      <c r="J25" s="54">
        <f>SUMIF('Monthly Detail'!$3:$3, '2025 Overview (Accrual Basis)'!J$11, 'Monthly Detail'!$42:$42)</f>
        <v>600</v>
      </c>
      <c r="K25" s="54">
        <f>SUMIF('Monthly Detail'!$3:$3, '2025 Overview (Accrual Basis)'!K$11, 'Monthly Detail'!$42:$42)</f>
        <v>600</v>
      </c>
      <c r="L25" s="54">
        <f>SUMIF('Monthly Detail'!$3:$3, '2025 Overview (Accrual Basis)'!L$11, 'Monthly Detail'!$42:$42)</f>
        <v>600</v>
      </c>
      <c r="M25" s="54">
        <f>SUMIF('Monthly Detail'!$3:$3, '2025 Overview (Accrual Basis)'!M$11, 'Monthly Detail'!$42:$42)</f>
        <v>600</v>
      </c>
      <c r="N25" s="271">
        <f>SUMIF('Monthly Detail'!$3:$3, '2025 Overview (Accrual Basis)'!N$11, 'Monthly Detail'!$42:$42)</f>
        <v>600</v>
      </c>
      <c r="O25" s="442"/>
      <c r="P25" s="409">
        <f>SUM(C25:O25)</f>
        <v>4260.3899999999994</v>
      </c>
    </row>
    <row r="26" spans="2:19" x14ac:dyDescent="0.25">
      <c r="B26" s="198" t="s">
        <v>376</v>
      </c>
      <c r="C26" s="54">
        <f>SUMIF('Monthly Detail'!$3:$3, '2025 Overview (Accrual Basis)'!C$11, 'Monthly Detail'!$78:$78)</f>
        <v>27735.14</v>
      </c>
      <c r="D26" s="54">
        <f>SUMIF('Monthly Detail'!$3:$3, '2025 Overview (Accrual Basis)'!D$11, 'Monthly Detail'!$78:$78)</f>
        <v>12436.900000000001</v>
      </c>
      <c r="E26" s="54">
        <f>SUMIF('Monthly Detail'!$3:$3, '2025 Overview (Accrual Basis)'!E$11, 'Monthly Detail'!$78:$78)</f>
        <v>9507.08</v>
      </c>
      <c r="F26" s="54">
        <f>SUMIF('Monthly Detail'!$3:$3, '2025 Overview (Accrual Basis)'!F$11, 'Monthly Detail'!$78:$78)</f>
        <v>9482.0399999999991</v>
      </c>
      <c r="G26" s="54">
        <f>SUMIF('Monthly Detail'!$3:$3, '2025 Overview (Accrual Basis)'!G$11, 'Monthly Detail'!$78:$78)</f>
        <v>8503.0099999999984</v>
      </c>
      <c r="H26" s="123">
        <f>SUMIF('Monthly Detail'!$3:$3, '2025 Overview (Accrual Basis)'!H$11, 'Monthly Detail'!$78:$78)</f>
        <v>7043.4499999999989</v>
      </c>
      <c r="I26" s="54">
        <f>SUMIF('Monthly Detail'!$3:$3, '2025 Overview (Accrual Basis)'!I$11, 'Monthly Detail'!$78:$78)</f>
        <v>9428.9</v>
      </c>
      <c r="J26" s="54">
        <f>SUMIF('Monthly Detail'!$3:$3, '2025 Overview (Accrual Basis)'!J$11, 'Monthly Detail'!$78:$78)</f>
        <v>8368.9000000000015</v>
      </c>
      <c r="K26" s="54">
        <f>SUMIF('Monthly Detail'!$3:$3, '2025 Overview (Accrual Basis)'!K$11, 'Monthly Detail'!$78:$78)</f>
        <v>8078.9000000000005</v>
      </c>
      <c r="L26" s="54">
        <f>SUMIF('Monthly Detail'!$3:$3, '2025 Overview (Accrual Basis)'!L$11, 'Monthly Detail'!$78:$78)</f>
        <v>8304.9000000000015</v>
      </c>
      <c r="M26" s="54">
        <f>SUMIF('Monthly Detail'!$3:$3, '2025 Overview (Accrual Basis)'!M$11, 'Monthly Detail'!$78:$78)</f>
        <v>8827.69</v>
      </c>
      <c r="N26" s="271">
        <f>SUMIF('Monthly Detail'!$3:$3, '2025 Overview (Accrual Basis)'!N$11, 'Monthly Detail'!$78:$78)</f>
        <v>10050.5</v>
      </c>
      <c r="O26" s="442"/>
      <c r="P26" s="409">
        <f>SUM(C26:O26)</f>
        <v>127767.40999999997</v>
      </c>
      <c r="S26" s="1"/>
    </row>
    <row r="27" spans="2:19" x14ac:dyDescent="0.25">
      <c r="B27" s="204" t="s">
        <v>151</v>
      </c>
      <c r="C27" s="60">
        <f>SUM(C25:C26)</f>
        <v>27735.14</v>
      </c>
      <c r="D27" s="60">
        <f t="shared" ref="D27:N27" si="5">SUM(D25:D26)</f>
        <v>12936.900000000001</v>
      </c>
      <c r="E27" s="60">
        <f t="shared" si="5"/>
        <v>9667.4699999999993</v>
      </c>
      <c r="F27" s="60">
        <f t="shared" si="5"/>
        <v>9482.0399999999991</v>
      </c>
      <c r="G27" s="60">
        <f t="shared" si="5"/>
        <v>8503.0099999999984</v>
      </c>
      <c r="H27" s="128">
        <f t="shared" si="5"/>
        <v>7043.4499999999989</v>
      </c>
      <c r="I27" s="60">
        <f t="shared" si="5"/>
        <v>10028.9</v>
      </c>
      <c r="J27" s="60">
        <f t="shared" si="5"/>
        <v>8968.9000000000015</v>
      </c>
      <c r="K27" s="60">
        <f t="shared" si="5"/>
        <v>8678.9000000000015</v>
      </c>
      <c r="L27" s="60">
        <f t="shared" si="5"/>
        <v>8904.9000000000015</v>
      </c>
      <c r="M27" s="60">
        <f t="shared" si="5"/>
        <v>9427.69</v>
      </c>
      <c r="N27" s="278">
        <f t="shared" si="5"/>
        <v>10650.5</v>
      </c>
      <c r="O27" s="445"/>
      <c r="P27" s="415">
        <f>SUM(P25:P26)</f>
        <v>132027.79999999999</v>
      </c>
    </row>
    <row r="28" spans="2:19" x14ac:dyDescent="0.25">
      <c r="B28" s="198"/>
      <c r="H28" s="92"/>
      <c r="N28" s="154"/>
      <c r="O28" s="442"/>
      <c r="P28" s="78"/>
    </row>
    <row r="29" spans="2:19" ht="15.75" x14ac:dyDescent="0.25">
      <c r="B29" s="202" t="s">
        <v>152</v>
      </c>
      <c r="C29" s="69">
        <f t="shared" ref="C29:N29" si="6">C21-C27</f>
        <v>8443.7600000000093</v>
      </c>
      <c r="D29" s="69">
        <f t="shared" si="6"/>
        <v>-11660.45</v>
      </c>
      <c r="E29" s="69">
        <f t="shared" si="6"/>
        <v>-9667.4699999999993</v>
      </c>
      <c r="F29" s="69">
        <f t="shared" si="6"/>
        <v>-7904.5399999999991</v>
      </c>
      <c r="G29" s="69">
        <f t="shared" si="6"/>
        <v>-6085.0099999999984</v>
      </c>
      <c r="H29" s="126">
        <f t="shared" si="6"/>
        <v>18466.170000000006</v>
      </c>
      <c r="I29" s="69">
        <f t="shared" si="6"/>
        <v>-9071.9</v>
      </c>
      <c r="J29" s="69">
        <f t="shared" si="6"/>
        <v>-8011.9000000000015</v>
      </c>
      <c r="K29" s="69">
        <f t="shared" si="6"/>
        <v>-7721.9000000000015</v>
      </c>
      <c r="L29" s="69">
        <f t="shared" si="6"/>
        <v>-7947.9000000000015</v>
      </c>
      <c r="M29" s="69">
        <f t="shared" si="6"/>
        <v>-8470.69</v>
      </c>
      <c r="N29" s="223">
        <f t="shared" si="6"/>
        <v>-6680.013414821984</v>
      </c>
      <c r="O29" s="443"/>
      <c r="P29" s="413">
        <f>P21-P27</f>
        <v>-37460.843414821982</v>
      </c>
    </row>
    <row r="30" spans="2:19" x14ac:dyDescent="0.25">
      <c r="B30" s="203" t="s">
        <v>153</v>
      </c>
      <c r="C30" s="71">
        <f t="shared" ref="C30:N30" si="7">+IFERROR(C29/C15, 0)</f>
        <v>0.11900759167114873</v>
      </c>
      <c r="D30" s="71">
        <f t="shared" si="7"/>
        <v>-0.56952865751743931</v>
      </c>
      <c r="E30" s="71">
        <f t="shared" si="7"/>
        <v>0</v>
      </c>
      <c r="F30" s="71">
        <f t="shared" si="7"/>
        <v>-0.67206903881307645</v>
      </c>
      <c r="G30" s="71">
        <f t="shared" si="7"/>
        <v>-1.483967808803804</v>
      </c>
      <c r="H30" s="127">
        <f t="shared" si="7"/>
        <v>0.20517966666666673</v>
      </c>
      <c r="I30" s="71">
        <f t="shared" si="7"/>
        <v>-1.3745303030303029</v>
      </c>
      <c r="J30" s="71">
        <f t="shared" si="7"/>
        <v>-1.2139242424242427</v>
      </c>
      <c r="K30" s="71">
        <f t="shared" si="7"/>
        <v>-1.1699848484848487</v>
      </c>
      <c r="L30" s="71">
        <f t="shared" si="7"/>
        <v>-1.2042272727272729</v>
      </c>
      <c r="M30" s="71">
        <f t="shared" si="7"/>
        <v>-1.2834378787878788</v>
      </c>
      <c r="N30" s="225">
        <f t="shared" si="7"/>
        <v>-0.47262964644403727</v>
      </c>
      <c r="O30" s="444"/>
      <c r="P30" s="414">
        <f>P29/P15</f>
        <v>-0.14228949934789031</v>
      </c>
    </row>
    <row r="31" spans="2:19" x14ac:dyDescent="0.25">
      <c r="B31" s="205"/>
      <c r="C31" s="63"/>
      <c r="D31" s="63"/>
      <c r="E31" s="63"/>
      <c r="F31" s="63"/>
      <c r="G31" s="63"/>
      <c r="H31" s="129"/>
      <c r="I31" s="63"/>
      <c r="J31" s="63"/>
      <c r="K31" s="63"/>
      <c r="L31" s="63"/>
      <c r="M31" s="63"/>
      <c r="N31" s="228"/>
      <c r="O31" s="442"/>
      <c r="P31" s="416"/>
    </row>
    <row r="32" spans="2:19" x14ac:dyDescent="0.25">
      <c r="B32" s="198" t="s">
        <v>154</v>
      </c>
      <c r="C32" s="108">
        <f>SUMIF('Monthly Detail'!$3:$3, '2025 Overview (Accrual Basis)'!C$11, 'Monthly Detail'!91:91)</f>
        <v>0</v>
      </c>
      <c r="D32" s="108">
        <f>SUMIF('Monthly Detail'!$3:$3, '2025 Overview (Accrual Basis)'!D$11, 'Monthly Detail'!91:91)</f>
        <v>0.19</v>
      </c>
      <c r="E32" s="108">
        <f>SUMIF('Monthly Detail'!$3:$3, '2025 Overview (Accrual Basis)'!E$11, 'Monthly Detail'!91:91)</f>
        <v>0</v>
      </c>
      <c r="F32" s="108">
        <f>SUMIF('Monthly Detail'!$3:$3, '2025 Overview (Accrual Basis)'!F$11, 'Monthly Detail'!91:91)</f>
        <v>0</v>
      </c>
      <c r="G32" s="108">
        <f>SUMIF('Monthly Detail'!$3:$3, '2025 Overview (Accrual Basis)'!G$11, 'Monthly Detail'!91:91)</f>
        <v>0</v>
      </c>
      <c r="H32" s="130">
        <f>SUMIF('Monthly Detail'!$3:$3, '2025 Overview (Accrual Basis)'!H$11, 'Monthly Detail'!91:91)</f>
        <v>0</v>
      </c>
      <c r="I32" s="108">
        <f>SUMIF('Monthly Detail'!$3:$3, '2025 Overview (Accrual Basis)'!I$11, 'Monthly Detail'!91:91)</f>
        <v>0</v>
      </c>
      <c r="J32" s="108">
        <f>SUMIF('Monthly Detail'!$3:$3, '2025 Overview (Accrual Basis)'!J$11, 'Monthly Detail'!91:91)</f>
        <v>0</v>
      </c>
      <c r="K32" s="108">
        <f>SUMIF('Monthly Detail'!$3:$3, '2025 Overview (Accrual Basis)'!K$11, 'Monthly Detail'!91:91)</f>
        <v>0</v>
      </c>
      <c r="L32" s="108">
        <f>SUMIF('Monthly Detail'!$3:$3, '2025 Overview (Accrual Basis)'!L$11, 'Monthly Detail'!91:91)</f>
        <v>0</v>
      </c>
      <c r="M32" s="108">
        <f>SUMIF('Monthly Detail'!$3:$3, '2025 Overview (Accrual Basis)'!M$11, 'Monthly Detail'!91:91)</f>
        <v>0</v>
      </c>
      <c r="N32" s="434">
        <f>SUMIF('Monthly Detail'!$3:$3, '2025 Overview (Accrual Basis)'!N$11, 'Monthly Detail'!91:91)</f>
        <v>0</v>
      </c>
      <c r="O32" s="446"/>
      <c r="P32" s="417">
        <f>SUM(C32:O32)</f>
        <v>0.19</v>
      </c>
    </row>
    <row r="33" spans="2:16" ht="15.75" x14ac:dyDescent="0.25">
      <c r="B33" s="202" t="s">
        <v>12</v>
      </c>
      <c r="C33" s="69">
        <f t="shared" ref="C33:N33" si="8">+C29+C32</f>
        <v>8443.7600000000093</v>
      </c>
      <c r="D33" s="69">
        <f t="shared" si="8"/>
        <v>-11660.26</v>
      </c>
      <c r="E33" s="69">
        <f t="shared" si="8"/>
        <v>-9667.4699999999993</v>
      </c>
      <c r="F33" s="69">
        <f t="shared" si="8"/>
        <v>-7904.5399999999991</v>
      </c>
      <c r="G33" s="69">
        <f t="shared" si="8"/>
        <v>-6085.0099999999984</v>
      </c>
      <c r="H33" s="126">
        <f t="shared" si="8"/>
        <v>18466.170000000006</v>
      </c>
      <c r="I33" s="69">
        <f t="shared" si="8"/>
        <v>-9071.9</v>
      </c>
      <c r="J33" s="69">
        <f t="shared" si="8"/>
        <v>-8011.9000000000015</v>
      </c>
      <c r="K33" s="69">
        <f t="shared" si="8"/>
        <v>-7721.9000000000015</v>
      </c>
      <c r="L33" s="69">
        <f t="shared" si="8"/>
        <v>-7947.9000000000015</v>
      </c>
      <c r="M33" s="69">
        <f t="shared" si="8"/>
        <v>-8470.69</v>
      </c>
      <c r="N33" s="223">
        <f t="shared" si="8"/>
        <v>-6680.013414821984</v>
      </c>
      <c r="O33" s="443"/>
      <c r="P33" s="413">
        <f>P29+SUM(P32:P32)</f>
        <v>-37460.65341482198</v>
      </c>
    </row>
    <row r="34" spans="2:16" x14ac:dyDescent="0.25">
      <c r="B34" s="203" t="s">
        <v>155</v>
      </c>
      <c r="C34" s="71">
        <f t="shared" ref="C34:N34" si="9">+IFERROR(C33/C15, 0)</f>
        <v>0.11900759167114873</v>
      </c>
      <c r="D34" s="71">
        <f t="shared" si="9"/>
        <v>-0.56951937739146408</v>
      </c>
      <c r="E34" s="71">
        <f t="shared" si="9"/>
        <v>0</v>
      </c>
      <c r="F34" s="71">
        <f t="shared" si="9"/>
        <v>-0.67206903881307645</v>
      </c>
      <c r="G34" s="71">
        <f t="shared" si="9"/>
        <v>-1.483967808803804</v>
      </c>
      <c r="H34" s="127">
        <f t="shared" si="9"/>
        <v>0.20517966666666673</v>
      </c>
      <c r="I34" s="71">
        <f t="shared" si="9"/>
        <v>-1.3745303030303029</v>
      </c>
      <c r="J34" s="71">
        <f t="shared" si="9"/>
        <v>-1.2139242424242427</v>
      </c>
      <c r="K34" s="71">
        <f t="shared" si="9"/>
        <v>-1.1699848484848487</v>
      </c>
      <c r="L34" s="71">
        <f t="shared" si="9"/>
        <v>-1.2042272727272729</v>
      </c>
      <c r="M34" s="71">
        <f t="shared" si="9"/>
        <v>-1.2834378787878788</v>
      </c>
      <c r="N34" s="225">
        <f t="shared" si="9"/>
        <v>-0.47262964644403727</v>
      </c>
      <c r="O34" s="444"/>
      <c r="P34" s="414">
        <f>P33/P15</f>
        <v>-0.14228877766085893</v>
      </c>
    </row>
    <row r="35" spans="2:16" ht="15.75" x14ac:dyDescent="0.25">
      <c r="B35" s="203" t="s">
        <v>226</v>
      </c>
      <c r="C35" s="210">
        <f>+'Monthly Detail'!AN165-'Monthly Detail'!AM165</f>
        <v>0</v>
      </c>
      <c r="D35" s="210">
        <f>+'Monthly Detail'!AO165-'Monthly Detail'!AN165</f>
        <v>0</v>
      </c>
      <c r="E35" s="210">
        <f>+'Monthly Detail'!AP165-'Monthly Detail'!AO165</f>
        <v>0</v>
      </c>
      <c r="F35" s="210">
        <f>+'Monthly Detail'!AQ165-'Monthly Detail'!AP165</f>
        <v>0</v>
      </c>
      <c r="G35" s="210">
        <f>+'Monthly Detail'!AR165-'Monthly Detail'!AQ165</f>
        <v>0</v>
      </c>
      <c r="H35" s="209">
        <f>+'Monthly Detail'!AS165-'Monthly Detail'!AR165</f>
        <v>0</v>
      </c>
      <c r="I35" s="210">
        <f>+'Monthly Detail'!AT165-'Monthly Detail'!AS165</f>
        <v>0</v>
      </c>
      <c r="J35" s="210">
        <f>+'Monthly Detail'!AU165-'Monthly Detail'!AT165</f>
        <v>0</v>
      </c>
      <c r="K35" s="210">
        <f>+'Monthly Detail'!AV165-'Monthly Detail'!AU165</f>
        <v>0</v>
      </c>
      <c r="L35" s="210">
        <f>+'Monthly Detail'!AW165-'Monthly Detail'!AV165</f>
        <v>0</v>
      </c>
      <c r="M35" s="210">
        <f>+'Monthly Detail'!AX165-'Monthly Detail'!AW165</f>
        <v>0</v>
      </c>
      <c r="N35" s="280">
        <f>+'Monthly Detail'!AY165-'Monthly Detail'!AX165</f>
        <v>11262.330682964399</v>
      </c>
      <c r="O35" s="444"/>
      <c r="P35" s="429"/>
    </row>
    <row r="36" spans="2:16" ht="15.75" x14ac:dyDescent="0.25">
      <c r="B36" s="203" t="s">
        <v>490</v>
      </c>
      <c r="C36" s="210">
        <f>SUMIF('Monthly Detail'!$3:$3, '2025 Overview (Accrual Basis)'!C$11, 'Monthly Detail'!45:45)/2</f>
        <v>1500</v>
      </c>
      <c r="D36" s="210">
        <f>SUMIF('Monthly Detail'!$3:$3, '2025 Overview (Accrual Basis)'!D$11, 'Monthly Detail'!45:45)/2</f>
        <v>1500</v>
      </c>
      <c r="E36" s="210">
        <f>SUMIF('Monthly Detail'!$3:$3, '2025 Overview (Accrual Basis)'!E$11, 'Monthly Detail'!45:45)/2</f>
        <v>1500</v>
      </c>
      <c r="F36" s="210">
        <f>SUMIF('Monthly Detail'!$3:$3, '2025 Overview (Accrual Basis)'!F$11, 'Monthly Detail'!45:45)/2</f>
        <v>1500</v>
      </c>
      <c r="G36" s="210">
        <f>SUMIF('Monthly Detail'!$3:$3, '2025 Overview (Accrual Basis)'!G$11, 'Monthly Detail'!45:45)/2</f>
        <v>1500</v>
      </c>
      <c r="H36" s="209">
        <f>SUMIF('Monthly Detail'!$3:$3, '2025 Overview (Accrual Basis)'!H$11, 'Monthly Detail'!45:45)/2</f>
        <v>1500</v>
      </c>
      <c r="I36" s="210">
        <f>SUMIF('Monthly Detail'!$3:$3, '2025 Overview (Accrual Basis)'!I$11, 'Monthly Detail'!45:45)/2</f>
        <v>1500</v>
      </c>
      <c r="J36" s="210">
        <f>SUMIF('Monthly Detail'!$3:$3, '2025 Overview (Accrual Basis)'!J$11, 'Monthly Detail'!45:45)/2</f>
        <v>1500</v>
      </c>
      <c r="K36" s="210">
        <f>SUMIF('Monthly Detail'!$3:$3, '2025 Overview (Accrual Basis)'!K$11, 'Monthly Detail'!45:45)/2</f>
        <v>1500</v>
      </c>
      <c r="L36" s="210">
        <f>SUMIF('Monthly Detail'!$3:$3, '2025 Overview (Accrual Basis)'!L$11, 'Monthly Detail'!45:45)/2</f>
        <v>1500</v>
      </c>
      <c r="M36" s="210">
        <f>SUMIF('Monthly Detail'!$3:$3, '2025 Overview (Accrual Basis)'!M$11, 'Monthly Detail'!45:45)/2</f>
        <v>1500</v>
      </c>
      <c r="N36" s="229">
        <f>SUMIF('Monthly Detail'!$3:$3, '2025 Overview (Accrual Basis)'!N$11, 'Monthly Detail'!45:45)/2</f>
        <v>1500</v>
      </c>
      <c r="O36" s="444"/>
      <c r="P36" s="418">
        <f>+SUM(C36:N36)</f>
        <v>18000</v>
      </c>
    </row>
    <row r="37" spans="2:16" ht="16.5" thickBot="1" x14ac:dyDescent="0.3">
      <c r="B37" s="448" t="s">
        <v>491</v>
      </c>
      <c r="C37" s="449">
        <f>SUMIF('Monthly Detail'!$3:$3, '2025 Overview (Accrual Basis)'!C$11, 'Monthly Detail'!45:45)/2</f>
        <v>1500</v>
      </c>
      <c r="D37" s="449">
        <f>SUMIF('Monthly Detail'!$3:$3, '2025 Overview (Accrual Basis)'!D$11, 'Monthly Detail'!45:45)/2</f>
        <v>1500</v>
      </c>
      <c r="E37" s="449">
        <f>SUMIF('Monthly Detail'!$3:$3, '2025 Overview (Accrual Basis)'!E$11, 'Monthly Detail'!45:45)/2</f>
        <v>1500</v>
      </c>
      <c r="F37" s="449">
        <f>SUMIF('Monthly Detail'!$3:$3, '2025 Overview (Accrual Basis)'!F$11, 'Monthly Detail'!45:45)/2</f>
        <v>1500</v>
      </c>
      <c r="G37" s="449">
        <f>SUMIF('Monthly Detail'!$3:$3, '2025 Overview (Accrual Basis)'!G$11, 'Monthly Detail'!45:45)/2</f>
        <v>1500</v>
      </c>
      <c r="H37" s="733">
        <f>SUMIF('Monthly Detail'!$3:$3, '2025 Overview (Accrual Basis)'!H$11, 'Monthly Detail'!45:45)/2</f>
        <v>1500</v>
      </c>
      <c r="I37" s="449">
        <f>SUMIF('Monthly Detail'!$3:$3, '2025 Overview (Accrual Basis)'!I$11, 'Monthly Detail'!45:45)/2</f>
        <v>1500</v>
      </c>
      <c r="J37" s="449">
        <f>SUMIF('Monthly Detail'!$3:$3, '2025 Overview (Accrual Basis)'!J$11, 'Monthly Detail'!45:45)/2</f>
        <v>1500</v>
      </c>
      <c r="K37" s="449">
        <f>SUMIF('Monthly Detail'!$3:$3, '2025 Overview (Accrual Basis)'!K$11, 'Monthly Detail'!45:45)/2</f>
        <v>1500</v>
      </c>
      <c r="L37" s="449">
        <f>SUMIF('Monthly Detail'!$3:$3, '2025 Overview (Accrual Basis)'!L$11, 'Monthly Detail'!45:45)/2</f>
        <v>1500</v>
      </c>
      <c r="M37" s="449">
        <f>SUMIF('Monthly Detail'!$3:$3, '2025 Overview (Accrual Basis)'!M$11, 'Monthly Detail'!45:45)/2</f>
        <v>1500</v>
      </c>
      <c r="N37" s="450">
        <f>SUMIF('Monthly Detail'!$3:$3, '2025 Overview (Accrual Basis)'!N$11, 'Monthly Detail'!45:45)/2</f>
        <v>1500</v>
      </c>
      <c r="O37" s="451"/>
      <c r="P37" s="452">
        <f>+SUM(C37:N37)</f>
        <v>18000</v>
      </c>
    </row>
    <row r="38" spans="2:16" ht="15" customHeight="1" thickBot="1" x14ac:dyDescent="0.3">
      <c r="B38" s="198"/>
      <c r="N38" s="154"/>
      <c r="O38" s="442"/>
      <c r="P38" s="453"/>
    </row>
    <row r="39" spans="2:16" ht="22.9" customHeight="1" x14ac:dyDescent="0.25">
      <c r="B39" s="64" t="s">
        <v>156</v>
      </c>
      <c r="C39" s="65">
        <f>SUMIF('Monthly Detail'!$3:$3, '2025 Overview (Accrual Basis)'!C$11, 'Monthly Detail'!195:195)</f>
        <v>52403.930000000037</v>
      </c>
      <c r="D39" s="134">
        <f>SUMIF('Monthly Detail'!$3:$3, '2025 Overview (Accrual Basis)'!D$11, 'Monthly Detail'!195:195)</f>
        <v>32391.59000000004</v>
      </c>
      <c r="E39" s="65">
        <f>SUMIF('Monthly Detail'!$3:$3, '2025 Overview (Accrual Basis)'!E$11, 'Monthly Detail'!195:195)</f>
        <v>34495.210000000036</v>
      </c>
      <c r="F39" s="134">
        <f>SUMIF('Monthly Detail'!$3:$3, '2025 Overview (Accrual Basis)'!F$11, 'Monthly Detail'!195:195)</f>
        <v>26183.010000000038</v>
      </c>
      <c r="G39" s="134">
        <f>SUMIF('Monthly Detail'!$3:$3, '2025 Overview (Accrual Basis)'!G$11, 'Monthly Detail'!195:195)</f>
        <v>102852.75000000004</v>
      </c>
      <c r="H39" s="134">
        <f>SUMIF('Monthly Detail'!$3:$3, '2025 Overview (Accrual Basis)'!H$11, 'Monthly Detail'!195:195)</f>
        <v>92697.910000000062</v>
      </c>
      <c r="I39" s="65">
        <f>SUMIF('Monthly Detail'!$3:$3, '2025 Overview (Accrual Basis)'!I$11, 'Monthly Detail'!195:195)</f>
        <v>25292.840502980311</v>
      </c>
      <c r="J39" s="134">
        <f>SUMIF('Monthly Detail'!$3:$3, '2025 Overview (Accrual Basis)'!J$11, 'Monthly Detail'!195:195)</f>
        <v>19558.486480577219</v>
      </c>
      <c r="K39" s="65">
        <f>SUMIF('Monthly Detail'!$3:$3, '2025 Overview (Accrual Basis)'!K$11, 'Monthly Detail'!195:195)</f>
        <v>9293.6509461461828</v>
      </c>
      <c r="L39" s="65">
        <f>SUMIF('Monthly Detail'!$3:$3, '2025 Overview (Accrual Basis)'!L$11, 'Monthly Detail'!195:195)</f>
        <v>1457.1420867717461</v>
      </c>
      <c r="M39" s="65">
        <f>SUMIF('Monthly Detail'!$3:$3, '2025 Overview (Accrual Basis)'!M$11, 'Monthly Detail'!195:195)</f>
        <v>246044.12542485868</v>
      </c>
      <c r="N39" s="435">
        <f>SUMIF('Monthly Detail'!$3:$3, '2025 Overview (Accrual Basis)'!N$11, 'Monthly Detail'!195:195)</f>
        <v>237868.01771474344</v>
      </c>
      <c r="O39" s="442"/>
      <c r="P39" s="773" t="s">
        <v>448</v>
      </c>
    </row>
    <row r="40" spans="2:16" x14ac:dyDescent="0.25">
      <c r="B40" s="430" t="s">
        <v>445</v>
      </c>
      <c r="C40" s="431">
        <f>+C39+SUM('Monthly Detail'!AN85:AP85)</f>
        <v>-51905.529999999955</v>
      </c>
      <c r="D40" s="431">
        <f>+D39+SUM('Monthly Detail'!AO85:AQ85)</f>
        <v>-29076.22999999996</v>
      </c>
      <c r="E40" s="431">
        <f>+E39+SUM('Monthly Detail'!AP85:AR85)</f>
        <v>-5023.8099999999686</v>
      </c>
      <c r="F40" s="431">
        <f>+F39+SUM('Monthly Detail'!AQ85:AS85)</f>
        <v>-75202.369999999966</v>
      </c>
      <c r="G40" s="431">
        <f>+G39+SUM('Monthly Detail'!AR85:AT85)</f>
        <v>5461.510000000053</v>
      </c>
      <c r="H40" s="431">
        <f>+H39+SUM('Monthly Detail'!AS85:AU85)</f>
        <v>-9119.719999999943</v>
      </c>
      <c r="I40" s="431">
        <f>+I39+SUM('Monthly Detail'!AT85:AV85)</f>
        <v>-19312.859497019694</v>
      </c>
      <c r="J40" s="431">
        <f>+J39+SUM('Monthly Detail'!AU85:AW85)</f>
        <v>-23923.213519422785</v>
      </c>
      <c r="K40" s="431">
        <f>+K39+SUM('Monthly Detail'!AV85:AX85)</f>
        <v>-34646.839053853822</v>
      </c>
      <c r="L40" s="431">
        <f>+L39+SUM('Monthly Detail'!AW85:AY85)</f>
        <v>-48975.177790995287</v>
      </c>
      <c r="M40" s="431">
        <f>+M39+SUM('Monthly Detail'!AX85:AZ85)</f>
        <v>171723.02743871571</v>
      </c>
      <c r="N40" s="437">
        <f>+N39+SUM('Monthly Detail'!AY85:BA85)</f>
        <v>117288.35495872214</v>
      </c>
      <c r="O40" s="442"/>
      <c r="P40" s="773"/>
    </row>
    <row r="41" spans="2:16" ht="15.75" thickBot="1" x14ac:dyDescent="0.3">
      <c r="B41" s="66" t="s">
        <v>446</v>
      </c>
      <c r="C41" s="464">
        <f>+C39/-SUM('Monthly Detail'!AN85:AP85)</f>
        <v>0.5023890450588091</v>
      </c>
      <c r="D41" s="464">
        <f>+D39/-SUM('Monthly Detail'!AO85:AQ85)</f>
        <v>0.5269682575370338</v>
      </c>
      <c r="E41" s="464">
        <f>+E39/-SUM('Monthly Detail'!AP85:AR85)</f>
        <v>0.8728761492567384</v>
      </c>
      <c r="F41" s="464">
        <f>+F39/-SUM('Monthly Detail'!AQ85:AS85)</f>
        <v>0.2582523239544009</v>
      </c>
      <c r="G41" s="464">
        <f>+G39/-SUM('Monthly Detail'!AR85:AT85)</f>
        <v>1.0560780415158495</v>
      </c>
      <c r="H41" s="464">
        <f>+H39/-SUM('Monthly Detail'!AS85:AU85)</f>
        <v>0.91043083599569208</v>
      </c>
      <c r="I41" s="464">
        <f>+I39/-SUM('Monthly Detail'!AT85:AV85)</f>
        <v>0.56703157899058432</v>
      </c>
      <c r="J41" s="464">
        <f>+J39/-SUM('Monthly Detail'!AU85:AW85)</f>
        <v>0.44980960911319517</v>
      </c>
      <c r="K41" s="464">
        <f>+K39/-SUM('Monthly Detail'!AV85:AX85)</f>
        <v>0.21150540073964086</v>
      </c>
      <c r="L41" s="464">
        <f>+L39/-SUM('Monthly Detail'!AW85:AY85)</f>
        <v>2.8893021187671435E-2</v>
      </c>
      <c r="M41" s="464">
        <f>+M39/-SUM('Monthly Detail'!AX85:AZ85)</f>
        <v>3.3105555769740262</v>
      </c>
      <c r="N41" s="464">
        <f>+N39/-SUM('Monthly Detail'!AY85:BA85)</f>
        <v>1.9727042875882084</v>
      </c>
      <c r="O41" s="447"/>
      <c r="P41" s="773"/>
    </row>
    <row r="42" spans="2:16" x14ac:dyDescent="0.25">
      <c r="B42" s="419" t="s">
        <v>157</v>
      </c>
      <c r="C42" s="283">
        <f>SUMIF('Monthly Detail'!$3:$3, '2025 Overview (Accrual Basis)'!C$11, 'Monthly Detail'!192:192)</f>
        <v>12817.340000000015</v>
      </c>
      <c r="D42" s="282">
        <f>SUMIF('Monthly Detail'!$3:$3, '2025 Overview (Accrual Basis)'!D$11, 'Monthly Detail'!192:192)</f>
        <v>-20012.339999999997</v>
      </c>
      <c r="E42" s="283">
        <f>SUMIF('Monthly Detail'!$3:$3, '2025 Overview (Accrual Basis)'!E$11, 'Monthly Detail'!192:192)</f>
        <v>2103.6199999999953</v>
      </c>
      <c r="F42" s="282">
        <f>SUMIF('Monthly Detail'!$3:$3, '2025 Overview (Accrual Basis)'!F$11, 'Monthly Detail'!192:192)</f>
        <v>-8312.1999999999989</v>
      </c>
      <c r="G42" s="282">
        <f>SUMIF('Monthly Detail'!$3:$3, '2025 Overview (Accrual Basis)'!G$11, 'Monthly Detail'!192:192)</f>
        <v>76669.740000000005</v>
      </c>
      <c r="H42" s="282">
        <f>SUMIF('Monthly Detail'!$3:$3, '2025 Overview (Accrual Basis)'!H$11, 'Monthly Detail'!192:192)</f>
        <v>-10154.839999999989</v>
      </c>
      <c r="I42" s="283">
        <f>SUMIF('Monthly Detail'!$3:$3, '2025 Overview (Accrual Basis)'!I$11, 'Monthly Detail'!192:192)</f>
        <v>-67405.069497019751</v>
      </c>
      <c r="J42" s="282">
        <f>SUMIF('Monthly Detail'!$3:$3, '2025 Overview (Accrual Basis)'!J$11, 'Monthly Detail'!192:192)</f>
        <v>-5734.3540224030912</v>
      </c>
      <c r="K42" s="283">
        <f>SUMIF('Monthly Detail'!$3:$3, '2025 Overview (Accrual Basis)'!K$11, 'Monthly Detail'!192:192)</f>
        <v>-10264.835534431037</v>
      </c>
      <c r="L42" s="283">
        <f>SUMIF('Monthly Detail'!$3:$3, '2025 Overview (Accrual Basis)'!L$11, 'Monthly Detail'!192:192)</f>
        <v>-7836.5088593744367</v>
      </c>
      <c r="M42" s="283">
        <f>SUMIF('Monthly Detail'!$3:$3, '2025 Overview (Accrual Basis)'!M$11, 'Monthly Detail'!192:192)</f>
        <v>244586.98333808692</v>
      </c>
      <c r="N42" s="436">
        <f>SUMIF('Monthly Detail'!$3:$3, '2025 Overview (Accrual Basis)'!N$11, 'Monthly Detail'!192:192)</f>
        <v>-8176.1077101152368</v>
      </c>
      <c r="O42" s="442"/>
      <c r="P42" s="773"/>
    </row>
    <row r="43" spans="2:16" x14ac:dyDescent="0.25">
      <c r="B43" s="430" t="s">
        <v>569</v>
      </c>
      <c r="C43" s="431">
        <f>SUMIF('Monthly Detail'!$3:$3, '2025 Overview (Accrual Basis)'!C$11, 'Monthly Detail'!107:107)</f>
        <v>51984.670000000006</v>
      </c>
      <c r="D43" s="431">
        <f>SUMIF('Monthly Detail'!$3:$3, '2025 Overview (Accrual Basis)'!D$11, 'Monthly Detail'!107:107)</f>
        <v>31984.329999999998</v>
      </c>
      <c r="E43" s="431">
        <f>SUMIF('Monthly Detail'!$3:$3, '2025 Overview (Accrual Basis)'!E$11, 'Monthly Detail'!107:107)</f>
        <v>34099.949999999997</v>
      </c>
      <c r="F43" s="431">
        <f>SUMIF('Monthly Detail'!$3:$3, '2025 Overview (Accrual Basis)'!F$11, 'Monthly Detail'!107:107)</f>
        <v>26110.75</v>
      </c>
      <c r="G43" s="431">
        <f>SUMIF('Monthly Detail'!$3:$3, '2025 Overview (Accrual Basis)'!G$11, 'Monthly Detail'!107:107)</f>
        <v>20292.490000000005</v>
      </c>
      <c r="H43" s="431">
        <f>SUMIF('Monthly Detail'!$3:$3, '2025 Overview (Accrual Basis)'!H$11, 'Monthly Detail'!107:107)</f>
        <v>35137.65</v>
      </c>
      <c r="I43" s="431">
        <f>SUMIF('Monthly Detail'!$3:$3, '2025 Overview (Accrual Basis)'!I$11, 'Monthly Detail'!107:107)</f>
        <v>-32267.41949701975</v>
      </c>
      <c r="J43" s="431">
        <f>SUMIF('Monthly Detail'!$3:$3, '2025 Overview (Accrual Basis)'!J$11, 'Monthly Detail'!107:107)</f>
        <v>-26489.721519422837</v>
      </c>
      <c r="K43" s="431">
        <f>SUMIF('Monthly Detail'!$3:$3, '2025 Overview (Accrual Basis)'!K$11, 'Monthly Detail'!107:107)</f>
        <v>-27544.915453853871</v>
      </c>
      <c r="L43" s="431">
        <f>SUMIF('Monthly Detail'!$3:$3, '2025 Overview (Accrual Basis)'!L$11, 'Monthly Detail'!107:107)</f>
        <v>-23493.481155461282</v>
      </c>
      <c r="M43" s="431">
        <f>SUMIF('Monthly Detail'!$3:$3, '2025 Overview (Accrual Basis)'!M$11, 'Monthly Detail'!107:107)</f>
        <v>106250.36398388186</v>
      </c>
      <c r="N43" s="437">
        <f>SUMIF('Monthly Detail'!$3:$3, '2025 Overview (Accrual Basis)'!N$11, 'Monthly Detail'!107:107)</f>
        <v>98074.25627376663</v>
      </c>
      <c r="O43" s="442"/>
      <c r="P43" s="773"/>
    </row>
    <row r="44" spans="2:16" ht="15.75" thickBot="1" x14ac:dyDescent="0.3">
      <c r="B44" s="66" t="s">
        <v>571</v>
      </c>
      <c r="C44" s="464">
        <f>+C43/-SUM('Monthly Detail'!AN85:AP85)</f>
        <v>0.4983696588976686</v>
      </c>
      <c r="D44" s="464">
        <f>+D43/-SUM('Monthly Detail'!AO85:AQ85)</f>
        <v>0.52034267686734292</v>
      </c>
      <c r="E44" s="464">
        <f>+E43/-SUM('Monthly Detail'!AP85:AR85)</f>
        <v>0.86287438301860708</v>
      </c>
      <c r="F44" s="464">
        <f>+F43/-SUM('Monthly Detail'!AQ85:AS85)</f>
        <v>0.25753959791835862</v>
      </c>
      <c r="G44" s="464">
        <f>+G43/-SUM('Monthly Detail'!AR85:AT85)</f>
        <v>0.20836052605963337</v>
      </c>
      <c r="H44" s="464">
        <f>+H43/-SUM('Monthly Detail'!AS85:AU85)</f>
        <v>0.34510378998214747</v>
      </c>
      <c r="I44" s="464">
        <f>+I43/-SUM('Monthly Detail'!AT85:AV85)</f>
        <v>-0.72339229060455834</v>
      </c>
      <c r="J44" s="464">
        <f>+J43/-SUM('Monthly Detail'!AU85:AW85)</f>
        <v>-0.60921540600810997</v>
      </c>
      <c r="K44" s="464">
        <f>+K43/-SUM('Monthly Detail'!AV85:AX85)</f>
        <v>-0.62686864561259714</v>
      </c>
      <c r="L44" s="464">
        <f>+L43/-SUM('Monthly Detail'!AW85:AY85)</f>
        <v>-0.46584176996819704</v>
      </c>
      <c r="M44" s="464">
        <f>+M43/-SUM('Monthly Detail'!AX85:AZ85)</f>
        <v>1.4296124097048735</v>
      </c>
      <c r="N44" s="464">
        <f>+N43/-SUM('Monthly Detail'!AY85:BA85)</f>
        <v>0.81335653154220788</v>
      </c>
      <c r="P44" s="773"/>
    </row>
    <row r="45" spans="2:16" x14ac:dyDescent="0.25">
      <c r="B45" s="77"/>
      <c r="E45" s="9"/>
      <c r="P45" s="78"/>
    </row>
    <row r="46" spans="2:16" x14ac:dyDescent="0.25">
      <c r="B46" s="77"/>
      <c r="P46" s="78"/>
    </row>
    <row r="47" spans="2:16" x14ac:dyDescent="0.25">
      <c r="B47" s="77"/>
      <c r="P47" s="78"/>
    </row>
    <row r="48" spans="2:16" x14ac:dyDescent="0.25">
      <c r="B48" s="77"/>
      <c r="P48" s="78"/>
    </row>
    <row r="49" spans="2:16" x14ac:dyDescent="0.25">
      <c r="B49" s="77"/>
      <c r="P49" s="78"/>
    </row>
    <row r="50" spans="2:16" x14ac:dyDescent="0.25">
      <c r="B50" s="77"/>
      <c r="P50" s="78"/>
    </row>
    <row r="51" spans="2:16" x14ac:dyDescent="0.25">
      <c r="B51" s="77"/>
      <c r="P51" s="78"/>
    </row>
    <row r="52" spans="2:16" x14ac:dyDescent="0.25">
      <c r="B52" s="77"/>
      <c r="P52" s="78"/>
    </row>
    <row r="53" spans="2:16" x14ac:dyDescent="0.25">
      <c r="B53" s="77"/>
      <c r="P53" s="78"/>
    </row>
    <row r="54" spans="2:16" x14ac:dyDescent="0.25">
      <c r="B54" s="77"/>
      <c r="P54" s="78"/>
    </row>
    <row r="55" spans="2:16" x14ac:dyDescent="0.25">
      <c r="B55" s="77"/>
      <c r="P55" s="78"/>
    </row>
    <row r="56" spans="2:16" x14ac:dyDescent="0.25">
      <c r="B56" s="77"/>
      <c r="P56" s="78"/>
    </row>
    <row r="57" spans="2:16" x14ac:dyDescent="0.25">
      <c r="B57" s="77"/>
      <c r="P57" s="78"/>
    </row>
    <row r="58" spans="2:16" x14ac:dyDescent="0.25">
      <c r="B58" s="77"/>
      <c r="P58" s="78"/>
    </row>
    <row r="59" spans="2:16" x14ac:dyDescent="0.25">
      <c r="B59" s="77"/>
      <c r="P59" s="78"/>
    </row>
    <row r="60" spans="2:16" x14ac:dyDescent="0.25">
      <c r="B60" s="77"/>
      <c r="P60" s="78"/>
    </row>
    <row r="61" spans="2:16" x14ac:dyDescent="0.25">
      <c r="B61" s="77"/>
      <c r="P61" s="78"/>
    </row>
    <row r="62" spans="2:16" ht="215.45" customHeight="1" thickBot="1" x14ac:dyDescent="0.3">
      <c r="B62" s="86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9"/>
    </row>
    <row r="68" spans="4:4" x14ac:dyDescent="0.25">
      <c r="D68" s="9"/>
    </row>
  </sheetData>
  <mergeCells count="2">
    <mergeCell ref="B8:P8"/>
    <mergeCell ref="P39:P44"/>
  </mergeCells>
  <conditionalFormatting sqref="C39:N41">
    <cfRule type="cellIs" dxfId="4" priority="3" operator="lessThan">
      <formula>0</formula>
    </cfRule>
  </conditionalFormatting>
  <conditionalFormatting sqref="C43:N44">
    <cfRule type="cellIs" dxfId="3" priority="1" operator="less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8CD0-6D13-4D3D-8046-E3320F14E91E}">
  <sheetPr>
    <tabColor theme="1"/>
    <pageSetUpPr fitToPage="1"/>
  </sheetPr>
  <dimension ref="B1:S65"/>
  <sheetViews>
    <sheetView workbookViewId="0"/>
  </sheetViews>
  <sheetFormatPr defaultRowHeight="15" x14ac:dyDescent="0.25"/>
  <cols>
    <col min="2" max="2" width="46.28515625" bestFit="1" customWidth="1"/>
    <col min="3" max="3" width="18" bestFit="1" customWidth="1"/>
    <col min="4" max="5" width="18.28515625" bestFit="1" customWidth="1"/>
    <col min="6" max="6" width="18" bestFit="1" customWidth="1"/>
    <col min="7" max="8" width="18.28515625" bestFit="1" customWidth="1"/>
    <col min="9" max="9" width="17.7109375" bestFit="1" customWidth="1"/>
    <col min="10" max="10" width="18" bestFit="1" customWidth="1"/>
    <col min="11" max="13" width="18.28515625" bestFit="1" customWidth="1"/>
    <col min="14" max="14" width="19.42578125" bestFit="1" customWidth="1"/>
    <col min="15" max="15" width="0.42578125" customWidth="1"/>
    <col min="16" max="16" width="22.28515625" customWidth="1"/>
  </cols>
  <sheetData>
    <row r="1" spans="2:16" x14ac:dyDescent="0.25">
      <c r="B1" s="7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x14ac:dyDescent="0.25">
      <c r="B2" s="77"/>
      <c r="P2" s="78"/>
    </row>
    <row r="3" spans="2:16" x14ac:dyDescent="0.25">
      <c r="B3" s="77"/>
      <c r="P3" s="78"/>
    </row>
    <row r="4" spans="2:16" x14ac:dyDescent="0.25">
      <c r="B4" s="77"/>
      <c r="P4" s="78"/>
    </row>
    <row r="5" spans="2:16" x14ac:dyDescent="0.25">
      <c r="B5" s="77"/>
      <c r="P5" s="78"/>
    </row>
    <row r="6" spans="2:16" x14ac:dyDescent="0.25">
      <c r="B6" s="77"/>
      <c r="P6" s="78"/>
    </row>
    <row r="7" spans="2:16" x14ac:dyDescent="0.25">
      <c r="B7" s="77"/>
      <c r="P7" s="78"/>
    </row>
    <row r="8" spans="2:16" ht="23.25" x14ac:dyDescent="0.35">
      <c r="B8" s="768" t="s">
        <v>450</v>
      </c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70"/>
    </row>
    <row r="9" spans="2:16" ht="15.75" thickBot="1" x14ac:dyDescent="0.3">
      <c r="B9" s="77"/>
      <c r="P9" s="78"/>
    </row>
    <row r="10" spans="2:16" ht="15.75" x14ac:dyDescent="0.25">
      <c r="B10" s="457"/>
      <c r="C10" s="458" t="str">
        <f>TEXT('Monthly Detail'!D3,"mmmm")</f>
        <v>January</v>
      </c>
      <c r="D10" s="458" t="str">
        <f>TEXT('Monthly Detail'!E3,"mmmm")</f>
        <v>February</v>
      </c>
      <c r="E10" s="458" t="str">
        <f>TEXT('Monthly Detail'!F3,"mmmm")</f>
        <v>March</v>
      </c>
      <c r="F10" s="458" t="str">
        <f>TEXT('Monthly Detail'!G3,"mmmm")</f>
        <v>April</v>
      </c>
      <c r="G10" s="458" t="str">
        <f>TEXT('Monthly Detail'!H3,"mmmm")</f>
        <v>May</v>
      </c>
      <c r="H10" s="465" t="str">
        <f>TEXT('Monthly Detail'!I3,"mmmm")</f>
        <v>June</v>
      </c>
      <c r="I10" s="458" t="str">
        <f>TEXT('Monthly Detail'!J3,"mmmm")</f>
        <v>July</v>
      </c>
      <c r="J10" s="465" t="str">
        <f>TEXT('Monthly Detail'!K3,"mmmm")</f>
        <v>August</v>
      </c>
      <c r="K10" s="458" t="str">
        <f>TEXT('Monthly Detail'!L3,"mmmm")</f>
        <v>September</v>
      </c>
      <c r="L10" s="458" t="str">
        <f>TEXT('Monthly Detail'!M3,"mmmm")</f>
        <v>October</v>
      </c>
      <c r="M10" s="458" t="str">
        <f>TEXT('Monthly Detail'!N3,"mmmm")</f>
        <v>November</v>
      </c>
      <c r="N10" s="458" t="str">
        <f>TEXT('Monthly Detail'!O3,"mmmm")</f>
        <v>December</v>
      </c>
      <c r="O10" s="459"/>
      <c r="P10" s="460" t="s">
        <v>0</v>
      </c>
    </row>
    <row r="11" spans="2:16" x14ac:dyDescent="0.25">
      <c r="B11" s="198"/>
      <c r="C11" s="72">
        <v>45322</v>
      </c>
      <c r="D11" s="72">
        <v>45351</v>
      </c>
      <c r="E11" s="72">
        <v>45382</v>
      </c>
      <c r="F11" s="7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  <c r="P11" s="78"/>
    </row>
    <row r="12" spans="2:16" x14ac:dyDescent="0.25">
      <c r="B12" s="199" t="s">
        <v>227</v>
      </c>
      <c r="C12" s="54">
        <f>SUMIF('Monthly Detail'!$3:$3, '2024 Overview (Accrual Basis)'!C$11, 'Monthly Detail'!6:6)</f>
        <v>0</v>
      </c>
      <c r="D12" s="54">
        <f>SUMIF('Monthly Detail'!$3:$3, '2024 Overview (Accrual Basis)'!D$11, 'Monthly Detail'!6:6)</f>
        <v>112500</v>
      </c>
      <c r="E12" s="54">
        <f>SUMIF('Monthly Detail'!$3:$3, '2024 Overview (Accrual Basis)'!E$11, 'Monthly Detail'!6:6)</f>
        <v>112500</v>
      </c>
      <c r="F12" s="54">
        <f>SUMIF('Monthly Detail'!$3:$3, '2024 Overview (Accrual Basis)'!F$11, 'Monthly Detail'!6:6)</f>
        <v>0</v>
      </c>
      <c r="G12" s="54">
        <f>SUMIF('Monthly Detail'!$3:$3, '2024 Overview (Accrual Basis)'!G$11, 'Monthly Detail'!6:6)</f>
        <v>76995</v>
      </c>
      <c r="H12" s="54">
        <f>SUMIF('Monthly Detail'!$3:$3, '2024 Overview (Accrual Basis)'!H$11, 'Monthly Detail'!6:6)</f>
        <v>0</v>
      </c>
      <c r="I12" s="54">
        <f>SUMIF('Monthly Detail'!$3:$3, '2024 Overview (Accrual Basis)'!I$11, 'Monthly Detail'!11:11)</f>
        <v>0</v>
      </c>
      <c r="J12" s="54">
        <f>SUMIF('Monthly Detail'!$3:$3, '2024 Overview (Accrual Basis)'!J$11, 'Monthly Detail'!11:11)</f>
        <v>0</v>
      </c>
      <c r="K12" s="54">
        <f>SUMIF('Monthly Detail'!$3:$3, '2024 Overview (Accrual Basis)'!K$11, 'Monthly Detail'!11:11)</f>
        <v>0</v>
      </c>
      <c r="L12" s="54">
        <f>SUMIF('Monthly Detail'!$3:$3, '2024 Overview (Accrual Basis)'!L$11, 'Monthly Detail'!11:11)</f>
        <v>0</v>
      </c>
      <c r="M12" s="54">
        <f>SUMIF('Monthly Detail'!$3:$3, '2024 Overview (Accrual Basis)'!M$11, 'Monthly Detail'!11:11)</f>
        <v>0</v>
      </c>
      <c r="N12" s="54">
        <f>SUMIF('Monthly Detail'!$3:$3, '2024 Overview (Accrual Basis)'!N$11, 'Monthly Detail'!11:11)</f>
        <v>0</v>
      </c>
      <c r="O12" s="54"/>
      <c r="P12" s="409">
        <f>SUM(C12:O12)</f>
        <v>301995</v>
      </c>
    </row>
    <row r="13" spans="2:16" x14ac:dyDescent="0.25">
      <c r="B13" s="199" t="s">
        <v>355</v>
      </c>
      <c r="C13" s="54">
        <f>SUMIF('Monthly Detail'!$3:$3, '2024 Overview (Accrual Basis)'!C$11, 'Monthly Detail'!7:7)</f>
        <v>0</v>
      </c>
      <c r="D13" s="54">
        <f>SUMIF('Monthly Detail'!$3:$3, '2024 Overview (Accrual Basis)'!D$11, 'Monthly Detail'!7:7)</f>
        <v>0</v>
      </c>
      <c r="E13" s="54">
        <f>SUMIF('Monthly Detail'!$3:$3, '2024 Overview (Accrual Basis)'!E$11, 'Monthly Detail'!7:7)</f>
        <v>0</v>
      </c>
      <c r="F13" s="54">
        <f>SUMIF('Monthly Detail'!$3:$3, '2024 Overview (Accrual Basis)'!F$11, 'Monthly Detail'!7:7)</f>
        <v>0</v>
      </c>
      <c r="G13" s="54">
        <f>SUMIF('Monthly Detail'!$3:$3, '2024 Overview (Accrual Basis)'!G$11, 'Monthly Detail'!7:7)</f>
        <v>5464.32</v>
      </c>
      <c r="H13" s="54">
        <f>SUMIF('Monthly Detail'!$3:$3, '2024 Overview (Accrual Basis)'!H$11, 'Monthly Detail'!7:7)</f>
        <v>10928.64</v>
      </c>
      <c r="I13" s="54">
        <f>SUMIF('Monthly Detail'!$3:$3, '2024 Overview (Accrual Basis)'!I$11, 'Monthly Detail'!12:12)</f>
        <v>700</v>
      </c>
      <c r="J13" s="54">
        <f>SUMIF('Monthly Detail'!$3:$3, '2024 Overview (Accrual Basis)'!J$11, 'Monthly Detail'!12:12)</f>
        <v>45897</v>
      </c>
      <c r="K13" s="54">
        <f>SUMIF('Monthly Detail'!$3:$3, '2024 Overview (Accrual Basis)'!K$11, 'Monthly Detail'!12:12)</f>
        <v>49010.3</v>
      </c>
      <c r="L13" s="54">
        <f>SUMIF('Monthly Detail'!$3:$3, '2024 Overview (Accrual Basis)'!L$11, 'Monthly Detail'!12:12)</f>
        <v>24753.5</v>
      </c>
      <c r="M13" s="54">
        <f>SUMIF('Monthly Detail'!$3:$3, '2024 Overview (Accrual Basis)'!M$11, 'Monthly Detail'!12:12)</f>
        <v>23117.99</v>
      </c>
      <c r="N13" s="54">
        <f>SUMIF('Monthly Detail'!$3:$3, '2024 Overview (Accrual Basis)'!N$11, 'Monthly Detail'!12:12)</f>
        <v>77453.3</v>
      </c>
      <c r="O13" s="54"/>
      <c r="P13" s="409">
        <f>SUM(C13:O13)</f>
        <v>237325.05</v>
      </c>
    </row>
    <row r="14" spans="2:16" x14ac:dyDescent="0.25">
      <c r="B14" s="199" t="s">
        <v>517</v>
      </c>
      <c r="C14" s="54">
        <f>SUMIF('Monthly Detail'!$3:$3, '2024 Overview (Accrual Basis)'!C$11, 'Monthly Detail'!8:8)</f>
        <v>0</v>
      </c>
      <c r="D14" s="54">
        <f>SUMIF('Monthly Detail'!$3:$3, '2024 Overview (Accrual Basis)'!D$11, 'Monthly Detail'!8:8)</f>
        <v>0</v>
      </c>
      <c r="E14" s="54">
        <f>SUMIF('Monthly Detail'!$3:$3, '2024 Overview (Accrual Basis)'!E$11, 'Monthly Detail'!8:8)</f>
        <v>0</v>
      </c>
      <c r="F14" s="54">
        <f>SUMIF('Monthly Detail'!$3:$3, '2024 Overview (Accrual Basis)'!F$11, 'Monthly Detail'!8:8)</f>
        <v>0</v>
      </c>
      <c r="G14" s="54">
        <f>SUMIF('Monthly Detail'!$3:$3, '2024 Overview (Accrual Basis)'!G$11, 'Monthly Detail'!8:8)</f>
        <v>0</v>
      </c>
      <c r="H14" s="54">
        <f>SUMIF('Monthly Detail'!$3:$3, '2024 Overview (Accrual Basis)'!H$11, 'Monthly Detail'!8:8)</f>
        <v>0</v>
      </c>
      <c r="I14" s="54">
        <f>SUMIF('Monthly Detail'!$3:$3, '2024 Overview (Accrual Basis)'!I$11, 'Monthly Detail'!8:8)</f>
        <v>0</v>
      </c>
      <c r="J14" s="54">
        <f>SUMIF('Monthly Detail'!$3:$3, '2024 Overview (Accrual Basis)'!J$11, 'Monthly Detail'!8:8)</f>
        <v>0</v>
      </c>
      <c r="K14" s="54">
        <f>SUMIF('Monthly Detail'!$3:$3, '2024 Overview (Accrual Basis)'!K$11, 'Monthly Detail'!8:8)</f>
        <v>0</v>
      </c>
      <c r="L14" s="54">
        <f>SUMIF('Monthly Detail'!$3:$3, '2024 Overview (Accrual Basis)'!L$11, 'Monthly Detail'!8:8)</f>
        <v>0</v>
      </c>
      <c r="M14" s="54">
        <f>SUMIF('Monthly Detail'!$3:$3, '2024 Overview (Accrual Basis)'!M$11, 'Monthly Detail'!8:8)</f>
        <v>0</v>
      </c>
      <c r="N14" s="54">
        <f>SUMIF('Monthly Detail'!$3:$3, '2024 Overview (Accrual Basis)'!N$11, 'Monthly Detail'!8:8)</f>
        <v>3534</v>
      </c>
      <c r="O14" s="54"/>
      <c r="P14" s="409">
        <f>SUM(C14:O14)</f>
        <v>3534</v>
      </c>
    </row>
    <row r="15" spans="2:16" x14ac:dyDescent="0.25">
      <c r="B15" s="200" t="s">
        <v>289</v>
      </c>
      <c r="C15" s="55">
        <f t="shared" ref="C15:N15" si="0">SUM(C12:C14)</f>
        <v>0</v>
      </c>
      <c r="D15" s="55">
        <f t="shared" si="0"/>
        <v>112500</v>
      </c>
      <c r="E15" s="55">
        <f t="shared" si="0"/>
        <v>112500</v>
      </c>
      <c r="F15" s="55">
        <f t="shared" si="0"/>
        <v>0</v>
      </c>
      <c r="G15" s="55">
        <f t="shared" si="0"/>
        <v>82459.320000000007</v>
      </c>
      <c r="H15" s="55">
        <f t="shared" si="0"/>
        <v>10928.64</v>
      </c>
      <c r="I15" s="55">
        <f t="shared" si="0"/>
        <v>700</v>
      </c>
      <c r="J15" s="55">
        <f t="shared" si="0"/>
        <v>45897</v>
      </c>
      <c r="K15" s="55">
        <f t="shared" si="0"/>
        <v>49010.3</v>
      </c>
      <c r="L15" s="55">
        <f t="shared" si="0"/>
        <v>24753.5</v>
      </c>
      <c r="M15" s="55">
        <f t="shared" si="0"/>
        <v>23117.99</v>
      </c>
      <c r="N15" s="272">
        <f t="shared" si="0"/>
        <v>80987.3</v>
      </c>
      <c r="O15" s="56"/>
      <c r="P15" s="506">
        <f>SUM(P12:P14)</f>
        <v>542854.05000000005</v>
      </c>
    </row>
    <row r="16" spans="2:16" x14ac:dyDescent="0.25">
      <c r="B16" s="498" t="s">
        <v>493</v>
      </c>
      <c r="C16" s="530">
        <f>SUMIF('Monthly Detail'!$3:$3, '2024 Overview (Accrual Basis)'!C$11, 'Monthly Detail'!13:13)</f>
        <v>0</v>
      </c>
      <c r="D16" s="530">
        <f>SUMIF('Monthly Detail'!$3:$3, '2024 Overview (Accrual Basis)'!D$11, 'Monthly Detail'!13:13)</f>
        <v>0</v>
      </c>
      <c r="E16" s="530">
        <f>SUMIF('Monthly Detail'!$3:$3, '2024 Overview (Accrual Basis)'!E$11, 'Monthly Detail'!13:13)</f>
        <v>1</v>
      </c>
      <c r="F16" s="530">
        <f>SUMIF('Monthly Detail'!$3:$3, '2024 Overview (Accrual Basis)'!F$11, 'Monthly Detail'!13:13)</f>
        <v>0</v>
      </c>
      <c r="G16" s="530">
        <f>SUMIF('Monthly Detail'!$3:$3, '2024 Overview (Accrual Basis)'!G$11, 'Monthly Detail'!13:13)</f>
        <v>2</v>
      </c>
      <c r="H16" s="530">
        <f>SUMIF('Monthly Detail'!$3:$3, '2024 Overview (Accrual Basis)'!H$11, 'Monthly Detail'!13:13)</f>
        <v>0</v>
      </c>
      <c r="I16" s="530">
        <f>SUMIF('Monthly Detail'!$3:$3, '2024 Overview (Accrual Basis)'!I$11, 'Monthly Detail'!13:13)</f>
        <v>1</v>
      </c>
      <c r="J16" s="530">
        <f>SUMIF('Monthly Detail'!$3:$3, '2024 Overview (Accrual Basis)'!J$11, 'Monthly Detail'!13:13)</f>
        <v>4</v>
      </c>
      <c r="K16" s="530">
        <f>SUMIF('Monthly Detail'!$3:$3, '2024 Overview (Accrual Basis)'!K$11, 'Monthly Detail'!13:13)</f>
        <v>2</v>
      </c>
      <c r="L16" s="530">
        <f>SUMIF('Monthly Detail'!$3:$3, '2024 Overview (Accrual Basis)'!L$11, 'Monthly Detail'!13:13)</f>
        <v>3</v>
      </c>
      <c r="M16" s="530">
        <f>SUMIF('Monthly Detail'!$3:$3, '2024 Overview (Accrual Basis)'!M$11, 'Monthly Detail'!13:13)</f>
        <v>1</v>
      </c>
      <c r="N16" s="531">
        <f>SUMIF('Monthly Detail'!$3:$3, '2024 Overview (Accrual Basis)'!N$11, 'Monthly Detail'!13:13)</f>
        <v>1</v>
      </c>
      <c r="O16" s="56"/>
      <c r="P16" s="532">
        <f>+SUM(C16:N16)</f>
        <v>15</v>
      </c>
    </row>
    <row r="17" spans="2:19" ht="3.6" customHeight="1" x14ac:dyDescent="0.25">
      <c r="B17" s="499"/>
      <c r="C17" s="500"/>
      <c r="D17" s="500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2"/>
      <c r="P17" s="501"/>
    </row>
    <row r="18" spans="2:19" hidden="1" x14ac:dyDescent="0.25">
      <c r="B18" s="199" t="s">
        <v>350</v>
      </c>
      <c r="C18" s="57">
        <f>SUMIF('Monthly Detail'!$3:$3, '2024 Overview (Accrual Basis)'!C$11, 'Monthly Detail'!23:23)</f>
        <v>0</v>
      </c>
      <c r="D18" s="57">
        <f>SUMIF('Monthly Detail'!$3:$3, '2024 Overview (Accrual Basis)'!D$11, 'Monthly Detail'!23:23)</f>
        <v>0</v>
      </c>
      <c r="E18" s="57">
        <f>SUMIF('Monthly Detail'!$3:$3, '2024 Overview (Accrual Basis)'!E$11, 'Monthly Detail'!23:23)</f>
        <v>0</v>
      </c>
      <c r="F18" s="57">
        <f>SUMIF('Monthly Detail'!$3:$3, '2024 Overview (Accrual Basis)'!F$11, 'Monthly Detail'!23:23)</f>
        <v>0</v>
      </c>
      <c r="G18" s="57">
        <f>SUMIF('Monthly Detail'!$3:$3, '2024 Overview (Accrual Basis)'!G$11, 'Monthly Detail'!23:23)</f>
        <v>0</v>
      </c>
      <c r="H18" s="57">
        <f>SUMIF('Monthly Detail'!$3:$3, '2024 Overview (Accrual Basis)'!H$11, 'Monthly Detail'!23:23)</f>
        <v>0</v>
      </c>
      <c r="I18" s="57">
        <f>SUMIF('Monthly Detail'!$3:$3, '2024 Overview (Accrual Basis)'!I$11, 'Monthly Detail'!23:23)</f>
        <v>0</v>
      </c>
      <c r="J18" s="57">
        <f>SUMIF('Monthly Detail'!$3:$3, '2024 Overview (Accrual Basis)'!J$11, 'Monthly Detail'!23:23)</f>
        <v>0</v>
      </c>
      <c r="K18" s="57">
        <f>SUMIF('Monthly Detail'!$3:$3, '2024 Overview (Accrual Basis)'!K$11, 'Monthly Detail'!23:23)</f>
        <v>0</v>
      </c>
      <c r="L18" s="57">
        <f>SUMIF('Monthly Detail'!$3:$3, '2024 Overview (Accrual Basis)'!L$11, 'Monthly Detail'!23:23)</f>
        <v>0</v>
      </c>
      <c r="M18" s="57">
        <f>SUMIF('Monthly Detail'!$3:$3, '2024 Overview (Accrual Basis)'!M$11, 'Monthly Detail'!23:23)</f>
        <v>0</v>
      </c>
      <c r="N18" s="57">
        <f>SUMIF('Monthly Detail'!$3:$3, '2024 Overview (Accrual Basis)'!N$11, 'Monthly Detail'!23:23)</f>
        <v>0</v>
      </c>
      <c r="P18" s="412">
        <f>SUM(C18:O18)</f>
        <v>0</v>
      </c>
    </row>
    <row r="19" spans="2:19" x14ac:dyDescent="0.25">
      <c r="B19" s="199" t="s">
        <v>351</v>
      </c>
      <c r="C19" s="57">
        <f>SUMIF('Monthly Detail'!$3:$3, '2024 Overview (Accrual Basis)'!C$11, 'Monthly Detail'!24:24)</f>
        <v>9331.41</v>
      </c>
      <c r="D19" s="57">
        <f>SUMIF('Monthly Detail'!$3:$3, '2024 Overview (Accrual Basis)'!D$11, 'Monthly Detail'!24:24)</f>
        <v>11043.19</v>
      </c>
      <c r="E19" s="57">
        <f>SUMIF('Monthly Detail'!$3:$3, '2024 Overview (Accrual Basis)'!E$11, 'Monthly Detail'!24:24)</f>
        <v>12624.47</v>
      </c>
      <c r="F19" s="57">
        <f>SUMIF('Monthly Detail'!$3:$3, '2024 Overview (Accrual Basis)'!F$11, 'Monthly Detail'!24:24)</f>
        <v>2249.58</v>
      </c>
      <c r="G19" s="57">
        <f>SUMIF('Monthly Detail'!$3:$3, '2024 Overview (Accrual Basis)'!G$11, 'Monthly Detail'!24:24)</f>
        <v>1056.1600000000001</v>
      </c>
      <c r="H19" s="57">
        <f>SUMIF('Monthly Detail'!$3:$3, '2024 Overview (Accrual Basis)'!H$11, 'Monthly Detail'!24:24)</f>
        <v>9369.24</v>
      </c>
      <c r="I19" s="57">
        <f>SUMIF('Monthly Detail'!$3:$3, '2024 Overview (Accrual Basis)'!I$11, 'Monthly Detail'!24:24)</f>
        <v>1419</v>
      </c>
      <c r="J19" s="57">
        <f>SUMIF('Monthly Detail'!$3:$3, '2024 Overview (Accrual Basis)'!J$11, 'Monthly Detail'!24:24)</f>
        <v>75</v>
      </c>
      <c r="K19" s="57">
        <f>SUMIF('Monthly Detail'!$3:$3, '2024 Overview (Accrual Basis)'!K$11, 'Monthly Detail'!24:24)</f>
        <v>9411.4699999999993</v>
      </c>
      <c r="L19" s="57">
        <f>SUMIF('Monthly Detail'!$3:$3, '2024 Overview (Accrual Basis)'!L$11, 'Monthly Detail'!24:24)</f>
        <v>83.38</v>
      </c>
      <c r="M19" s="57">
        <f>SUMIF('Monthly Detail'!$3:$3, '2024 Overview (Accrual Basis)'!M$11, 'Monthly Detail'!24:24)</f>
        <v>0</v>
      </c>
      <c r="N19" s="57">
        <f>SUMIF('Monthly Detail'!$3:$3, '2024 Overview (Accrual Basis)'!N$11, 'Monthly Detail'!24:24)</f>
        <v>1041.3499999999999</v>
      </c>
      <c r="P19" s="412">
        <f t="shared" ref="P19:P21" si="1">SUM(C19:O19)</f>
        <v>57704.25</v>
      </c>
    </row>
    <row r="20" spans="2:19" x14ac:dyDescent="0.25">
      <c r="B20" s="199" t="s">
        <v>352</v>
      </c>
      <c r="C20" s="57">
        <f>SUMIF('Monthly Detail'!$3:$3, '2024 Overview (Accrual Basis)'!C$11, 'Monthly Detail'!25:25)</f>
        <v>56252.97</v>
      </c>
      <c r="D20" s="57">
        <f>SUMIF('Monthly Detail'!$3:$3, '2024 Overview (Accrual Basis)'!D$11, 'Monthly Detail'!25:25)</f>
        <v>2687.55</v>
      </c>
      <c r="E20" s="57">
        <f>SUMIF('Monthly Detail'!$3:$3, '2024 Overview (Accrual Basis)'!E$11, 'Monthly Detail'!25:25)</f>
        <v>92525.62</v>
      </c>
      <c r="F20" s="57">
        <f>SUMIF('Monthly Detail'!$3:$3, '2024 Overview (Accrual Basis)'!F$11, 'Monthly Detail'!25:25)</f>
        <v>22100.17</v>
      </c>
      <c r="G20" s="57">
        <f>SUMIF('Monthly Detail'!$3:$3, '2024 Overview (Accrual Basis)'!G$11, 'Monthly Detail'!25:25)</f>
        <v>22336</v>
      </c>
      <c r="H20" s="57">
        <f>SUMIF('Monthly Detail'!$3:$3, '2024 Overview (Accrual Basis)'!H$11, 'Monthly Detail'!25:25)</f>
        <v>14367</v>
      </c>
      <c r="I20" s="57">
        <f>SUMIF('Monthly Detail'!$3:$3, '2024 Overview (Accrual Basis)'!I$11, 'Monthly Detail'!25:25)</f>
        <v>880</v>
      </c>
      <c r="J20" s="57">
        <f>SUMIF('Monthly Detail'!$3:$3, '2024 Overview (Accrual Basis)'!J$11, 'Monthly Detail'!25:25)</f>
        <v>0</v>
      </c>
      <c r="K20" s="57">
        <f>SUMIF('Monthly Detail'!$3:$3, '2024 Overview (Accrual Basis)'!K$11, 'Monthly Detail'!25:25)</f>
        <v>0</v>
      </c>
      <c r="L20" s="57">
        <f>SUMIF('Monthly Detail'!$3:$3, '2024 Overview (Accrual Basis)'!L$11, 'Monthly Detail'!25:25)</f>
        <v>0</v>
      </c>
      <c r="M20" s="57">
        <f>SUMIF('Monthly Detail'!$3:$3, '2024 Overview (Accrual Basis)'!M$11, 'Monthly Detail'!25:25)</f>
        <v>0</v>
      </c>
      <c r="N20" s="57">
        <f>SUMIF('Monthly Detail'!$3:$3, '2024 Overview (Accrual Basis)'!N$11, 'Monthly Detail'!25:25)</f>
        <v>0</v>
      </c>
      <c r="P20" s="412">
        <f t="shared" si="1"/>
        <v>211149.31</v>
      </c>
    </row>
    <row r="21" spans="2:19" x14ac:dyDescent="0.25">
      <c r="B21" s="199" t="s">
        <v>353</v>
      </c>
      <c r="C21" s="57">
        <f>SUMIF('Monthly Detail'!$3:$3, '2024 Overview (Accrual Basis)'!C$11, 'Monthly Detail'!26:26)</f>
        <v>0</v>
      </c>
      <c r="D21" s="57">
        <f>SUMIF('Monthly Detail'!$3:$3, '2024 Overview (Accrual Basis)'!D$11, 'Monthly Detail'!26:26)</f>
        <v>0</v>
      </c>
      <c r="E21" s="57">
        <f>SUMIF('Monthly Detail'!$3:$3, '2024 Overview (Accrual Basis)'!E$11, 'Monthly Detail'!26:26)</f>
        <v>0</v>
      </c>
      <c r="F21" s="57">
        <f>SUMIF('Monthly Detail'!$3:$3, '2024 Overview (Accrual Basis)'!F$11, 'Monthly Detail'!26:26)</f>
        <v>0</v>
      </c>
      <c r="G21" s="57">
        <f>SUMIF('Monthly Detail'!$3:$3, '2024 Overview (Accrual Basis)'!G$11, 'Monthly Detail'!26:26)</f>
        <v>735</v>
      </c>
      <c r="H21" s="57">
        <f>SUMIF('Monthly Detail'!$3:$3, '2024 Overview (Accrual Basis)'!H$11, 'Monthly Detail'!26:26)</f>
        <v>11876</v>
      </c>
      <c r="I21" s="57">
        <f>SUMIF('Monthly Detail'!$3:$3, '2024 Overview (Accrual Basis)'!I$11, 'Monthly Detail'!26:26)</f>
        <v>600</v>
      </c>
      <c r="J21" s="57">
        <f>SUMIF('Monthly Detail'!$3:$3, '2024 Overview (Accrual Basis)'!J$11, 'Monthly Detail'!26:26)</f>
        <v>39200</v>
      </c>
      <c r="K21" s="57">
        <f>SUMIF('Monthly Detail'!$3:$3, '2024 Overview (Accrual Basis)'!K$11, 'Monthly Detail'!26:26)</f>
        <v>26774</v>
      </c>
      <c r="L21" s="57">
        <f>SUMIF('Monthly Detail'!$3:$3, '2024 Overview (Accrual Basis)'!L$11, 'Monthly Detail'!26:26)</f>
        <v>19166</v>
      </c>
      <c r="M21" s="57">
        <f>SUMIF('Monthly Detail'!$3:$3, '2024 Overview (Accrual Basis)'!M$11, 'Monthly Detail'!26:26)</f>
        <v>23286</v>
      </c>
      <c r="N21" s="57">
        <f>SUMIF('Monthly Detail'!$3:$3, '2024 Overview (Accrual Basis)'!N$11, 'Monthly Detail'!26:26)</f>
        <v>74443.42</v>
      </c>
      <c r="P21" s="412">
        <f t="shared" si="1"/>
        <v>196080.41999999998</v>
      </c>
    </row>
    <row r="22" spans="2:19" ht="15.75" x14ac:dyDescent="0.25">
      <c r="B22" s="202" t="s">
        <v>354</v>
      </c>
      <c r="C22" s="69">
        <f t="shared" ref="C22:N22" si="2">C15-SUM(C18:C21)</f>
        <v>-65584.38</v>
      </c>
      <c r="D22" s="69">
        <f t="shared" si="2"/>
        <v>98769.26</v>
      </c>
      <c r="E22" s="69">
        <f t="shared" si="2"/>
        <v>7349.9100000000035</v>
      </c>
      <c r="F22" s="69">
        <f t="shared" si="2"/>
        <v>-24349.75</v>
      </c>
      <c r="G22" s="69">
        <f t="shared" si="2"/>
        <v>58332.160000000003</v>
      </c>
      <c r="H22" s="69">
        <f t="shared" si="2"/>
        <v>-24683.599999999999</v>
      </c>
      <c r="I22" s="69">
        <f t="shared" si="2"/>
        <v>-2199</v>
      </c>
      <c r="J22" s="69">
        <f t="shared" si="2"/>
        <v>6622</v>
      </c>
      <c r="K22" s="69">
        <f t="shared" si="2"/>
        <v>12824.830000000002</v>
      </c>
      <c r="L22" s="69">
        <f t="shared" si="2"/>
        <v>5504.119999999999</v>
      </c>
      <c r="M22" s="69">
        <f t="shared" si="2"/>
        <v>-168.0099999999984</v>
      </c>
      <c r="N22" s="223">
        <f t="shared" si="2"/>
        <v>5502.5299999999988</v>
      </c>
      <c r="O22" s="275"/>
      <c r="P22" s="507">
        <f>P15-SUM(P18:P21)</f>
        <v>77920.070000000065</v>
      </c>
    </row>
    <row r="23" spans="2:19" x14ac:dyDescent="0.25">
      <c r="B23" s="203" t="s">
        <v>366</v>
      </c>
      <c r="C23" s="71">
        <f t="shared" ref="C23:N23" si="3">+IFERROR((C12-SUM(C18:C20))/C12, 0)</f>
        <v>0</v>
      </c>
      <c r="D23" s="71">
        <f t="shared" si="3"/>
        <v>0.87794897777777769</v>
      </c>
      <c r="E23" s="71">
        <f t="shared" si="3"/>
        <v>6.5332533333333359E-2</v>
      </c>
      <c r="F23" s="71">
        <f t="shared" si="3"/>
        <v>0</v>
      </c>
      <c r="G23" s="71">
        <f t="shared" si="3"/>
        <v>0.69618598610299365</v>
      </c>
      <c r="H23" s="71">
        <f t="shared" si="3"/>
        <v>0</v>
      </c>
      <c r="I23" s="71">
        <f t="shared" si="3"/>
        <v>0</v>
      </c>
      <c r="J23" s="71">
        <f t="shared" si="3"/>
        <v>0</v>
      </c>
      <c r="K23" s="71">
        <f t="shared" si="3"/>
        <v>0</v>
      </c>
      <c r="L23" s="71">
        <f t="shared" si="3"/>
        <v>0</v>
      </c>
      <c r="M23" s="71">
        <f t="shared" si="3"/>
        <v>0</v>
      </c>
      <c r="N23" s="225">
        <f t="shared" si="3"/>
        <v>0</v>
      </c>
      <c r="O23" s="7"/>
      <c r="P23" s="508">
        <f>((P12-SUM(P18:P20))/P12)</f>
        <v>0.10974168446497459</v>
      </c>
    </row>
    <row r="24" spans="2:19" x14ac:dyDescent="0.25">
      <c r="B24" s="503" t="s">
        <v>367</v>
      </c>
      <c r="C24" s="504">
        <f t="shared" ref="C24:N24" si="4">+IFERROR((C13-C21)/C13, 0)</f>
        <v>0</v>
      </c>
      <c r="D24" s="504">
        <f t="shared" si="4"/>
        <v>0</v>
      </c>
      <c r="E24" s="504">
        <f t="shared" si="4"/>
        <v>0</v>
      </c>
      <c r="F24" s="504">
        <f t="shared" si="4"/>
        <v>0</v>
      </c>
      <c r="G24" s="504">
        <f t="shared" si="4"/>
        <v>0.86549104005621924</v>
      </c>
      <c r="H24" s="504">
        <f t="shared" si="4"/>
        <v>-8.6685992035605591E-2</v>
      </c>
      <c r="I24" s="504">
        <f t="shared" si="4"/>
        <v>0.14285714285714285</v>
      </c>
      <c r="J24" s="504">
        <f t="shared" si="4"/>
        <v>0.14591367627513782</v>
      </c>
      <c r="K24" s="504">
        <f>+IFERROR((K13-K21)/K13, 0)</f>
        <v>0.45370666982246594</v>
      </c>
      <c r="L24" s="504">
        <f t="shared" si="4"/>
        <v>0.22572565495788474</v>
      </c>
      <c r="M24" s="504">
        <f t="shared" si="4"/>
        <v>-7.267500331992461E-3</v>
      </c>
      <c r="N24" s="505">
        <f t="shared" si="4"/>
        <v>3.886057792243848E-2</v>
      </c>
      <c r="O24" s="7"/>
      <c r="P24" s="509">
        <f>((P13-P21))/P13</f>
        <v>0.17378961892139075</v>
      </c>
    </row>
    <row r="25" spans="2:19" x14ac:dyDescent="0.25">
      <c r="B25" s="198"/>
      <c r="P25" s="78"/>
    </row>
    <row r="26" spans="2:19" x14ac:dyDescent="0.25">
      <c r="B26" s="198" t="s">
        <v>375</v>
      </c>
      <c r="C26" s="54">
        <f>SUMIF('Monthly Detail'!$3:$3, '2024 Overview (Accrual Basis)'!C$11, 'Monthly Detail'!$42:$42)</f>
        <v>0</v>
      </c>
      <c r="D26" s="54">
        <f>SUMIF('Monthly Detail'!$3:$3, '2024 Overview (Accrual Basis)'!D$11, 'Monthly Detail'!$42:$42)</f>
        <v>2489.27</v>
      </c>
      <c r="E26" s="54">
        <f>SUMIF('Monthly Detail'!$3:$3, '2024 Overview (Accrual Basis)'!E$11, 'Monthly Detail'!$42:$42)</f>
        <v>0</v>
      </c>
      <c r="F26" s="54">
        <f>SUMIF('Monthly Detail'!$3:$3, '2024 Overview (Accrual Basis)'!F$11, 'Monthly Detail'!$42:$42)</f>
        <v>0</v>
      </c>
      <c r="G26" s="54">
        <f>SUMIF('Monthly Detail'!$3:$3, '2024 Overview (Accrual Basis)'!G$11, 'Monthly Detail'!$42:$42)</f>
        <v>108.38</v>
      </c>
      <c r="H26" s="54">
        <f>SUMIF('Monthly Detail'!$3:$3, '2024 Overview (Accrual Basis)'!H$11, 'Monthly Detail'!$42:$42)</f>
        <v>600</v>
      </c>
      <c r="I26" s="54">
        <f>SUMIF('Monthly Detail'!$3:$3, '2024 Overview (Accrual Basis)'!I$11, 'Monthly Detail'!$42:$42)</f>
        <v>0</v>
      </c>
      <c r="J26" s="54">
        <f>SUMIF('Monthly Detail'!$3:$3, '2024 Overview (Accrual Basis)'!J$11, 'Monthly Detail'!$42:$42)</f>
        <v>1899</v>
      </c>
      <c r="K26" s="54">
        <f>SUMIF('Monthly Detail'!$3:$3, '2024 Overview (Accrual Basis)'!K$11, 'Monthly Detail'!$42:$42)</f>
        <v>35</v>
      </c>
      <c r="L26" s="54">
        <f>SUMIF('Monthly Detail'!$3:$3, '2024 Overview (Accrual Basis)'!L$11, 'Monthly Detail'!$42:$42)</f>
        <v>1200.6599999999999</v>
      </c>
      <c r="M26" s="54">
        <f>SUMIF('Monthly Detail'!$3:$3, '2024 Overview (Accrual Basis)'!M$11, 'Monthly Detail'!$42:$42)</f>
        <v>12.4</v>
      </c>
      <c r="N26" s="54">
        <f>SUMIF('Monthly Detail'!$3:$3, '2024 Overview (Accrual Basis)'!N$11, 'Monthly Detail'!$42:$42)</f>
        <v>0</v>
      </c>
      <c r="P26" s="409">
        <f>SUM(C26:O26)</f>
        <v>6344.7099999999991</v>
      </c>
    </row>
    <row r="27" spans="2:19" x14ac:dyDescent="0.25">
      <c r="B27" s="198" t="s">
        <v>376</v>
      </c>
      <c r="C27" s="54">
        <f>SUMIF('Monthly Detail'!$3:$3, '2024 Overview (Accrual Basis)'!C$11, 'Monthly Detail'!$78:$78)</f>
        <v>1735.88</v>
      </c>
      <c r="D27" s="54">
        <f>SUMIF('Monthly Detail'!$3:$3, '2024 Overview (Accrual Basis)'!D$11, 'Monthly Detail'!$78:$78)</f>
        <v>4033.27</v>
      </c>
      <c r="E27" s="54">
        <f>SUMIF('Monthly Detail'!$3:$3, '2024 Overview (Accrual Basis)'!E$11, 'Monthly Detail'!$78:$78)</f>
        <v>1614.19</v>
      </c>
      <c r="F27" s="54">
        <f>SUMIF('Monthly Detail'!$3:$3, '2024 Overview (Accrual Basis)'!F$11, 'Monthly Detail'!$78:$78)</f>
        <v>4507.3599999999997</v>
      </c>
      <c r="G27" s="54">
        <f>SUMIF('Monthly Detail'!$3:$3, '2024 Overview (Accrual Basis)'!G$11, 'Monthly Detail'!$78:$78)</f>
        <v>5191.57</v>
      </c>
      <c r="H27" s="54">
        <f>SUMIF('Monthly Detail'!$3:$3, '2024 Overview (Accrual Basis)'!H$11, 'Monthly Detail'!$78:$78)</f>
        <v>5215.9499999999989</v>
      </c>
      <c r="I27" s="54">
        <f>SUMIF('Monthly Detail'!$3:$3, '2024 Overview (Accrual Basis)'!I$11, 'Monthly Detail'!$78:$78)</f>
        <v>3100.88</v>
      </c>
      <c r="J27" s="54">
        <f>SUMIF('Monthly Detail'!$3:$3, '2024 Overview (Accrual Basis)'!J$11, 'Monthly Detail'!$78:$78)</f>
        <v>2842.8500000000004</v>
      </c>
      <c r="K27" s="54">
        <f>SUMIF('Monthly Detail'!$3:$3, '2024 Overview (Accrual Basis)'!K$11, 'Monthly Detail'!$78:$78)</f>
        <v>2224.09</v>
      </c>
      <c r="L27" s="54">
        <f>SUMIF('Monthly Detail'!$3:$3, '2024 Overview (Accrual Basis)'!L$11, 'Monthly Detail'!$78:$78)</f>
        <v>2746.76</v>
      </c>
      <c r="M27" s="54">
        <f>SUMIF('Monthly Detail'!$3:$3, '2024 Overview (Accrual Basis)'!M$11, 'Monthly Detail'!$78:$78)</f>
        <v>2402.13</v>
      </c>
      <c r="N27" s="54">
        <f>SUMIF('Monthly Detail'!$3:$3, '2024 Overview (Accrual Basis)'!N$11, 'Monthly Detail'!$78:$78)</f>
        <v>5770.49</v>
      </c>
      <c r="P27" s="409">
        <f>SUM(C27:O27)</f>
        <v>41385.42</v>
      </c>
      <c r="S27" s="1"/>
    </row>
    <row r="28" spans="2:19" x14ac:dyDescent="0.25">
      <c r="B28" s="512" t="s">
        <v>151</v>
      </c>
      <c r="C28" s="513">
        <f>SUM(C26:C27)</f>
        <v>1735.88</v>
      </c>
      <c r="D28" s="513">
        <f t="shared" ref="D28:N28" si="5">SUM(D26:D27)</f>
        <v>6522.54</v>
      </c>
      <c r="E28" s="513">
        <f t="shared" si="5"/>
        <v>1614.19</v>
      </c>
      <c r="F28" s="513">
        <f t="shared" si="5"/>
        <v>4507.3599999999997</v>
      </c>
      <c r="G28" s="513">
        <f t="shared" si="5"/>
        <v>5299.95</v>
      </c>
      <c r="H28" s="513">
        <f t="shared" si="5"/>
        <v>5815.9499999999989</v>
      </c>
      <c r="I28" s="513">
        <f t="shared" si="5"/>
        <v>3100.88</v>
      </c>
      <c r="J28" s="513">
        <f t="shared" si="5"/>
        <v>4741.8500000000004</v>
      </c>
      <c r="K28" s="513">
        <f t="shared" si="5"/>
        <v>2259.09</v>
      </c>
      <c r="L28" s="513">
        <f t="shared" si="5"/>
        <v>3947.42</v>
      </c>
      <c r="M28" s="513">
        <f t="shared" si="5"/>
        <v>2414.5300000000002</v>
      </c>
      <c r="N28" s="514">
        <f t="shared" si="5"/>
        <v>5770.49</v>
      </c>
      <c r="O28" s="277"/>
      <c r="P28" s="510">
        <f>SUM(P26:P27)</f>
        <v>47730.13</v>
      </c>
    </row>
    <row r="29" spans="2:19" ht="6" customHeight="1" x14ac:dyDescent="0.25">
      <c r="B29" s="198"/>
      <c r="P29" s="78"/>
    </row>
    <row r="30" spans="2:19" ht="15.75" x14ac:dyDescent="0.25">
      <c r="B30" s="202" t="s">
        <v>152</v>
      </c>
      <c r="C30" s="69">
        <f t="shared" ref="C30:N30" si="6">C22-C28</f>
        <v>-67320.260000000009</v>
      </c>
      <c r="D30" s="69">
        <f t="shared" si="6"/>
        <v>92246.720000000001</v>
      </c>
      <c r="E30" s="69">
        <f t="shared" si="6"/>
        <v>5735.720000000003</v>
      </c>
      <c r="F30" s="69">
        <f t="shared" si="6"/>
        <v>-28857.11</v>
      </c>
      <c r="G30" s="69">
        <f t="shared" si="6"/>
        <v>53032.210000000006</v>
      </c>
      <c r="H30" s="69">
        <f t="shared" si="6"/>
        <v>-30499.549999999996</v>
      </c>
      <c r="I30" s="69">
        <f t="shared" si="6"/>
        <v>-5299.88</v>
      </c>
      <c r="J30" s="69">
        <f t="shared" si="6"/>
        <v>1880.1499999999996</v>
      </c>
      <c r="K30" s="69">
        <f t="shared" si="6"/>
        <v>10565.740000000002</v>
      </c>
      <c r="L30" s="69">
        <f t="shared" si="6"/>
        <v>1556.6999999999989</v>
      </c>
      <c r="M30" s="69">
        <f t="shared" si="6"/>
        <v>-2582.5399999999986</v>
      </c>
      <c r="N30" s="223">
        <f t="shared" si="6"/>
        <v>-267.96000000000095</v>
      </c>
      <c r="O30" s="275"/>
      <c r="P30" s="507">
        <f>P22-P28</f>
        <v>30189.940000000068</v>
      </c>
    </row>
    <row r="31" spans="2:19" x14ac:dyDescent="0.25">
      <c r="B31" s="503" t="s">
        <v>153</v>
      </c>
      <c r="C31" s="504">
        <f t="shared" ref="C31:N31" si="7">+IFERROR(C30/C15, 0)</f>
        <v>0</v>
      </c>
      <c r="D31" s="504">
        <f t="shared" si="7"/>
        <v>0.81997084444444446</v>
      </c>
      <c r="E31" s="504">
        <f t="shared" si="7"/>
        <v>5.0984177777777806E-2</v>
      </c>
      <c r="F31" s="504">
        <f t="shared" si="7"/>
        <v>0</v>
      </c>
      <c r="G31" s="504">
        <f t="shared" si="7"/>
        <v>0.64313178910522184</v>
      </c>
      <c r="H31" s="504">
        <f t="shared" si="7"/>
        <v>-2.7907909858866242</v>
      </c>
      <c r="I31" s="504">
        <f t="shared" si="7"/>
        <v>-7.5712571428571431</v>
      </c>
      <c r="J31" s="504">
        <f t="shared" si="7"/>
        <v>4.0964551059982125E-2</v>
      </c>
      <c r="K31" s="504">
        <f t="shared" si="7"/>
        <v>0.21558203071599238</v>
      </c>
      <c r="L31" s="504">
        <f t="shared" si="7"/>
        <v>6.2888076433635601E-2</v>
      </c>
      <c r="M31" s="504">
        <f t="shared" si="7"/>
        <v>-0.11171126901603463</v>
      </c>
      <c r="N31" s="505">
        <f t="shared" si="7"/>
        <v>-3.3086669144421527E-3</v>
      </c>
      <c r="O31" s="7"/>
      <c r="P31" s="509">
        <f>P30/P15</f>
        <v>5.561336421824626E-2</v>
      </c>
    </row>
    <row r="32" spans="2:19" x14ac:dyDescent="0.25">
      <c r="B32" s="20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P32" s="416"/>
    </row>
    <row r="33" spans="2:16" x14ac:dyDescent="0.25">
      <c r="B33" s="198" t="s">
        <v>154</v>
      </c>
      <c r="C33" s="108">
        <f>SUMIF('Monthly Detail'!$3:$3, '2024 Overview (Accrual Basis)'!C$11, 'Monthly Detail'!91:91)</f>
        <v>0</v>
      </c>
      <c r="D33" s="108">
        <f>SUMIF('Monthly Detail'!$3:$3, '2024 Overview (Accrual Basis)'!D$11, 'Monthly Detail'!91:91)</f>
        <v>0</v>
      </c>
      <c r="E33" s="108">
        <f>SUMIF('Monthly Detail'!$3:$3, '2024 Overview (Accrual Basis)'!E$11, 'Monthly Detail'!91:91)</f>
        <v>0</v>
      </c>
      <c r="F33" s="108">
        <f>SUMIF('Monthly Detail'!$3:$3, '2024 Overview (Accrual Basis)'!F$11, 'Monthly Detail'!91:91)</f>
        <v>0</v>
      </c>
      <c r="G33" s="108">
        <f>SUMIF('Monthly Detail'!$3:$3, '2024 Overview (Accrual Basis)'!G$11, 'Monthly Detail'!91:91)</f>
        <v>0</v>
      </c>
      <c r="H33" s="108">
        <f>SUMIF('Monthly Detail'!$3:$3, '2024 Overview (Accrual Basis)'!H$11, 'Monthly Detail'!91:91)</f>
        <v>0</v>
      </c>
      <c r="I33" s="108">
        <f>SUMIF('Monthly Detail'!$3:$3, '2024 Overview (Accrual Basis)'!I$11, 'Monthly Detail'!91:91)</f>
        <v>300</v>
      </c>
      <c r="J33" s="108">
        <f>SUMIF('Monthly Detail'!$3:$3, '2024 Overview (Accrual Basis)'!J$11, 'Monthly Detail'!91:91)</f>
        <v>0</v>
      </c>
      <c r="K33" s="108">
        <f>SUMIF('Monthly Detail'!$3:$3, '2024 Overview (Accrual Basis)'!K$11, 'Monthly Detail'!91:91)</f>
        <v>300</v>
      </c>
      <c r="L33" s="108">
        <f>SUMIF('Monthly Detail'!$3:$3, '2024 Overview (Accrual Basis)'!L$11, 'Monthly Detail'!91:91)</f>
        <v>0</v>
      </c>
      <c r="M33" s="108">
        <f>SUMIF('Monthly Detail'!$3:$3, '2024 Overview (Accrual Basis)'!M$11, 'Monthly Detail'!91:91)</f>
        <v>0</v>
      </c>
      <c r="N33" s="108">
        <f>SUMIF('Monthly Detail'!$3:$3, '2024 Overview (Accrual Basis)'!N$11, 'Monthly Detail'!91:91)</f>
        <v>0</v>
      </c>
      <c r="O33" s="108"/>
      <c r="P33" s="417">
        <f>SUM(C33:O33)</f>
        <v>600</v>
      </c>
    </row>
    <row r="34" spans="2:16" ht="15.75" x14ac:dyDescent="0.25">
      <c r="B34" s="202" t="s">
        <v>12</v>
      </c>
      <c r="C34" s="69">
        <f t="shared" ref="C34:N34" si="8">+C30+C33</f>
        <v>-67320.260000000009</v>
      </c>
      <c r="D34" s="69">
        <f t="shared" si="8"/>
        <v>92246.720000000001</v>
      </c>
      <c r="E34" s="69">
        <f t="shared" si="8"/>
        <v>5735.720000000003</v>
      </c>
      <c r="F34" s="69">
        <f t="shared" si="8"/>
        <v>-28857.11</v>
      </c>
      <c r="G34" s="69">
        <f t="shared" si="8"/>
        <v>53032.210000000006</v>
      </c>
      <c r="H34" s="69">
        <f t="shared" si="8"/>
        <v>-30499.549999999996</v>
      </c>
      <c r="I34" s="69">
        <f t="shared" si="8"/>
        <v>-4999.88</v>
      </c>
      <c r="J34" s="69">
        <f t="shared" si="8"/>
        <v>1880.1499999999996</v>
      </c>
      <c r="K34" s="69">
        <f>+K30+K33</f>
        <v>10865.740000000002</v>
      </c>
      <c r="L34" s="69">
        <f t="shared" si="8"/>
        <v>1556.6999999999989</v>
      </c>
      <c r="M34" s="69">
        <f t="shared" si="8"/>
        <v>-2582.5399999999986</v>
      </c>
      <c r="N34" s="223">
        <f t="shared" si="8"/>
        <v>-267.96000000000095</v>
      </c>
      <c r="O34" s="275"/>
      <c r="P34" s="507">
        <f>P30+SUM(P33:P33)</f>
        <v>30789.940000000068</v>
      </c>
    </row>
    <row r="35" spans="2:16" x14ac:dyDescent="0.25">
      <c r="B35" s="203" t="s">
        <v>155</v>
      </c>
      <c r="C35" s="71">
        <f t="shared" ref="C35:N35" si="9">+IFERROR(C34/C15, 0)</f>
        <v>0</v>
      </c>
      <c r="D35" s="71">
        <f t="shared" si="9"/>
        <v>0.81997084444444446</v>
      </c>
      <c r="E35" s="71">
        <f t="shared" si="9"/>
        <v>5.0984177777777806E-2</v>
      </c>
      <c r="F35" s="71">
        <f t="shared" si="9"/>
        <v>0</v>
      </c>
      <c r="G35" s="71">
        <f t="shared" si="9"/>
        <v>0.64313178910522184</v>
      </c>
      <c r="H35" s="71">
        <f t="shared" si="9"/>
        <v>-2.7907909858866242</v>
      </c>
      <c r="I35" s="71">
        <f t="shared" si="9"/>
        <v>-7.1426857142857143</v>
      </c>
      <c r="J35" s="71">
        <f t="shared" si="9"/>
        <v>4.0964551059982125E-2</v>
      </c>
      <c r="K35" s="71">
        <f t="shared" si="9"/>
        <v>0.2217031930022873</v>
      </c>
      <c r="L35" s="71">
        <f t="shared" si="9"/>
        <v>6.2888076433635601E-2</v>
      </c>
      <c r="M35" s="71">
        <f t="shared" si="9"/>
        <v>-0.11171126901603463</v>
      </c>
      <c r="N35" s="225">
        <f t="shared" si="9"/>
        <v>-3.3086669144421527E-3</v>
      </c>
      <c r="O35" s="7"/>
      <c r="P35" s="508">
        <f>P34/P15</f>
        <v>5.6718633673268286E-2</v>
      </c>
    </row>
    <row r="36" spans="2:16" ht="15.75" x14ac:dyDescent="0.25">
      <c r="B36" s="503" t="s">
        <v>226</v>
      </c>
      <c r="C36" s="515">
        <f>+'Monthly Detail'!AB165-'Monthly Detail'!AA165</f>
        <v>0</v>
      </c>
      <c r="D36" s="515">
        <f>+'Monthly Detail'!AC165-'Monthly Detail'!AB165</f>
        <v>-20000</v>
      </c>
      <c r="E36" s="515">
        <f>+'Monthly Detail'!AD165-'Monthly Detail'!AC165</f>
        <v>0</v>
      </c>
      <c r="F36" s="515">
        <f>+'Monthly Detail'!AE165-'Monthly Detail'!AD165</f>
        <v>-50000</v>
      </c>
      <c r="G36" s="515">
        <f>+'Monthly Detail'!AF165-'Monthly Detail'!AE165</f>
        <v>0</v>
      </c>
      <c r="H36" s="515">
        <f>+'Monthly Detail'!AG165-'Monthly Detail'!AF165</f>
        <v>0</v>
      </c>
      <c r="I36" s="515">
        <f>+'Monthly Detail'!AH165-'Monthly Detail'!AG165</f>
        <v>0</v>
      </c>
      <c r="J36" s="515">
        <f>+'Monthly Detail'!AI165-'Monthly Detail'!AH165</f>
        <v>0</v>
      </c>
      <c r="K36" s="515">
        <f>+'Monthly Detail'!AJ165-'Monthly Detail'!AI165</f>
        <v>0</v>
      </c>
      <c r="L36" s="515">
        <f>+'Monthly Detail'!AK165-'Monthly Detail'!AJ165</f>
        <v>0</v>
      </c>
      <c r="M36" s="515">
        <f>+'Monthly Detail'!AL165-'Monthly Detail'!AK165</f>
        <v>0</v>
      </c>
      <c r="N36" s="647">
        <f>+'Monthly Detail'!AM165-'Monthly Detail'!AL165</f>
        <v>-10000</v>
      </c>
      <c r="O36" s="7"/>
      <c r="P36" s="511">
        <f>+SUM(C36:N36)</f>
        <v>-80000</v>
      </c>
    </row>
    <row r="37" spans="2:16" ht="15.75" thickBot="1" x14ac:dyDescent="0.3">
      <c r="B37" s="198"/>
      <c r="P37" s="78"/>
    </row>
    <row r="38" spans="2:16" ht="15.6" customHeight="1" x14ac:dyDescent="0.25">
      <c r="B38" s="64" t="s">
        <v>156</v>
      </c>
      <c r="C38" s="65">
        <f>SUMIF('Monthly Detail'!$3:$3, '2024 Overview (Accrual Basis)'!C$11, 'Monthly Detail'!195:195)</f>
        <v>95197.939999999973</v>
      </c>
      <c r="D38" s="134">
        <f>SUMIF('Monthly Detail'!$3:$3, '2024 Overview (Accrual Basis)'!D$11, 'Monthly Detail'!195:195)</f>
        <v>146721.93</v>
      </c>
      <c r="E38" s="65">
        <f>SUMIF('Monthly Detail'!$3:$3, '2024 Overview (Accrual Basis)'!E$11, 'Monthly Detail'!195:195)</f>
        <v>152555.54</v>
      </c>
      <c r="F38" s="134">
        <f>SUMIF('Monthly Detail'!$3:$3, '2024 Overview (Accrual Basis)'!F$11, 'Monthly Detail'!195:195)</f>
        <v>82418.3</v>
      </c>
      <c r="G38" s="134">
        <f>SUMIF('Monthly Detail'!$3:$3, '2024 Overview (Accrual Basis)'!G$11, 'Monthly Detail'!195:195)</f>
        <v>53728.640000000014</v>
      </c>
      <c r="H38" s="134">
        <f>SUMIF('Monthly Detail'!$3:$3, '2024 Overview (Accrual Basis)'!H$11, 'Monthly Detail'!195:195)</f>
        <v>44539.60000000002</v>
      </c>
      <c r="I38" s="134">
        <f>SUMIF('Monthly Detail'!$3:$3, '2024 Overview (Accrual Basis)'!I$11, 'Monthly Detail'!195:195)</f>
        <v>27299.970000000019</v>
      </c>
      <c r="J38" s="134">
        <f>SUMIF('Monthly Detail'!$3:$3, '2024 Overview (Accrual Basis)'!J$11, 'Monthly Detail'!195:195)</f>
        <v>20509.540000000023</v>
      </c>
      <c r="K38" s="134">
        <f>SUMIF('Monthly Detail'!$3:$3, '2024 Overview (Accrual Basis)'!K$11, 'Monthly Detail'!195:195)</f>
        <v>33266.220000000023</v>
      </c>
      <c r="L38" s="466">
        <f>SUMIF('Monthly Detail'!$3:$3, '2024 Overview (Accrual Basis)'!L$11, 'Monthly Detail'!195:195)</f>
        <v>36575.590000000018</v>
      </c>
      <c r="M38" s="134">
        <f>SUMIF('Monthly Detail'!$3:$3, '2024 Overview (Accrual Basis)'!M$11, 'Monthly Detail'!195:195)</f>
        <v>30135.74000000002</v>
      </c>
      <c r="N38" s="435">
        <f>SUMIF('Monthly Detail'!$3:$3, '2024 Overview (Accrual Basis)'!N$11, 'Monthly Detail'!195:195)</f>
        <v>39586.590000000018</v>
      </c>
      <c r="P38" s="646">
        <f>+P34*0.153</f>
        <v>4710.8608200000099</v>
      </c>
    </row>
    <row r="39" spans="2:16" ht="15.6" customHeight="1" x14ac:dyDescent="0.25">
      <c r="B39" s="419" t="s">
        <v>157</v>
      </c>
      <c r="C39" s="283">
        <f>SUMIF('Monthly Detail'!$3:$3, '2024 Overview (Accrual Basis)'!C$11, 'Monthly Detail'!192:192)</f>
        <v>-99451.290000000008</v>
      </c>
      <c r="D39" s="282">
        <f>SUMIF('Monthly Detail'!$3:$3, '2024 Overview (Accrual Basis)'!D$11, 'Monthly Detail'!192:192)</f>
        <v>51523.990000000005</v>
      </c>
      <c r="E39" s="283">
        <f>SUMIF('Monthly Detail'!$3:$3, '2024 Overview (Accrual Basis)'!E$11, 'Monthly Detail'!192:192)</f>
        <v>5833.6100000000024</v>
      </c>
      <c r="F39" s="282">
        <f>SUMIF('Monthly Detail'!$3:$3, '2024 Overview (Accrual Basis)'!F$11, 'Monthly Detail'!192:192)</f>
        <v>-70137.240000000005</v>
      </c>
      <c r="G39" s="282">
        <f>SUMIF('Monthly Detail'!$3:$3, '2024 Overview (Accrual Basis)'!G$11, 'Monthly Detail'!192:192)</f>
        <v>-28689.659999999989</v>
      </c>
      <c r="H39" s="282">
        <f>SUMIF('Monthly Detail'!$3:$3, '2024 Overview (Accrual Basis)'!H$11, 'Monthly Detail'!192:192)</f>
        <v>-9189.0399999999936</v>
      </c>
      <c r="I39" s="282">
        <f>SUMIF('Monthly Detail'!$3:$3, '2024 Overview (Accrual Basis)'!I$11, 'Monthly Detail'!192:192)</f>
        <v>-17239.63</v>
      </c>
      <c r="J39" s="282">
        <f>SUMIF('Monthly Detail'!$3:$3, '2024 Overview (Accrual Basis)'!J$11, 'Monthly Detail'!192:192)</f>
        <v>-6790.4299999999985</v>
      </c>
      <c r="K39" s="282">
        <f>SUMIF('Monthly Detail'!$3:$3, '2024 Overview (Accrual Basis)'!K$11, 'Monthly Detail'!192:192)</f>
        <v>12756.68</v>
      </c>
      <c r="L39" s="467">
        <f>SUMIF('Monthly Detail'!$3:$3, '2024 Overview (Accrual Basis)'!L$11, 'Monthly Detail'!192:192)</f>
        <v>3309.3699999999972</v>
      </c>
      <c r="M39" s="282">
        <f>SUMIF('Monthly Detail'!$3:$3, '2024 Overview (Accrual Basis)'!M$11, 'Monthly Detail'!192:192)</f>
        <v>-6439.8499999999967</v>
      </c>
      <c r="N39" s="436">
        <f>SUMIF('Monthly Detail'!$3:$3, '2024 Overview (Accrual Basis)'!N$11, 'Monthly Detail'!192:192)</f>
        <v>9450.8499999999985</v>
      </c>
      <c r="O39" s="248"/>
      <c r="P39" s="774" t="s">
        <v>449</v>
      </c>
    </row>
    <row r="40" spans="2:16" ht="15.6" customHeight="1" x14ac:dyDescent="0.25">
      <c r="B40" s="430" t="s">
        <v>445</v>
      </c>
      <c r="C40" s="431">
        <f>+C38+SUM('Monthly Detail'!AB85:AD85)</f>
        <v>-99139.880000000034</v>
      </c>
      <c r="D40" s="431">
        <f>+D38+SUM('Monthly Detail'!AC85:AE85)</f>
        <v>-9152.7399999999907</v>
      </c>
      <c r="E40" s="431">
        <f>+E38+SUM('Monthly Detail'!AD85:AF85)</f>
        <v>-12492.959999999992</v>
      </c>
      <c r="F40" s="431">
        <f>+F38+SUM('Monthly Detail'!AE85:AG85)</f>
        <v>-17294.11</v>
      </c>
      <c r="G40" s="431">
        <f>+G38+SUM('Monthly Detail'!AF85:AH85)</f>
        <v>-23126.539999999979</v>
      </c>
      <c r="H40" s="431">
        <f>+H38+SUM('Monthly Detail'!AG85:AI85)</f>
        <v>-46905.319999999963</v>
      </c>
      <c r="I40" s="431">
        <f>+I38+SUM('Monthly Detail'!AH85:AJ85)</f>
        <v>-61161.319999999978</v>
      </c>
      <c r="J40" s="431">
        <f>+J38+SUM('Monthly Detail'!AI85:AK85)</f>
        <v>-85148.669999999984</v>
      </c>
      <c r="K40" s="431">
        <f>+K38+SUM('Monthly Detail'!AJ85:AL85)</f>
        <v>-54075.669999999976</v>
      </c>
      <c r="L40" s="468">
        <f>+L38+SUM('Monthly Detail'!AK85:AM85)</f>
        <v>-93577</v>
      </c>
      <c r="M40" s="431">
        <f>+M38+SUM('Monthly Detail'!AL85:AN85)</f>
        <v>-139327.72999999998</v>
      </c>
      <c r="N40" s="437">
        <f>+N38+SUM('Monthly Detail'!AM85:AO85)</f>
        <v>-136310.65999999997</v>
      </c>
      <c r="P40" s="775"/>
    </row>
    <row r="41" spans="2:16" ht="16.149999999999999" customHeight="1" thickBot="1" x14ac:dyDescent="0.3">
      <c r="B41" s="66" t="s">
        <v>446</v>
      </c>
      <c r="C41" s="464">
        <f>+C38/-SUM('Monthly Detail'!AB85:AD85)</f>
        <v>0.48985802145974455</v>
      </c>
      <c r="D41" s="464">
        <f>+D38/-SUM('Monthly Detail'!AC85:AE85)</f>
        <v>0.94128141538326915</v>
      </c>
      <c r="E41" s="464">
        <f>+E38/-SUM('Monthly Detail'!AD85:AF85)</f>
        <v>0.92430733996370773</v>
      </c>
      <c r="F41" s="464">
        <f>+F38/-SUM('Monthly Detail'!AE85:AG85)</f>
        <v>0.82656010420367931</v>
      </c>
      <c r="G41" s="464">
        <f>+G38/-SUM('Monthly Detail'!AF85:AH85)</f>
        <v>0.69908937823058925</v>
      </c>
      <c r="H41" s="464">
        <f>+H38/-SUM('Monthly Detail'!AG85:AI85)</f>
        <v>0.48706478172871742</v>
      </c>
      <c r="I41" s="464">
        <f>+I38/-SUM('Monthly Detail'!AH85:AJ85)</f>
        <v>0.30860922331112312</v>
      </c>
      <c r="J41" s="464">
        <f>+J38/-SUM('Monthly Detail'!AI85:AK85)</f>
        <v>0.19411212815360038</v>
      </c>
      <c r="K41" s="464">
        <f>+K38/-SUM('Monthly Detail'!AJ85:AL85)</f>
        <v>0.38087359914011504</v>
      </c>
      <c r="L41" s="469">
        <f>+L38/-SUM('Monthly Detail'!AK85:AM85)</f>
        <v>0.28102083869402839</v>
      </c>
      <c r="M41" s="464">
        <f>+M38/-SUM('Monthly Detail'!AL85:AN85)</f>
        <v>0.17783030171635231</v>
      </c>
      <c r="N41" s="464">
        <f>+N38/-SUM('Monthly Detail'!AM85:AO85)</f>
        <v>0.22505519557582634</v>
      </c>
      <c r="O41" s="88"/>
      <c r="P41" s="776"/>
    </row>
    <row r="42" spans="2:16" x14ac:dyDescent="0.25">
      <c r="B42" s="77"/>
      <c r="E42" s="9"/>
      <c r="P42" s="78"/>
    </row>
    <row r="43" spans="2:16" x14ac:dyDescent="0.25">
      <c r="B43" s="77"/>
      <c r="P43" s="78"/>
    </row>
    <row r="44" spans="2:16" x14ac:dyDescent="0.25">
      <c r="B44" s="77"/>
      <c r="P44" s="78"/>
    </row>
    <row r="45" spans="2:16" x14ac:dyDescent="0.25">
      <c r="B45" s="77"/>
      <c r="P45" s="78"/>
    </row>
    <row r="46" spans="2:16" x14ac:dyDescent="0.25">
      <c r="B46" s="77"/>
      <c r="P46" s="78"/>
    </row>
    <row r="47" spans="2:16" x14ac:dyDescent="0.25">
      <c r="B47" s="77"/>
      <c r="P47" s="78"/>
    </row>
    <row r="48" spans="2:16" x14ac:dyDescent="0.25">
      <c r="B48" s="77"/>
      <c r="P48" s="78"/>
    </row>
    <row r="49" spans="2:16" x14ac:dyDescent="0.25">
      <c r="B49" s="77"/>
      <c r="P49" s="78"/>
    </row>
    <row r="50" spans="2:16" x14ac:dyDescent="0.25">
      <c r="B50" s="77"/>
      <c r="P50" s="78"/>
    </row>
    <row r="51" spans="2:16" x14ac:dyDescent="0.25">
      <c r="B51" s="77"/>
      <c r="P51" s="78"/>
    </row>
    <row r="52" spans="2:16" x14ac:dyDescent="0.25">
      <c r="B52" s="77"/>
      <c r="P52" s="78"/>
    </row>
    <row r="53" spans="2:16" x14ac:dyDescent="0.25">
      <c r="B53" s="77"/>
      <c r="P53" s="78"/>
    </row>
    <row r="54" spans="2:16" x14ac:dyDescent="0.25">
      <c r="B54" s="77"/>
      <c r="P54" s="78"/>
    </row>
    <row r="55" spans="2:16" x14ac:dyDescent="0.25">
      <c r="B55" s="77"/>
      <c r="P55" s="78"/>
    </row>
    <row r="56" spans="2:16" x14ac:dyDescent="0.25">
      <c r="B56" s="77"/>
      <c r="P56" s="78"/>
    </row>
    <row r="57" spans="2:16" x14ac:dyDescent="0.25">
      <c r="B57" s="77"/>
      <c r="P57" s="78"/>
    </row>
    <row r="58" spans="2:16" x14ac:dyDescent="0.25">
      <c r="B58" s="77"/>
      <c r="P58" s="78"/>
    </row>
    <row r="59" spans="2:16" ht="205.15" customHeight="1" thickBot="1" x14ac:dyDescent="0.3">
      <c r="B59" s="86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9"/>
    </row>
    <row r="65" spans="4:4" x14ac:dyDescent="0.25">
      <c r="D65" s="9"/>
    </row>
  </sheetData>
  <mergeCells count="2">
    <mergeCell ref="B8:P8"/>
    <mergeCell ref="P39:P41"/>
  </mergeCells>
  <conditionalFormatting sqref="C38:N38">
    <cfRule type="cellIs" dxfId="2" priority="1" operator="lessThan">
      <formula>0</formula>
    </cfRule>
  </conditionalFormatting>
  <pageMargins left="0.25" right="0.25" top="0.75" bottom="0.75" header="0.3" footer="0.3"/>
  <pageSetup scale="44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8772-01D7-46C2-BF6F-746A5777784B}">
  <sheetPr>
    <tabColor theme="1"/>
    <pageSetUpPr fitToPage="1"/>
  </sheetPr>
  <dimension ref="B1:S54"/>
  <sheetViews>
    <sheetView workbookViewId="0"/>
  </sheetViews>
  <sheetFormatPr defaultRowHeight="15" x14ac:dyDescent="0.25"/>
  <cols>
    <col min="2" max="2" width="46.28515625" bestFit="1" customWidth="1"/>
    <col min="3" max="3" width="12.28515625" bestFit="1" customWidth="1"/>
    <col min="4" max="5" width="14.7109375" bestFit="1" customWidth="1"/>
    <col min="6" max="14" width="12.42578125" bestFit="1" customWidth="1"/>
    <col min="15" max="15" width="1.28515625" customWidth="1"/>
    <col min="16" max="16" width="17.42578125" customWidth="1"/>
  </cols>
  <sheetData>
    <row r="1" spans="2:16" x14ac:dyDescent="0.25">
      <c r="B1" s="7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x14ac:dyDescent="0.25">
      <c r="B2" s="77"/>
      <c r="P2" s="78"/>
    </row>
    <row r="3" spans="2:16" x14ac:dyDescent="0.25">
      <c r="B3" s="77"/>
      <c r="P3" s="78"/>
    </row>
    <row r="4" spans="2:16" x14ac:dyDescent="0.25">
      <c r="B4" s="77"/>
      <c r="P4" s="78"/>
    </row>
    <row r="5" spans="2:16" x14ac:dyDescent="0.25">
      <c r="B5" s="77"/>
      <c r="P5" s="78"/>
    </row>
    <row r="6" spans="2:16" x14ac:dyDescent="0.25">
      <c r="B6" s="77"/>
      <c r="P6" s="78"/>
    </row>
    <row r="7" spans="2:16" x14ac:dyDescent="0.25">
      <c r="B7" s="77"/>
      <c r="P7" s="78"/>
    </row>
    <row r="8" spans="2:16" ht="23.25" x14ac:dyDescent="0.35">
      <c r="B8" s="768" t="s">
        <v>362</v>
      </c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70"/>
    </row>
    <row r="9" spans="2:16" x14ac:dyDescent="0.25">
      <c r="B9" s="77"/>
      <c r="P9" s="78"/>
    </row>
    <row r="10" spans="2:16" ht="15.75" x14ac:dyDescent="0.25">
      <c r="B10" s="407"/>
      <c r="C10" s="268" t="str">
        <f>TEXT('Monthly Detail'!D3,"mmmm")</f>
        <v>January</v>
      </c>
      <c r="D10" s="268" t="str">
        <f>TEXT('Monthly Detail'!E3,"mmmm")</f>
        <v>February</v>
      </c>
      <c r="E10" s="268" t="str">
        <f>TEXT('Monthly Detail'!F3,"mmmm")</f>
        <v>March</v>
      </c>
      <c r="F10" s="268" t="str">
        <f>TEXT('Monthly Detail'!G3,"mmmm")</f>
        <v>April</v>
      </c>
      <c r="G10" s="267" t="str">
        <f>TEXT('Monthly Detail'!H3,"mmmm")</f>
        <v>May</v>
      </c>
      <c r="H10" s="268" t="str">
        <f>TEXT('Monthly Detail'!I3,"mmmm")</f>
        <v>June</v>
      </c>
      <c r="I10" s="268" t="str">
        <f>TEXT('Monthly Detail'!J3,"mmmm")</f>
        <v>July</v>
      </c>
      <c r="J10" s="268" t="str">
        <f>TEXT('Monthly Detail'!K3,"mmmm")</f>
        <v>August</v>
      </c>
      <c r="K10" s="268" t="str">
        <f>TEXT('Monthly Detail'!L3,"mmmm")</f>
        <v>September</v>
      </c>
      <c r="L10" s="268" t="str">
        <f>TEXT('Monthly Detail'!M3,"mmmm")</f>
        <v>October</v>
      </c>
      <c r="M10" s="268" t="str">
        <f>TEXT('Monthly Detail'!N3,"mmmm")</f>
        <v>November</v>
      </c>
      <c r="N10" s="268" t="str">
        <f>TEXT('Monthly Detail'!O3,"mmmm")</f>
        <v>December</v>
      </c>
      <c r="O10" s="269"/>
      <c r="P10" s="408" t="s">
        <v>0</v>
      </c>
    </row>
    <row r="11" spans="2:16" x14ac:dyDescent="0.25">
      <c r="B11" s="198"/>
      <c r="C11" s="72">
        <v>45322</v>
      </c>
      <c r="D11" s="72">
        <v>45351</v>
      </c>
      <c r="E11" s="72">
        <v>45382</v>
      </c>
      <c r="F11" s="72">
        <v>45412</v>
      </c>
      <c r="G11" s="12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  <c r="P11" s="78"/>
    </row>
    <row r="12" spans="2:16" x14ac:dyDescent="0.25">
      <c r="B12" s="199" t="s">
        <v>356</v>
      </c>
      <c r="C12" s="54">
        <f>SUMIF('Monthly Detail'!$3:$3, '2024 Overview (Cash Basis)'!C$11, 'Monthly Detail'!144:144)</f>
        <v>0</v>
      </c>
      <c r="D12" s="54">
        <f>SUMIF('Monthly Detail'!$3:$3, '2024 Overview (Cash Basis)'!D$11, 'Monthly Detail'!144:144)</f>
        <v>112500</v>
      </c>
      <c r="E12" s="54">
        <f>SUMIF('Monthly Detail'!$3:$3, '2024 Overview (Cash Basis)'!E$11, 'Monthly Detail'!144:144)</f>
        <v>112500</v>
      </c>
      <c r="F12" s="54">
        <f>SUMIF('Monthly Detail'!$3:$3, '2024 Overview (Cash Basis)'!F$11, 'Monthly Detail'!144:144)</f>
        <v>14766</v>
      </c>
      <c r="G12" s="123">
        <f>SUMIF('Monthly Detail'!$3:$3, '2024 Overview (Cash Basis)'!G$11, 'Monthly Detail'!144:144)</f>
        <v>7459.32</v>
      </c>
      <c r="H12" s="54">
        <f>SUMIF('Monthly Detail'!$3:$3, '2024 Overview (Cash Basis)'!H$11, 'Monthly Detail'!144:144)</f>
        <v>10928.64</v>
      </c>
      <c r="I12" s="54">
        <f>SUMIF('Monthly Detail'!$3:$3, '2024 Overview (Cash Basis)'!I$11, 'Monthly Detail'!144:144)</f>
        <v>700</v>
      </c>
      <c r="J12" s="54">
        <f>SUMIF('Monthly Detail'!$3:$3, '2024 Overview (Cash Basis)'!J$11, 'Monthly Detail'!144:144)</f>
        <v>31131</v>
      </c>
      <c r="K12" s="54">
        <f>SUMIF('Monthly Detail'!$3:$3, '2024 Overview (Cash Basis)'!K$11, 'Monthly Detail'!144:144)</f>
        <v>49010.3</v>
      </c>
      <c r="L12" s="54">
        <f>SUMIF('Monthly Detail'!$3:$3, '2024 Overview (Cash Basis)'!L$11, 'Monthly Detail'!144:144)</f>
        <v>24753.5</v>
      </c>
      <c r="M12" s="54">
        <f>SUMIF('Monthly Detail'!$3:$3, '2024 Overview (Cash Basis)'!M$11, 'Monthly Detail'!144:144)</f>
        <v>23117.99</v>
      </c>
      <c r="N12" s="54">
        <f>SUMIF('Monthly Detail'!$3:$3, '2024 Overview (Cash Basis)'!N$11, 'Monthly Detail'!144:144)</f>
        <v>51363.58</v>
      </c>
      <c r="O12" s="54"/>
      <c r="P12" s="409">
        <f>SUM(C12:O12)</f>
        <v>438230.33</v>
      </c>
    </row>
    <row r="13" spans="2:16" x14ac:dyDescent="0.25">
      <c r="B13" s="199" t="s">
        <v>357</v>
      </c>
      <c r="C13" s="54">
        <f>SUMIF('Monthly Detail'!$3:$3, '2024 Overview (Cash Basis)'!C$11, 'Monthly Detail'!7:7)</f>
        <v>0</v>
      </c>
      <c r="D13" s="54">
        <f>SUMIF('Monthly Detail'!$3:$3, '2024 Overview (Cash Basis)'!D$11, 'Monthly Detail'!7:7)</f>
        <v>0</v>
      </c>
      <c r="E13" s="54">
        <f>SUMIF('Monthly Detail'!$3:$3, '2024 Overview (Cash Basis)'!E$11, 'Monthly Detail'!7:7)</f>
        <v>0</v>
      </c>
      <c r="F13" s="54">
        <f>SUMIF('Monthly Detail'!$3:$3, '2024 Overview (Cash Basis)'!F$11, 'Monthly Detail'!7:7)</f>
        <v>0</v>
      </c>
      <c r="G13" s="123">
        <f>SUMIF('Monthly Detail'!$3:$3, '2024 Overview (Cash Basis)'!G$11, 'Monthly Detail'!7:7)</f>
        <v>5464.32</v>
      </c>
      <c r="H13" s="54">
        <f>SUMIF('Monthly Detail'!$3:$3, '2024 Overview (Cash Basis)'!H$11, 'Monthly Detail'!7:7)</f>
        <v>10928.64</v>
      </c>
      <c r="I13" s="54">
        <f>SUMIF('Monthly Detail'!$3:$3, '2024 Overview (Cash Basis)'!I$11, 'Monthly Detail'!7:7)</f>
        <v>700</v>
      </c>
      <c r="J13" s="54">
        <f>SUMIF('Monthly Detail'!$3:$3, '2024 Overview (Cash Basis)'!J$11, 'Monthly Detail'!7:7)</f>
        <v>45897</v>
      </c>
      <c r="K13" s="54">
        <f>SUMIF('Monthly Detail'!$3:$3, '2024 Overview (Cash Basis)'!K$11, 'Monthly Detail'!7:7)</f>
        <v>49010.3</v>
      </c>
      <c r="L13" s="54">
        <f>SUMIF('Monthly Detail'!$3:$3, '2024 Overview (Cash Basis)'!L$11, 'Monthly Detail'!7:7)</f>
        <v>24753.5</v>
      </c>
      <c r="M13" s="54">
        <f>SUMIF('Monthly Detail'!$3:$3, '2024 Overview (Cash Basis)'!M$11, 'Monthly Detail'!7:7)</f>
        <v>23117.99</v>
      </c>
      <c r="N13" s="54">
        <f>SUMIF('Monthly Detail'!$3:$3, '2024 Overview (Cash Basis)'!N$11, 'Monthly Detail'!7:7)</f>
        <v>77453.3</v>
      </c>
      <c r="O13" s="54"/>
      <c r="P13" s="409">
        <f>SUM(C13:O13)</f>
        <v>237325.05</v>
      </c>
    </row>
    <row r="14" spans="2:16" x14ac:dyDescent="0.25">
      <c r="B14" s="200" t="s">
        <v>3</v>
      </c>
      <c r="C14" s="55">
        <f>SUM(C12:C13)</f>
        <v>0</v>
      </c>
      <c r="D14" s="55">
        <f t="shared" ref="D14:N14" si="0">SUM(D12:D13)</f>
        <v>112500</v>
      </c>
      <c r="E14" s="55">
        <f t="shared" si="0"/>
        <v>112500</v>
      </c>
      <c r="F14" s="55">
        <f t="shared" si="0"/>
        <v>14766</v>
      </c>
      <c r="G14" s="124">
        <f t="shared" si="0"/>
        <v>12923.64</v>
      </c>
      <c r="H14" s="55">
        <f t="shared" si="0"/>
        <v>21857.279999999999</v>
      </c>
      <c r="I14" s="55">
        <f t="shared" si="0"/>
        <v>1400</v>
      </c>
      <c r="J14" s="55">
        <f t="shared" si="0"/>
        <v>77028</v>
      </c>
      <c r="K14" s="55">
        <f t="shared" si="0"/>
        <v>98020.6</v>
      </c>
      <c r="L14" s="55">
        <f t="shared" si="0"/>
        <v>49507</v>
      </c>
      <c r="M14" s="55">
        <f t="shared" si="0"/>
        <v>46235.98</v>
      </c>
      <c r="N14" s="55">
        <f t="shared" si="0"/>
        <v>128816.88</v>
      </c>
      <c r="O14" s="56"/>
      <c r="P14" s="410">
        <f>SUM(P12:P13)</f>
        <v>675555.38</v>
      </c>
    </row>
    <row r="15" spans="2:16" ht="3.6" customHeight="1" x14ac:dyDescent="0.25">
      <c r="B15" s="201"/>
      <c r="C15" s="261"/>
      <c r="D15" s="261"/>
      <c r="E15" s="261"/>
      <c r="F15" s="261"/>
      <c r="G15" s="262"/>
      <c r="H15" s="261"/>
      <c r="I15" s="261"/>
      <c r="J15" s="261"/>
      <c r="K15" s="261"/>
      <c r="L15" s="261"/>
      <c r="M15" s="261"/>
      <c r="N15" s="261"/>
      <c r="O15" s="56"/>
      <c r="P15" s="411" t="s">
        <v>359</v>
      </c>
    </row>
    <row r="16" spans="2:16" x14ac:dyDescent="0.25">
      <c r="B16" s="199" t="s">
        <v>351</v>
      </c>
      <c r="C16" s="57">
        <f>SUMIF('Monthly Detail'!$3:$3, '2024 Overview (Cash Basis)'!C$11, 'Monthly Detail'!24:24)</f>
        <v>9331.41</v>
      </c>
      <c r="D16" s="57">
        <f>SUMIF('Monthly Detail'!$3:$3, '2024 Overview (Cash Basis)'!D$11, 'Monthly Detail'!24:24)</f>
        <v>11043.19</v>
      </c>
      <c r="E16" s="57">
        <f>SUMIF('Monthly Detail'!$3:$3, '2024 Overview (Cash Basis)'!E$11, 'Monthly Detail'!24:24)</f>
        <v>12624.47</v>
      </c>
      <c r="F16" s="57">
        <f>SUMIF('Monthly Detail'!$3:$3, '2024 Overview (Cash Basis)'!F$11, 'Monthly Detail'!24:24)</f>
        <v>2249.58</v>
      </c>
      <c r="G16" s="125">
        <f>SUMIF('Monthly Detail'!$3:$3, '2024 Overview (Cash Basis)'!G$11, 'Monthly Detail'!24:24)</f>
        <v>1056.1600000000001</v>
      </c>
      <c r="H16" s="57">
        <f>SUMIF('Monthly Detail'!$3:$3, '2024 Overview (Cash Basis)'!H$11, 'Monthly Detail'!24:24)</f>
        <v>9369.24</v>
      </c>
      <c r="I16" s="57">
        <f>SUMIF('Monthly Detail'!$3:$3, '2024 Overview (Cash Basis)'!I$11, 'Monthly Detail'!24:24)</f>
        <v>1419</v>
      </c>
      <c r="J16" s="57">
        <f>SUMIF('Monthly Detail'!$3:$3, '2024 Overview (Cash Basis)'!J$11, 'Monthly Detail'!24:24)</f>
        <v>75</v>
      </c>
      <c r="K16" s="57">
        <f>SUMIF('Monthly Detail'!$3:$3, '2024 Overview (Cash Basis)'!K$11, 'Monthly Detail'!24:24)</f>
        <v>9411.4699999999993</v>
      </c>
      <c r="L16" s="57">
        <f>SUMIF('Monthly Detail'!$3:$3, '2024 Overview (Cash Basis)'!L$11, 'Monthly Detail'!24:24)</f>
        <v>83.38</v>
      </c>
      <c r="M16" s="57">
        <f>SUMIF('Monthly Detail'!$3:$3, '2024 Overview (Cash Basis)'!M$11, 'Monthly Detail'!24:24)</f>
        <v>0</v>
      </c>
      <c r="N16" s="57">
        <f>SUMIF('Monthly Detail'!$3:$3, '2024 Overview (Cash Basis)'!N$11, 'Monthly Detail'!24:24)</f>
        <v>1041.3499999999999</v>
      </c>
      <c r="P16" s="412">
        <f t="shared" ref="P16:P18" si="1">SUM(C16:O16)</f>
        <v>57704.25</v>
      </c>
    </row>
    <row r="17" spans="2:19" x14ac:dyDescent="0.25">
      <c r="B17" s="199" t="s">
        <v>352</v>
      </c>
      <c r="C17" s="57">
        <f>SUMIF('Monthly Detail'!$3:$3, '2024 Overview (Cash Basis)'!C$11, 'Monthly Detail'!25:25)</f>
        <v>56252.97</v>
      </c>
      <c r="D17" s="57">
        <f>SUMIF('Monthly Detail'!$3:$3, '2024 Overview (Cash Basis)'!D$11, 'Monthly Detail'!25:25)</f>
        <v>2687.55</v>
      </c>
      <c r="E17" s="57">
        <f>SUMIF('Monthly Detail'!$3:$3, '2024 Overview (Cash Basis)'!E$11, 'Monthly Detail'!25:25)</f>
        <v>92525.62</v>
      </c>
      <c r="F17" s="57">
        <f>SUMIF('Monthly Detail'!$3:$3, '2024 Overview (Cash Basis)'!F$11, 'Monthly Detail'!25:25)</f>
        <v>22100.17</v>
      </c>
      <c r="G17" s="125">
        <f>SUMIF('Monthly Detail'!$3:$3, '2024 Overview (Cash Basis)'!G$11, 'Monthly Detail'!25:25)</f>
        <v>22336</v>
      </c>
      <c r="H17" s="57">
        <f>SUMIF('Monthly Detail'!$3:$3, '2024 Overview (Cash Basis)'!H$11, 'Monthly Detail'!25:25)</f>
        <v>14367</v>
      </c>
      <c r="I17" s="57">
        <f>SUMIF('Monthly Detail'!$3:$3, '2024 Overview (Cash Basis)'!I$11, 'Monthly Detail'!25:25)</f>
        <v>880</v>
      </c>
      <c r="J17" s="57">
        <f>SUMIF('Monthly Detail'!$3:$3, '2024 Overview (Cash Basis)'!J$11, 'Monthly Detail'!25:25)</f>
        <v>0</v>
      </c>
      <c r="K17" s="57">
        <f>SUMIF('Monthly Detail'!$3:$3, '2024 Overview (Cash Basis)'!K$11, 'Monthly Detail'!25:25)</f>
        <v>0</v>
      </c>
      <c r="L17" s="57">
        <f>SUMIF('Monthly Detail'!$3:$3, '2024 Overview (Cash Basis)'!L$11, 'Monthly Detail'!25:25)</f>
        <v>0</v>
      </c>
      <c r="M17" s="57">
        <f>SUMIF('Monthly Detail'!$3:$3, '2024 Overview (Cash Basis)'!M$11, 'Monthly Detail'!25:25)</f>
        <v>0</v>
      </c>
      <c r="N17" s="57">
        <f>SUMIF('Monthly Detail'!$3:$3, '2024 Overview (Cash Basis)'!N$11, 'Monthly Detail'!25:25)</f>
        <v>0</v>
      </c>
      <c r="P17" s="412">
        <f t="shared" si="1"/>
        <v>211149.31</v>
      </c>
    </row>
    <row r="18" spans="2:19" x14ac:dyDescent="0.25">
      <c r="B18" s="199" t="s">
        <v>353</v>
      </c>
      <c r="C18" s="57">
        <f>SUMIF('Monthly Detail'!$3:$3, '2024 Overview (Cash Basis)'!C$11, 'Monthly Detail'!26:26)</f>
        <v>0</v>
      </c>
      <c r="D18" s="57">
        <f>SUMIF('Monthly Detail'!$3:$3, '2024 Overview (Cash Basis)'!D$11, 'Monthly Detail'!26:26)</f>
        <v>0</v>
      </c>
      <c r="E18" s="57">
        <f>SUMIF('Monthly Detail'!$3:$3, '2024 Overview (Cash Basis)'!E$11, 'Monthly Detail'!26:26)</f>
        <v>0</v>
      </c>
      <c r="F18" s="57">
        <f>SUMIF('Monthly Detail'!$3:$3, '2024 Overview (Cash Basis)'!F$11, 'Monthly Detail'!26:26)</f>
        <v>0</v>
      </c>
      <c r="G18" s="125">
        <f>SUMIF('Monthly Detail'!$3:$3, '2024 Overview (Cash Basis)'!G$11, 'Monthly Detail'!26:26)</f>
        <v>735</v>
      </c>
      <c r="H18" s="57">
        <f>SUMIF('Monthly Detail'!$3:$3, '2024 Overview (Cash Basis)'!H$11, 'Monthly Detail'!26:26)</f>
        <v>11876</v>
      </c>
      <c r="I18" s="57">
        <f>SUMIF('Monthly Detail'!$3:$3, '2024 Overview (Cash Basis)'!I$11, 'Monthly Detail'!26:26)</f>
        <v>600</v>
      </c>
      <c r="J18" s="57">
        <f>SUMIF('Monthly Detail'!$3:$3, '2024 Overview (Cash Basis)'!J$11, 'Monthly Detail'!26:26)</f>
        <v>39200</v>
      </c>
      <c r="K18" s="57">
        <f>SUMIF('Monthly Detail'!$3:$3, '2024 Overview (Cash Basis)'!K$11, 'Monthly Detail'!26:26)</f>
        <v>26774</v>
      </c>
      <c r="L18" s="57">
        <f>SUMIF('Monthly Detail'!$3:$3, '2024 Overview (Cash Basis)'!L$11, 'Monthly Detail'!26:26)</f>
        <v>19166</v>
      </c>
      <c r="M18" s="57">
        <f>SUMIF('Monthly Detail'!$3:$3, '2024 Overview (Cash Basis)'!M$11, 'Monthly Detail'!26:26)</f>
        <v>23286</v>
      </c>
      <c r="N18" s="57">
        <f>SUMIF('Monthly Detail'!$3:$3, '2024 Overview (Cash Basis)'!N$11, 'Monthly Detail'!26:26)</f>
        <v>74443.42</v>
      </c>
      <c r="P18" s="412">
        <f t="shared" si="1"/>
        <v>196080.41999999998</v>
      </c>
    </row>
    <row r="19" spans="2:19" ht="15.75" x14ac:dyDescent="0.25">
      <c r="B19" s="202" t="s">
        <v>149</v>
      </c>
      <c r="C19" s="69">
        <f t="shared" ref="C19:N19" si="2">C14-SUM(C16:C18)</f>
        <v>-65584.38</v>
      </c>
      <c r="D19" s="69">
        <f t="shared" si="2"/>
        <v>98769.26</v>
      </c>
      <c r="E19" s="69">
        <f t="shared" si="2"/>
        <v>7349.9100000000035</v>
      </c>
      <c r="F19" s="69">
        <f t="shared" si="2"/>
        <v>-9583.75</v>
      </c>
      <c r="G19" s="126">
        <f t="shared" si="2"/>
        <v>-11203.52</v>
      </c>
      <c r="H19" s="69">
        <f t="shared" si="2"/>
        <v>-13754.96</v>
      </c>
      <c r="I19" s="69">
        <f t="shared" si="2"/>
        <v>-1499</v>
      </c>
      <c r="J19" s="69">
        <f t="shared" si="2"/>
        <v>37753</v>
      </c>
      <c r="K19" s="69">
        <f t="shared" si="2"/>
        <v>61835.130000000005</v>
      </c>
      <c r="L19" s="69">
        <f t="shared" si="2"/>
        <v>30257.62</v>
      </c>
      <c r="M19" s="69">
        <f t="shared" si="2"/>
        <v>22949.980000000003</v>
      </c>
      <c r="N19" s="69">
        <f t="shared" si="2"/>
        <v>53332.11</v>
      </c>
      <c r="O19" s="275"/>
      <c r="P19" s="413">
        <f>P14-SUM(P16:P18)</f>
        <v>210621.40000000002</v>
      </c>
    </row>
    <row r="20" spans="2:19" x14ac:dyDescent="0.25">
      <c r="B20" s="203" t="s">
        <v>366</v>
      </c>
      <c r="C20" s="71">
        <f>+IFERROR(C12-SUM(C16:C17)/C12, 0)</f>
        <v>0</v>
      </c>
      <c r="D20" s="71">
        <f t="shared" ref="D20:N20" si="3">+IFERROR((D12-SUM(D16:D17))/D12, 0)</f>
        <v>0.87794897777777769</v>
      </c>
      <c r="E20" s="71">
        <f t="shared" si="3"/>
        <v>6.5332533333333359E-2</v>
      </c>
      <c r="F20" s="71">
        <f t="shared" si="3"/>
        <v>-0.6490417174590275</v>
      </c>
      <c r="G20" s="127">
        <f t="shared" si="3"/>
        <v>-2.1359641361410961</v>
      </c>
      <c r="H20" s="71">
        <f t="shared" si="3"/>
        <v>-1.1719299016163036</v>
      </c>
      <c r="I20" s="71">
        <f t="shared" si="3"/>
        <v>-2.2842857142857143</v>
      </c>
      <c r="J20" s="71">
        <f t="shared" si="3"/>
        <v>0.99759082586489356</v>
      </c>
      <c r="K20" s="71">
        <f t="shared" si="3"/>
        <v>0.80796954925801312</v>
      </c>
      <c r="L20" s="71">
        <f t="shared" si="3"/>
        <v>0.99663158745227942</v>
      </c>
      <c r="M20" s="71">
        <f t="shared" si="3"/>
        <v>1</v>
      </c>
      <c r="N20" s="71">
        <f t="shared" si="3"/>
        <v>0.97972590695586248</v>
      </c>
      <c r="O20" s="7"/>
      <c r="P20" s="414">
        <f>((P12-SUM(P16:P17))/P12)</f>
        <v>0.3865017056213339</v>
      </c>
    </row>
    <row r="21" spans="2:19" x14ac:dyDescent="0.25">
      <c r="B21" s="203" t="s">
        <v>367</v>
      </c>
      <c r="C21" s="71">
        <f t="shared" ref="C21:N21" si="4">+IFERROR((C13-C18)/C13, 0)</f>
        <v>0</v>
      </c>
      <c r="D21" s="71">
        <f t="shared" si="4"/>
        <v>0</v>
      </c>
      <c r="E21" s="71">
        <f t="shared" si="4"/>
        <v>0</v>
      </c>
      <c r="F21" s="71">
        <f t="shared" si="4"/>
        <v>0</v>
      </c>
      <c r="G21" s="127">
        <f t="shared" si="4"/>
        <v>0.86549104005621924</v>
      </c>
      <c r="H21" s="71">
        <f t="shared" si="4"/>
        <v>-8.6685992035605591E-2</v>
      </c>
      <c r="I21" s="71">
        <f t="shared" si="4"/>
        <v>0.14285714285714285</v>
      </c>
      <c r="J21" s="71">
        <f t="shared" si="4"/>
        <v>0.14591367627513782</v>
      </c>
      <c r="K21" s="71">
        <f t="shared" si="4"/>
        <v>0.45370666982246594</v>
      </c>
      <c r="L21" s="71">
        <f t="shared" si="4"/>
        <v>0.22572565495788474</v>
      </c>
      <c r="M21" s="71">
        <f t="shared" si="4"/>
        <v>-7.267500331992461E-3</v>
      </c>
      <c r="N21" s="71">
        <f t="shared" si="4"/>
        <v>3.886057792243848E-2</v>
      </c>
      <c r="O21" s="7"/>
      <c r="P21" s="414">
        <f>((P13-P18))/P13</f>
        <v>0.17378961892139075</v>
      </c>
    </row>
    <row r="22" spans="2:19" x14ac:dyDescent="0.25">
      <c r="B22" s="198"/>
      <c r="G22" s="92"/>
      <c r="P22" s="78"/>
    </row>
    <row r="23" spans="2:19" x14ac:dyDescent="0.25">
      <c r="B23" s="198" t="s">
        <v>375</v>
      </c>
      <c r="C23" s="54">
        <f>SUMIF('Monthly Detail'!$3:$3, '2024 Overview (Cash Basis)'!C$11, 'Monthly Detail'!$42:$42)</f>
        <v>0</v>
      </c>
      <c r="D23" s="54">
        <f>SUMIF('Monthly Detail'!$3:$3, '2024 Overview (Cash Basis)'!D$11, 'Monthly Detail'!$42:$42)</f>
        <v>2489.27</v>
      </c>
      <c r="E23" s="54">
        <f>SUMIF('Monthly Detail'!$3:$3, '2024 Overview (Cash Basis)'!E$11, 'Monthly Detail'!$42:$42)</f>
        <v>0</v>
      </c>
      <c r="F23" s="54">
        <f>SUMIF('Monthly Detail'!$3:$3, '2024 Overview (Cash Basis)'!F$11, 'Monthly Detail'!$42:$42)</f>
        <v>0</v>
      </c>
      <c r="G23" s="123">
        <f>SUMIF('Monthly Detail'!$3:$3, '2024 Overview (Cash Basis)'!G$11, 'Monthly Detail'!$42:$42)</f>
        <v>108.38</v>
      </c>
      <c r="H23" s="54">
        <f>SUMIF('Monthly Detail'!$3:$3, '2024 Overview (Cash Basis)'!H$11, 'Monthly Detail'!$42:$42)</f>
        <v>600</v>
      </c>
      <c r="I23" s="54">
        <f>SUMIF('Monthly Detail'!$3:$3, '2024 Overview (Cash Basis)'!I$11, 'Monthly Detail'!$42:$42)</f>
        <v>0</v>
      </c>
      <c r="J23" s="54">
        <f>SUMIF('Monthly Detail'!$3:$3, '2024 Overview (Cash Basis)'!J$11, 'Monthly Detail'!$42:$42)</f>
        <v>1899</v>
      </c>
      <c r="K23" s="54">
        <f>SUMIF('Monthly Detail'!$3:$3, '2024 Overview (Cash Basis)'!K$11, 'Monthly Detail'!$42:$42)</f>
        <v>35</v>
      </c>
      <c r="L23" s="54">
        <f>SUMIF('Monthly Detail'!$3:$3, '2024 Overview (Cash Basis)'!L$11, 'Monthly Detail'!$42:$42)</f>
        <v>1200.6599999999999</v>
      </c>
      <c r="M23" s="54">
        <f>SUMIF('Monthly Detail'!$3:$3, '2024 Overview (Cash Basis)'!M$11, 'Monthly Detail'!$42:$42)</f>
        <v>12.4</v>
      </c>
      <c r="N23" s="54">
        <f>SUMIF('Monthly Detail'!$3:$3, '2024 Overview (Cash Basis)'!N$11, 'Monthly Detail'!$42:$42)</f>
        <v>0</v>
      </c>
      <c r="P23" s="409">
        <f>SUM(C23:O23)</f>
        <v>6344.7099999999991</v>
      </c>
    </row>
    <row r="24" spans="2:19" x14ac:dyDescent="0.25">
      <c r="B24" s="198" t="s">
        <v>186</v>
      </c>
      <c r="C24" s="54">
        <f>SUMIF('Monthly Detail'!$3:$3, '2024 Overview (Cash Basis)'!C$11, 'Monthly Detail'!$78:$78)</f>
        <v>1735.88</v>
      </c>
      <c r="D24" s="54">
        <f>SUMIF('Monthly Detail'!$3:$3, '2024 Overview (Cash Basis)'!D$11, 'Monthly Detail'!$78:$78)</f>
        <v>4033.27</v>
      </c>
      <c r="E24" s="54">
        <f>SUMIF('Monthly Detail'!$3:$3, '2024 Overview (Cash Basis)'!E$11, 'Monthly Detail'!$78:$78)</f>
        <v>1614.19</v>
      </c>
      <c r="F24" s="54">
        <f>SUMIF('Monthly Detail'!$3:$3, '2024 Overview (Cash Basis)'!F$11, 'Monthly Detail'!$78:$78)</f>
        <v>4507.3599999999997</v>
      </c>
      <c r="G24" s="123">
        <f>SUMIF('Monthly Detail'!$3:$3, '2024 Overview (Cash Basis)'!G$11, 'Monthly Detail'!$78:$78)</f>
        <v>5191.57</v>
      </c>
      <c r="H24" s="54">
        <f>SUMIF('Monthly Detail'!$3:$3, '2024 Overview (Cash Basis)'!H$11, 'Monthly Detail'!$78:$78)</f>
        <v>5215.9499999999989</v>
      </c>
      <c r="I24" s="54">
        <f>SUMIF('Monthly Detail'!$3:$3, '2024 Overview (Cash Basis)'!I$11, 'Monthly Detail'!$78:$78)</f>
        <v>3100.88</v>
      </c>
      <c r="J24" s="54">
        <f>SUMIF('Monthly Detail'!$3:$3, '2024 Overview (Cash Basis)'!J$11, 'Monthly Detail'!$78:$78)</f>
        <v>2842.8500000000004</v>
      </c>
      <c r="K24" s="54">
        <f>SUMIF('Monthly Detail'!$3:$3, '2024 Overview (Cash Basis)'!K$11, 'Monthly Detail'!$78:$78)</f>
        <v>2224.09</v>
      </c>
      <c r="L24" s="54">
        <f>SUMIF('Monthly Detail'!$3:$3, '2024 Overview (Cash Basis)'!L$11, 'Monthly Detail'!$78:$78)</f>
        <v>2746.76</v>
      </c>
      <c r="M24" s="54">
        <f>SUMIF('Monthly Detail'!$3:$3, '2024 Overview (Cash Basis)'!M$11, 'Monthly Detail'!$78:$78)</f>
        <v>2402.13</v>
      </c>
      <c r="N24" s="54">
        <f>SUMIF('Monthly Detail'!$3:$3, '2024 Overview (Cash Basis)'!N$11, 'Monthly Detail'!$78:$78)</f>
        <v>5770.49</v>
      </c>
      <c r="P24" s="409">
        <f>SUM(C24:O24)</f>
        <v>41385.42</v>
      </c>
      <c r="S24" s="1"/>
    </row>
    <row r="25" spans="2:19" x14ac:dyDescent="0.25">
      <c r="B25" s="204" t="s">
        <v>151</v>
      </c>
      <c r="C25" s="60">
        <f t="shared" ref="C25:N25" si="5">SUM(C24:C24)</f>
        <v>1735.88</v>
      </c>
      <c r="D25" s="60">
        <f t="shared" si="5"/>
        <v>4033.27</v>
      </c>
      <c r="E25" s="60">
        <f t="shared" si="5"/>
        <v>1614.19</v>
      </c>
      <c r="F25" s="60">
        <f t="shared" si="5"/>
        <v>4507.3599999999997</v>
      </c>
      <c r="G25" s="128">
        <f t="shared" si="5"/>
        <v>5191.57</v>
      </c>
      <c r="H25" s="60">
        <f t="shared" si="5"/>
        <v>5215.9499999999989</v>
      </c>
      <c r="I25" s="60">
        <f t="shared" si="5"/>
        <v>3100.88</v>
      </c>
      <c r="J25" s="60">
        <f t="shared" si="5"/>
        <v>2842.8500000000004</v>
      </c>
      <c r="K25" s="60">
        <f t="shared" si="5"/>
        <v>2224.09</v>
      </c>
      <c r="L25" s="60">
        <f t="shared" si="5"/>
        <v>2746.76</v>
      </c>
      <c r="M25" s="60">
        <f t="shared" si="5"/>
        <v>2402.13</v>
      </c>
      <c r="N25" s="60">
        <f t="shared" si="5"/>
        <v>5770.49</v>
      </c>
      <c r="O25" s="277"/>
      <c r="P25" s="415">
        <f>SUM(P23:P24)</f>
        <v>47730.13</v>
      </c>
    </row>
    <row r="26" spans="2:19" x14ac:dyDescent="0.25">
      <c r="B26" s="198"/>
      <c r="G26" s="92"/>
      <c r="P26" s="78"/>
    </row>
    <row r="27" spans="2:19" ht="15.75" x14ac:dyDescent="0.25">
      <c r="B27" s="202" t="s">
        <v>152</v>
      </c>
      <c r="C27" s="69">
        <f t="shared" ref="C27:N27" si="6">C19-C25</f>
        <v>-67320.260000000009</v>
      </c>
      <c r="D27" s="69">
        <f t="shared" si="6"/>
        <v>94735.989999999991</v>
      </c>
      <c r="E27" s="69">
        <f t="shared" si="6"/>
        <v>5735.720000000003</v>
      </c>
      <c r="F27" s="69">
        <f t="shared" si="6"/>
        <v>-14091.11</v>
      </c>
      <c r="G27" s="126">
        <f t="shared" si="6"/>
        <v>-16395.09</v>
      </c>
      <c r="H27" s="69">
        <f t="shared" si="6"/>
        <v>-18970.909999999996</v>
      </c>
      <c r="I27" s="69">
        <f t="shared" si="6"/>
        <v>-4599.88</v>
      </c>
      <c r="J27" s="69">
        <f t="shared" si="6"/>
        <v>34910.15</v>
      </c>
      <c r="K27" s="69">
        <f t="shared" si="6"/>
        <v>59611.040000000008</v>
      </c>
      <c r="L27" s="69">
        <f t="shared" si="6"/>
        <v>27510.86</v>
      </c>
      <c r="M27" s="69">
        <f t="shared" si="6"/>
        <v>20547.850000000002</v>
      </c>
      <c r="N27" s="69">
        <f t="shared" si="6"/>
        <v>47561.62</v>
      </c>
      <c r="O27" s="275"/>
      <c r="P27" s="413">
        <f>P19-P25</f>
        <v>162891.27000000002</v>
      </c>
    </row>
    <row r="28" spans="2:19" x14ac:dyDescent="0.25">
      <c r="B28" s="203" t="s">
        <v>153</v>
      </c>
      <c r="C28" s="71">
        <f t="shared" ref="C28:N28" si="7">+IFERROR(C27/C14, 0)</f>
        <v>0</v>
      </c>
      <c r="D28" s="71">
        <f t="shared" si="7"/>
        <v>0.84209768888888881</v>
      </c>
      <c r="E28" s="71">
        <f t="shared" si="7"/>
        <v>5.0984177777777806E-2</v>
      </c>
      <c r="F28" s="71">
        <f t="shared" si="7"/>
        <v>-0.95429432480021681</v>
      </c>
      <c r="G28" s="127">
        <f t="shared" si="7"/>
        <v>-1.2686124033167128</v>
      </c>
      <c r="H28" s="71">
        <f t="shared" si="7"/>
        <v>-0.86794468479152009</v>
      </c>
      <c r="I28" s="71">
        <f t="shared" si="7"/>
        <v>-3.2856285714285716</v>
      </c>
      <c r="J28" s="71">
        <f t="shared" si="7"/>
        <v>0.45321376642259958</v>
      </c>
      <c r="K28" s="71">
        <f t="shared" si="7"/>
        <v>0.60814808315803004</v>
      </c>
      <c r="L28" s="71">
        <f t="shared" si="7"/>
        <v>0.5556963661704406</v>
      </c>
      <c r="M28" s="71">
        <f t="shared" si="7"/>
        <v>0.44441255489772252</v>
      </c>
      <c r="N28" s="71">
        <f t="shared" si="7"/>
        <v>0.36921884771623098</v>
      </c>
      <c r="O28" s="7"/>
      <c r="P28" s="414">
        <f>P27/P14</f>
        <v>0.24112200838367984</v>
      </c>
    </row>
    <row r="29" spans="2:19" x14ac:dyDescent="0.25">
      <c r="B29" s="205"/>
      <c r="C29" s="63"/>
      <c r="D29" s="63"/>
      <c r="E29" s="63"/>
      <c r="F29" s="63"/>
      <c r="G29" s="129"/>
      <c r="H29" s="63"/>
      <c r="I29" s="63"/>
      <c r="J29" s="63"/>
      <c r="K29" s="63"/>
      <c r="L29" s="63"/>
      <c r="M29" s="63"/>
      <c r="N29" s="63"/>
      <c r="P29" s="416"/>
    </row>
    <row r="30" spans="2:19" x14ac:dyDescent="0.25">
      <c r="B30" s="198" t="s">
        <v>154</v>
      </c>
      <c r="C30" s="108">
        <f>SUMIF('Monthly Detail'!$3:$3, '2024 Overview (Cash Basis)'!C$11, 'Monthly Detail'!91:91)</f>
        <v>0</v>
      </c>
      <c r="D30" s="108">
        <f>SUMIF('Monthly Detail'!$3:$3, '2024 Overview (Cash Basis)'!D$11, 'Monthly Detail'!91:91)</f>
        <v>0</v>
      </c>
      <c r="E30" s="108">
        <f>SUMIF('Monthly Detail'!$3:$3, '2024 Overview (Cash Basis)'!E$11, 'Monthly Detail'!91:91)</f>
        <v>0</v>
      </c>
      <c r="F30" s="108">
        <f>SUMIF('Monthly Detail'!$3:$3, '2024 Overview (Cash Basis)'!F$11, 'Monthly Detail'!91:91)</f>
        <v>0</v>
      </c>
      <c r="G30" s="130">
        <f>SUMIF('Monthly Detail'!$3:$3, '2024 Overview (Cash Basis)'!G$11, 'Monthly Detail'!91:91)</f>
        <v>0</v>
      </c>
      <c r="H30" s="108">
        <f>SUMIF('Monthly Detail'!$3:$3, '2024 Overview (Cash Basis)'!H$11, 'Monthly Detail'!91:91)</f>
        <v>0</v>
      </c>
      <c r="I30" s="108">
        <f>SUMIF('Monthly Detail'!$3:$3, '2024 Overview (Cash Basis)'!I$11, 'Monthly Detail'!91:91)</f>
        <v>300</v>
      </c>
      <c r="J30" s="108">
        <f>SUMIF('Monthly Detail'!$3:$3, '2024 Overview (Cash Basis)'!J$11, 'Monthly Detail'!91:91)</f>
        <v>0</v>
      </c>
      <c r="K30" s="108">
        <f>SUMIF('Monthly Detail'!$3:$3, '2024 Overview (Cash Basis)'!K$11, 'Monthly Detail'!91:91)</f>
        <v>300</v>
      </c>
      <c r="L30" s="108">
        <f>SUMIF('Monthly Detail'!$3:$3, '2024 Overview (Cash Basis)'!L$11, 'Monthly Detail'!91:91)</f>
        <v>0</v>
      </c>
      <c r="M30" s="108">
        <f>SUMIF('Monthly Detail'!$3:$3, '2024 Overview (Cash Basis)'!M$11, 'Monthly Detail'!91:91)</f>
        <v>0</v>
      </c>
      <c r="N30" s="108">
        <f>SUMIF('Monthly Detail'!$3:$3, '2024 Overview (Cash Basis)'!N$11, 'Monthly Detail'!91:91)</f>
        <v>0</v>
      </c>
      <c r="O30" s="108"/>
      <c r="P30" s="417">
        <f>SUM(C30:O30)</f>
        <v>600</v>
      </c>
    </row>
    <row r="31" spans="2:19" ht="15.75" x14ac:dyDescent="0.25">
      <c r="B31" s="202" t="s">
        <v>12</v>
      </c>
      <c r="C31" s="69">
        <f t="shared" ref="C31:N31" si="8">+C27+C30</f>
        <v>-67320.260000000009</v>
      </c>
      <c r="D31" s="69">
        <f t="shared" si="8"/>
        <v>94735.989999999991</v>
      </c>
      <c r="E31" s="69">
        <f t="shared" si="8"/>
        <v>5735.720000000003</v>
      </c>
      <c r="F31" s="69">
        <f t="shared" si="8"/>
        <v>-14091.11</v>
      </c>
      <c r="G31" s="126">
        <f t="shared" si="8"/>
        <v>-16395.09</v>
      </c>
      <c r="H31" s="69">
        <f t="shared" si="8"/>
        <v>-18970.909999999996</v>
      </c>
      <c r="I31" s="69">
        <f t="shared" si="8"/>
        <v>-4299.88</v>
      </c>
      <c r="J31" s="69">
        <f t="shared" si="8"/>
        <v>34910.15</v>
      </c>
      <c r="K31" s="69">
        <f t="shared" si="8"/>
        <v>59911.040000000008</v>
      </c>
      <c r="L31" s="69">
        <f t="shared" si="8"/>
        <v>27510.86</v>
      </c>
      <c r="M31" s="69">
        <f t="shared" si="8"/>
        <v>20547.850000000002</v>
      </c>
      <c r="N31" s="69">
        <f t="shared" si="8"/>
        <v>47561.62</v>
      </c>
      <c r="O31" s="275"/>
      <c r="P31" s="413">
        <f>P27+SUM(P30:P30)</f>
        <v>163491.27000000002</v>
      </c>
    </row>
    <row r="32" spans="2:19" x14ac:dyDescent="0.25">
      <c r="B32" s="203" t="s">
        <v>358</v>
      </c>
      <c r="C32" s="71">
        <f t="shared" ref="C32:N32" si="9">+IFERROR(C31/C14, 0)</f>
        <v>0</v>
      </c>
      <c r="D32" s="71">
        <f t="shared" si="9"/>
        <v>0.84209768888888881</v>
      </c>
      <c r="E32" s="71">
        <f t="shared" si="9"/>
        <v>5.0984177777777806E-2</v>
      </c>
      <c r="F32" s="71">
        <f t="shared" si="9"/>
        <v>-0.95429432480021681</v>
      </c>
      <c r="G32" s="127">
        <f t="shared" si="9"/>
        <v>-1.2686124033167128</v>
      </c>
      <c r="H32" s="71">
        <f t="shared" si="9"/>
        <v>-0.86794468479152009</v>
      </c>
      <c r="I32" s="71">
        <f t="shared" si="9"/>
        <v>-3.0713428571428572</v>
      </c>
      <c r="J32" s="71">
        <f t="shared" si="9"/>
        <v>0.45321376642259958</v>
      </c>
      <c r="K32" s="71">
        <f t="shared" si="9"/>
        <v>0.6112086643011776</v>
      </c>
      <c r="L32" s="71">
        <f t="shared" si="9"/>
        <v>0.5556963661704406</v>
      </c>
      <c r="M32" s="71">
        <f t="shared" si="9"/>
        <v>0.44441255489772252</v>
      </c>
      <c r="N32" s="71">
        <f t="shared" si="9"/>
        <v>0.36921884771623098</v>
      </c>
      <c r="O32" s="7"/>
      <c r="P32" s="414">
        <f>P31/P14</f>
        <v>0.24201016650922091</v>
      </c>
    </row>
    <row r="33" spans="2:16" ht="15.75" x14ac:dyDescent="0.25">
      <c r="B33" s="203" t="s">
        <v>226</v>
      </c>
      <c r="C33" s="210">
        <f>+'Monthly Detail'!AB165-'Monthly Detail'!AA165</f>
        <v>0</v>
      </c>
      <c r="D33" s="210">
        <f>+'Monthly Detail'!AC165-'Monthly Detail'!AB165</f>
        <v>-20000</v>
      </c>
      <c r="E33" s="210">
        <f>+'Monthly Detail'!AD165-'Monthly Detail'!AC165</f>
        <v>0</v>
      </c>
      <c r="F33" s="210">
        <f>+'Monthly Detail'!AE165-'Monthly Detail'!AD165</f>
        <v>-50000</v>
      </c>
      <c r="G33" s="209">
        <f>+'Monthly Detail'!AF165-'Monthly Detail'!AE165</f>
        <v>0</v>
      </c>
      <c r="H33" s="210">
        <f>+'Monthly Detail'!AG165-'Monthly Detail'!AF165</f>
        <v>0</v>
      </c>
      <c r="I33" s="210">
        <f>+'Monthly Detail'!AH165-'Monthly Detail'!AG165</f>
        <v>0</v>
      </c>
      <c r="J33" s="210">
        <f>+'Monthly Detail'!AI165-'Monthly Detail'!AH165</f>
        <v>0</v>
      </c>
      <c r="K33" s="210">
        <f>+'Monthly Detail'!AJ165-'Monthly Detail'!AI165</f>
        <v>0</v>
      </c>
      <c r="L33" s="210">
        <f>+'Monthly Detail'!AK165-'Monthly Detail'!AJ165</f>
        <v>0</v>
      </c>
      <c r="M33" s="210">
        <f>+'Monthly Detail'!AL165-'Monthly Detail'!AK165</f>
        <v>0</v>
      </c>
      <c r="N33" s="211">
        <f>-P31*0.2</f>
        <v>-32698.254000000004</v>
      </c>
      <c r="O33" s="7"/>
      <c r="P33" s="418">
        <f>+SUM(C33:N33)</f>
        <v>-102698.254</v>
      </c>
    </row>
    <row r="34" spans="2:16" ht="15.75" thickBot="1" x14ac:dyDescent="0.3">
      <c r="B34" s="198"/>
      <c r="G34" s="92"/>
      <c r="N34" t="s">
        <v>294</v>
      </c>
      <c r="P34" s="78"/>
    </row>
    <row r="35" spans="2:16" x14ac:dyDescent="0.25">
      <c r="B35" s="64" t="s">
        <v>156</v>
      </c>
      <c r="C35" s="65">
        <f>SUMIF('Monthly Detail'!$3:$3, '2024 Overview (Cash Basis)'!C$11, 'Monthly Detail'!195:195)</f>
        <v>95197.939999999973</v>
      </c>
      <c r="D35" s="134">
        <f>SUMIF('Monthly Detail'!$3:$3, '2024 Overview (Cash Basis)'!D$11, 'Monthly Detail'!195:195)</f>
        <v>146721.93</v>
      </c>
      <c r="E35" s="65">
        <f>SUMIF('Monthly Detail'!$3:$3, '2024 Overview (Cash Basis)'!E$11, 'Monthly Detail'!195:195)</f>
        <v>152555.54</v>
      </c>
      <c r="F35" s="134">
        <f>SUMIF('Monthly Detail'!$3:$3, '2024 Overview (Cash Basis)'!F$11, 'Monthly Detail'!195:195)</f>
        <v>82418.3</v>
      </c>
      <c r="G35" s="286">
        <f>SUMIF('Monthly Detail'!$3:$3, '2024 Overview (Cash Basis)'!G$11, 'Monthly Detail'!195:195)</f>
        <v>53728.640000000014</v>
      </c>
      <c r="H35" s="134">
        <f>SUMIF('Monthly Detail'!$3:$3, '2024 Overview (Cash Basis)'!H$11, 'Monthly Detail'!195:195)</f>
        <v>44539.60000000002</v>
      </c>
      <c r="I35" s="65">
        <f>SUMIF('Monthly Detail'!$3:$3, '2024 Overview (Cash Basis)'!I$11, 'Monthly Detail'!195:195)</f>
        <v>27299.970000000019</v>
      </c>
      <c r="J35" s="134">
        <f>SUMIF('Monthly Detail'!$3:$3, '2024 Overview (Cash Basis)'!J$11, 'Monthly Detail'!195:195)</f>
        <v>20509.540000000023</v>
      </c>
      <c r="K35" s="65">
        <f>SUMIF('Monthly Detail'!$3:$3, '2024 Overview (Cash Basis)'!K$11, 'Monthly Detail'!195:195)</f>
        <v>33266.220000000023</v>
      </c>
      <c r="L35" s="65">
        <f>SUMIF('Monthly Detail'!$3:$3, '2024 Overview (Cash Basis)'!L$11, 'Monthly Detail'!195:195)</f>
        <v>36575.590000000018</v>
      </c>
      <c r="M35" s="65">
        <f>SUMIF('Monthly Detail'!$3:$3, '2024 Overview (Cash Basis)'!M$11, 'Monthly Detail'!195:195)</f>
        <v>30135.74000000002</v>
      </c>
      <c r="N35" s="65">
        <f>SUMIF('Monthly Detail'!$3:$3, '2024 Overview (Cash Basis)'!N$11, 'Monthly Detail'!195:195)</f>
        <v>39586.590000000018</v>
      </c>
      <c r="P35" s="78"/>
    </row>
    <row r="36" spans="2:16" x14ac:dyDescent="0.25">
      <c r="B36" s="419" t="s">
        <v>157</v>
      </c>
      <c r="C36" s="283">
        <f>SUMIF('Monthly Detail'!$3:$3, '2024 Overview (Cash Basis)'!C$11, 'Monthly Detail'!192:192)</f>
        <v>-99451.290000000008</v>
      </c>
      <c r="D36" s="282">
        <f>SUMIF('Monthly Detail'!$3:$3, '2024 Overview (Cash Basis)'!D$11, 'Monthly Detail'!192:192)</f>
        <v>51523.990000000005</v>
      </c>
      <c r="E36" s="283">
        <f>SUMIF('Monthly Detail'!$3:$3, '2024 Overview (Cash Basis)'!E$11, 'Monthly Detail'!192:192)</f>
        <v>5833.6100000000024</v>
      </c>
      <c r="F36" s="282">
        <f>SUMIF('Monthly Detail'!$3:$3, '2024 Overview (Cash Basis)'!F$11, 'Monthly Detail'!192:192)</f>
        <v>-70137.240000000005</v>
      </c>
      <c r="G36" s="287">
        <f>SUMIF('Monthly Detail'!$3:$3, '2024 Overview (Cash Basis)'!G$11, 'Monthly Detail'!192:192)</f>
        <v>-28689.659999999989</v>
      </c>
      <c r="H36" s="282">
        <f>SUMIF('Monthly Detail'!$3:$3, '2024 Overview (Cash Basis)'!H$11, 'Monthly Detail'!192:192)</f>
        <v>-9189.0399999999936</v>
      </c>
      <c r="I36" s="283">
        <f>SUMIF('Monthly Detail'!$3:$3, '2024 Overview (Cash Basis)'!I$11, 'Monthly Detail'!192:192)</f>
        <v>-17239.63</v>
      </c>
      <c r="J36" s="282">
        <f>SUMIF('Monthly Detail'!$3:$3, '2024 Overview (Cash Basis)'!J$11, 'Monthly Detail'!192:192)</f>
        <v>-6790.4299999999985</v>
      </c>
      <c r="K36" s="283">
        <f>SUMIF('Monthly Detail'!$3:$3, '2024 Overview (Cash Basis)'!K$11, 'Monthly Detail'!192:192)</f>
        <v>12756.68</v>
      </c>
      <c r="L36" s="283">
        <f>SUMIF('Monthly Detail'!$3:$3, '2024 Overview (Cash Basis)'!L$11, 'Monthly Detail'!192:192)</f>
        <v>3309.3699999999972</v>
      </c>
      <c r="M36" s="283">
        <f>SUMIF('Monthly Detail'!$3:$3, '2024 Overview (Cash Basis)'!M$11, 'Monthly Detail'!192:192)</f>
        <v>-6439.8499999999967</v>
      </c>
      <c r="N36" s="283">
        <f>SUMIF('Monthly Detail'!$3:$3, '2024 Overview (Cash Basis)'!N$11, 'Monthly Detail'!192:192)</f>
        <v>9450.8499999999985</v>
      </c>
      <c r="O36" s="248"/>
      <c r="P36" s="420"/>
    </row>
    <row r="37" spans="2:16" x14ac:dyDescent="0.25">
      <c r="B37" s="77"/>
      <c r="E37" s="9"/>
      <c r="P37" s="78"/>
    </row>
    <row r="38" spans="2:16" x14ac:dyDescent="0.25">
      <c r="B38" s="77"/>
      <c r="P38" s="78"/>
    </row>
    <row r="39" spans="2:16" x14ac:dyDescent="0.25">
      <c r="B39" s="77"/>
      <c r="P39" s="78"/>
    </row>
    <row r="40" spans="2:16" x14ac:dyDescent="0.25">
      <c r="B40" s="77"/>
      <c r="P40" s="78"/>
    </row>
    <row r="41" spans="2:16" x14ac:dyDescent="0.25">
      <c r="B41" s="77"/>
      <c r="P41" s="78"/>
    </row>
    <row r="42" spans="2:16" x14ac:dyDescent="0.25">
      <c r="B42" s="77"/>
      <c r="P42" s="78"/>
    </row>
    <row r="43" spans="2:16" x14ac:dyDescent="0.25">
      <c r="B43" s="77"/>
      <c r="P43" s="78"/>
    </row>
    <row r="44" spans="2:16" x14ac:dyDescent="0.25">
      <c r="B44" s="77"/>
      <c r="P44" s="78"/>
    </row>
    <row r="45" spans="2:16" x14ac:dyDescent="0.25">
      <c r="B45" s="77"/>
      <c r="P45" s="78"/>
    </row>
    <row r="46" spans="2:16" x14ac:dyDescent="0.25">
      <c r="B46" s="77"/>
      <c r="P46" s="78"/>
    </row>
    <row r="47" spans="2:16" x14ac:dyDescent="0.25">
      <c r="B47" s="77"/>
      <c r="P47" s="78"/>
    </row>
    <row r="48" spans="2:16" x14ac:dyDescent="0.25">
      <c r="B48" s="77"/>
      <c r="P48" s="78"/>
    </row>
    <row r="49" spans="2:16" x14ac:dyDescent="0.25">
      <c r="B49" s="77"/>
      <c r="P49" s="78"/>
    </row>
    <row r="50" spans="2:16" x14ac:dyDescent="0.25">
      <c r="B50" s="77"/>
      <c r="P50" s="78"/>
    </row>
    <row r="51" spans="2:16" x14ac:dyDescent="0.25">
      <c r="B51" s="77"/>
      <c r="P51" s="78"/>
    </row>
    <row r="52" spans="2:16" x14ac:dyDescent="0.25">
      <c r="B52" s="77"/>
      <c r="P52" s="78"/>
    </row>
    <row r="53" spans="2:16" x14ac:dyDescent="0.25">
      <c r="B53" s="77"/>
      <c r="P53" s="78"/>
    </row>
    <row r="54" spans="2:16" ht="15.75" thickBot="1" x14ac:dyDescent="0.3">
      <c r="B54" s="86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</row>
  </sheetData>
  <mergeCells count="1">
    <mergeCell ref="B8:P8"/>
  </mergeCells>
  <pageMargins left="0.25" right="0.25" top="0.75" bottom="0.75" header="0.3" footer="0.3"/>
  <pageSetup scale="59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8:S40"/>
  <sheetViews>
    <sheetView workbookViewId="0"/>
  </sheetViews>
  <sheetFormatPr defaultRowHeight="15" x14ac:dyDescent="0.25"/>
  <cols>
    <col min="2" max="2" width="34" bestFit="1" customWidth="1"/>
    <col min="3" max="3" width="12.28515625" bestFit="1" customWidth="1"/>
    <col min="4" max="4" width="11.42578125" bestFit="1" customWidth="1"/>
    <col min="5" max="14" width="12.42578125" bestFit="1" customWidth="1"/>
    <col min="15" max="15" width="2.7109375" customWidth="1"/>
    <col min="16" max="16" width="12.28515625" bestFit="1" customWidth="1"/>
  </cols>
  <sheetData>
    <row r="8" spans="2:16" ht="23.25" x14ac:dyDescent="0.35">
      <c r="B8" s="769" t="s">
        <v>224</v>
      </c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  <c r="O8" s="769"/>
      <c r="P8" s="769"/>
    </row>
    <row r="10" spans="2:16" ht="15.75" x14ac:dyDescent="0.25">
      <c r="B10" s="266"/>
      <c r="C10" s="268" t="str">
        <f>TEXT('Monthly Detail'!D3,"mmmm")</f>
        <v>January</v>
      </c>
      <c r="D10" s="268" t="str">
        <f>TEXT('Monthly Detail'!E3,"mmmm")</f>
        <v>February</v>
      </c>
      <c r="E10" s="268" t="str">
        <f>TEXT('Monthly Detail'!F3,"mmmm")</f>
        <v>March</v>
      </c>
      <c r="F10" s="267" t="str">
        <f>TEXT('Monthly Detail'!G3,"mmmm")</f>
        <v>April</v>
      </c>
      <c r="G10" s="268" t="str">
        <f>TEXT('Monthly Detail'!H3,"mmmm")</f>
        <v>May</v>
      </c>
      <c r="H10" s="268" t="str">
        <f>TEXT('Monthly Detail'!I3,"mmmm")</f>
        <v>June</v>
      </c>
      <c r="I10" s="268" t="str">
        <f>TEXT('Monthly Detail'!J3,"mmmm")</f>
        <v>July</v>
      </c>
      <c r="J10" s="268" t="str">
        <f>TEXT('Monthly Detail'!K3,"mmmm")</f>
        <v>August</v>
      </c>
      <c r="K10" s="268" t="str">
        <f>TEXT('Monthly Detail'!L3,"mmmm")</f>
        <v>September</v>
      </c>
      <c r="L10" s="268" t="str">
        <f>TEXT('Monthly Detail'!M3,"mmmm")</f>
        <v>October</v>
      </c>
      <c r="M10" s="268" t="str">
        <f>TEXT('Monthly Detail'!N3,"mmmm")</f>
        <v>November</v>
      </c>
      <c r="N10" s="268" t="str">
        <f>TEXT('Monthly Detail'!O3,"mmmm")</f>
        <v>December</v>
      </c>
      <c r="O10" s="269"/>
      <c r="P10" s="270" t="s">
        <v>0</v>
      </c>
    </row>
    <row r="11" spans="2:16" x14ac:dyDescent="0.25">
      <c r="B11" s="221"/>
      <c r="C11" s="72">
        <v>45322</v>
      </c>
      <c r="D11" s="72">
        <v>45351</v>
      </c>
      <c r="E11" s="72">
        <v>45382</v>
      </c>
      <c r="F11" s="12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  <c r="P11" s="154"/>
    </row>
    <row r="12" spans="2:16" x14ac:dyDescent="0.25">
      <c r="B12" s="216" t="s">
        <v>234</v>
      </c>
      <c r="C12" s="54">
        <f>SUMIF('Monthly Detail'!$3:$3, '2024 Overview (Rolling)'!C$11, 'Monthly Detail'!9:9)</f>
        <v>0</v>
      </c>
      <c r="D12" s="54">
        <f>SUMIF('Monthly Detail'!$3:$3, '2024 Overview (Rolling)'!D$11, 'Monthly Detail'!9:9)</f>
        <v>112500</v>
      </c>
      <c r="E12" s="54">
        <f>SUMIF('Monthly Detail'!$3:$3, '2024 Overview (Rolling)'!E$11, 'Monthly Detail'!9:9)</f>
        <v>112500</v>
      </c>
      <c r="F12" s="123">
        <f>SUMIF('Monthly Detail'!$3:$3, '2024 Overview (Rolling)'!F$11, 'Monthly Detail'!9:9)</f>
        <v>0</v>
      </c>
      <c r="G12" s="54">
        <f>SUMIF('Monthly Detail'!$3:$3, '2024 Overview (Rolling)'!G$11, 'Monthly Detail'!9:9)</f>
        <v>82459.320000000007</v>
      </c>
      <c r="H12" s="54">
        <f>SUMIF('Monthly Detail'!$3:$3, '2024 Overview (Rolling)'!H$11, 'Monthly Detail'!9:9)</f>
        <v>10928.64</v>
      </c>
      <c r="I12" s="54">
        <f>SUMIF('Monthly Detail'!$3:$3, '2024 Overview (Rolling)'!I$11, 'Monthly Detail'!9:9)</f>
        <v>700</v>
      </c>
      <c r="J12" s="54">
        <f>SUMIF('Monthly Detail'!$3:$3, '2024 Overview (Rolling)'!J$11, 'Monthly Detail'!9:9)</f>
        <v>45897</v>
      </c>
      <c r="K12" s="54">
        <f>SUMIF('Monthly Detail'!$3:$3, '2024 Overview (Rolling)'!K$11, 'Monthly Detail'!9:9)</f>
        <v>49010.3</v>
      </c>
      <c r="L12" s="54">
        <f>SUMIF('Monthly Detail'!$3:$3, '2024 Overview (Rolling)'!L$11, 'Monthly Detail'!9:9)</f>
        <v>24753.5</v>
      </c>
      <c r="M12" s="54">
        <f>SUMIF('Monthly Detail'!$3:$3, '2024 Overview (Rolling)'!M$11, 'Monthly Detail'!9:9)</f>
        <v>23117.99</v>
      </c>
      <c r="N12" s="54">
        <f>SUMIF('Monthly Detail'!$3:$3, '2024 Overview (Rolling)'!N$11, 'Monthly Detail'!9:9)</f>
        <v>80987.3</v>
      </c>
      <c r="O12" s="54"/>
      <c r="P12" s="271">
        <f>SUM(C12:O12)</f>
        <v>542854.05000000005</v>
      </c>
    </row>
    <row r="13" spans="2:16" x14ac:dyDescent="0.25">
      <c r="B13" s="216" t="s">
        <v>288</v>
      </c>
      <c r="C13" s="54">
        <f>+'Monthly Detail'!AB144</f>
        <v>0</v>
      </c>
      <c r="D13" s="54">
        <f>+'Monthly Detail'!AC144</f>
        <v>112500</v>
      </c>
      <c r="E13" s="54">
        <f>+'Monthly Detail'!AD144</f>
        <v>112500</v>
      </c>
      <c r="F13" s="123">
        <f>+'Monthly Detail'!AE144</f>
        <v>14766</v>
      </c>
      <c r="G13" s="54">
        <f>+'Monthly Detail'!AF144</f>
        <v>7459.32</v>
      </c>
      <c r="H13" s="54">
        <f>+'Monthly Detail'!AG144</f>
        <v>10928.64</v>
      </c>
      <c r="I13" s="54">
        <f>+'Monthly Detail'!AH144</f>
        <v>700</v>
      </c>
      <c r="J13" s="54">
        <f>+'Monthly Detail'!AI144</f>
        <v>31131</v>
      </c>
      <c r="K13" s="54">
        <f>+'Monthly Detail'!AJ144</f>
        <v>49010.3</v>
      </c>
      <c r="L13" s="54">
        <f>+'Monthly Detail'!AK144</f>
        <v>24753.5</v>
      </c>
      <c r="M13" s="54">
        <f>+'Monthly Detail'!AL144</f>
        <v>23117.99</v>
      </c>
      <c r="N13" s="54">
        <f>+'Monthly Detail'!AM144</f>
        <v>51363.58</v>
      </c>
      <c r="O13" s="54"/>
      <c r="P13" s="271">
        <f>SUM(C13:O13)</f>
        <v>438230.33</v>
      </c>
    </row>
    <row r="14" spans="2:16" x14ac:dyDescent="0.25">
      <c r="B14" s="218" t="s">
        <v>289</v>
      </c>
      <c r="C14" s="55">
        <f>+C12</f>
        <v>0</v>
      </c>
      <c r="D14" s="55">
        <f t="shared" ref="D14:N14" si="0">+D12</f>
        <v>112500</v>
      </c>
      <c r="E14" s="55">
        <f t="shared" si="0"/>
        <v>112500</v>
      </c>
      <c r="F14" s="124">
        <f t="shared" si="0"/>
        <v>0</v>
      </c>
      <c r="G14" s="55">
        <f t="shared" si="0"/>
        <v>82459.320000000007</v>
      </c>
      <c r="H14" s="55">
        <f t="shared" si="0"/>
        <v>10928.64</v>
      </c>
      <c r="I14" s="55">
        <f t="shared" si="0"/>
        <v>700</v>
      </c>
      <c r="J14" s="55">
        <f t="shared" si="0"/>
        <v>45897</v>
      </c>
      <c r="K14" s="55">
        <f t="shared" si="0"/>
        <v>49010.3</v>
      </c>
      <c r="L14" s="55">
        <f t="shared" si="0"/>
        <v>24753.5</v>
      </c>
      <c r="M14" s="55">
        <f t="shared" si="0"/>
        <v>23117.99</v>
      </c>
      <c r="N14" s="55">
        <f t="shared" si="0"/>
        <v>80987.3</v>
      </c>
      <c r="O14" s="56"/>
      <c r="P14" s="272">
        <f>SUM(P12:P12)</f>
        <v>542854.05000000005</v>
      </c>
    </row>
    <row r="15" spans="2:16" x14ac:dyDescent="0.25">
      <c r="B15" s="273" t="s">
        <v>3</v>
      </c>
      <c r="C15" s="261">
        <f>+C13</f>
        <v>0</v>
      </c>
      <c r="D15" s="261">
        <f>+D13</f>
        <v>112500</v>
      </c>
      <c r="E15" s="261">
        <f t="shared" ref="E15:N15" si="1">+E13</f>
        <v>112500</v>
      </c>
      <c r="F15" s="262">
        <f t="shared" si="1"/>
        <v>14766</v>
      </c>
      <c r="G15" s="261">
        <f t="shared" si="1"/>
        <v>7459.32</v>
      </c>
      <c r="H15" s="261">
        <f t="shared" si="1"/>
        <v>10928.64</v>
      </c>
      <c r="I15" s="261">
        <f t="shared" si="1"/>
        <v>700</v>
      </c>
      <c r="J15" s="261">
        <f t="shared" si="1"/>
        <v>31131</v>
      </c>
      <c r="K15" s="261">
        <f t="shared" si="1"/>
        <v>49010.3</v>
      </c>
      <c r="L15" s="261">
        <f t="shared" si="1"/>
        <v>24753.5</v>
      </c>
      <c r="M15" s="261">
        <f t="shared" si="1"/>
        <v>23117.99</v>
      </c>
      <c r="N15" s="261">
        <f t="shared" si="1"/>
        <v>51363.58</v>
      </c>
      <c r="O15" s="56"/>
      <c r="P15" s="274">
        <f>SUM(P13:P13)</f>
        <v>438230.33</v>
      </c>
    </row>
    <row r="16" spans="2:16" ht="3.6" customHeight="1" x14ac:dyDescent="0.25">
      <c r="B16" s="273"/>
      <c r="C16" s="261"/>
      <c r="D16" s="261"/>
      <c r="E16" s="261"/>
      <c r="F16" s="262"/>
      <c r="G16" s="261"/>
      <c r="H16" s="261"/>
      <c r="I16" s="261"/>
      <c r="J16" s="261"/>
      <c r="K16" s="261"/>
      <c r="L16" s="261"/>
      <c r="M16" s="261"/>
      <c r="N16" s="261"/>
      <c r="O16" s="56"/>
      <c r="P16" s="274"/>
    </row>
    <row r="17" spans="2:19" x14ac:dyDescent="0.25">
      <c r="B17" s="216" t="s">
        <v>239</v>
      </c>
      <c r="C17" s="57">
        <f>SUMIF('Monthly Detail'!$3:$3, '2024 Overview (Rolling)'!C$11, 'Monthly Detail'!28:28)</f>
        <v>65584.38</v>
      </c>
      <c r="D17" s="57">
        <f>SUMIF('Monthly Detail'!$3:$3, '2024 Overview (Rolling)'!D$11, 'Monthly Detail'!28:28)</f>
        <v>13730.740000000002</v>
      </c>
      <c r="E17" s="57">
        <f>SUMIF('Monthly Detail'!$3:$3, '2024 Overview (Rolling)'!E$11, 'Monthly Detail'!28:28)</f>
        <v>105150.09</v>
      </c>
      <c r="F17" s="125">
        <f>SUMIF('Monthly Detail'!$3:$3, '2024 Overview (Rolling)'!F$11, 'Monthly Detail'!28:28)</f>
        <v>24349.75</v>
      </c>
      <c r="G17" s="57">
        <f>SUMIF('Monthly Detail'!$3:$3, '2024 Overview (Rolling)'!G$11, 'Monthly Detail'!28:28)</f>
        <v>24127.16</v>
      </c>
      <c r="H17" s="57">
        <f>SUMIF('Monthly Detail'!$3:$3, '2024 Overview (Rolling)'!H$11, 'Monthly Detail'!28:28)</f>
        <v>35612.239999999998</v>
      </c>
      <c r="I17" s="57">
        <f>SUMIF('Monthly Detail'!$3:$3, '2024 Overview (Rolling)'!I$11, 'Monthly Detail'!28:28)</f>
        <v>2899</v>
      </c>
      <c r="J17" s="57">
        <f>SUMIF('Monthly Detail'!$3:$3, '2024 Overview (Rolling)'!J$11, 'Monthly Detail'!28:28)</f>
        <v>39275</v>
      </c>
      <c r="K17" s="57">
        <f>SUMIF('Monthly Detail'!$3:$3, '2024 Overview (Rolling)'!K$11, 'Monthly Detail'!28:28)</f>
        <v>36185.47</v>
      </c>
      <c r="L17" s="57">
        <f>SUMIF('Monthly Detail'!$3:$3, '2024 Overview (Rolling)'!L$11, 'Monthly Detail'!28:28)</f>
        <v>19249.38</v>
      </c>
      <c r="M17" s="57">
        <f>SUMIF('Monthly Detail'!$3:$3, '2024 Overview (Rolling)'!M$11, 'Monthly Detail'!28:28)</f>
        <v>23286</v>
      </c>
      <c r="N17" s="57">
        <f>SUMIF('Monthly Detail'!$3:$3, '2024 Overview (Rolling)'!N$11, 'Monthly Detail'!28:28)</f>
        <v>75484.77</v>
      </c>
      <c r="P17" s="226">
        <f>SUM(C17:O17)</f>
        <v>464933.9800000001</v>
      </c>
    </row>
    <row r="18" spans="2:19" ht="15.75" x14ac:dyDescent="0.25">
      <c r="B18" s="222" t="s">
        <v>237</v>
      </c>
      <c r="C18" s="69">
        <f t="shared" ref="C18:N18" si="2">C14-C17</f>
        <v>-65584.38</v>
      </c>
      <c r="D18" s="69">
        <f t="shared" si="2"/>
        <v>98769.26</v>
      </c>
      <c r="E18" s="69">
        <f t="shared" si="2"/>
        <v>7349.9100000000035</v>
      </c>
      <c r="F18" s="126">
        <f t="shared" si="2"/>
        <v>-24349.75</v>
      </c>
      <c r="G18" s="69">
        <f t="shared" si="2"/>
        <v>58332.160000000003</v>
      </c>
      <c r="H18" s="69">
        <f t="shared" si="2"/>
        <v>-24683.599999999999</v>
      </c>
      <c r="I18" s="69">
        <f t="shared" si="2"/>
        <v>-2199</v>
      </c>
      <c r="J18" s="69">
        <f t="shared" si="2"/>
        <v>6622</v>
      </c>
      <c r="K18" s="69">
        <f t="shared" si="2"/>
        <v>12824.830000000002</v>
      </c>
      <c r="L18" s="69">
        <f t="shared" si="2"/>
        <v>5504.119999999999</v>
      </c>
      <c r="M18" s="69">
        <f t="shared" si="2"/>
        <v>-168.0099999999984</v>
      </c>
      <c r="N18" s="69">
        <f t="shared" si="2"/>
        <v>5502.5299999999988</v>
      </c>
      <c r="O18" s="275"/>
      <c r="P18" s="223">
        <f>P14-P17</f>
        <v>77920.069999999949</v>
      </c>
    </row>
    <row r="19" spans="2:19" ht="15.75" x14ac:dyDescent="0.25">
      <c r="B19" s="222" t="s">
        <v>238</v>
      </c>
      <c r="C19" s="210">
        <f t="shared" ref="C19:N19" si="3">C15-C17</f>
        <v>-65584.38</v>
      </c>
      <c r="D19" s="210">
        <f t="shared" si="3"/>
        <v>98769.26</v>
      </c>
      <c r="E19" s="210">
        <f t="shared" si="3"/>
        <v>7349.9100000000035</v>
      </c>
      <c r="F19" s="209">
        <f t="shared" si="3"/>
        <v>-9583.75</v>
      </c>
      <c r="G19" s="210">
        <f t="shared" si="3"/>
        <v>-16667.84</v>
      </c>
      <c r="H19" s="210">
        <f t="shared" si="3"/>
        <v>-24683.599999999999</v>
      </c>
      <c r="I19" s="210">
        <f t="shared" si="3"/>
        <v>-2199</v>
      </c>
      <c r="J19" s="210">
        <f t="shared" si="3"/>
        <v>-8144</v>
      </c>
      <c r="K19" s="210">
        <f t="shared" si="3"/>
        <v>12824.830000000002</v>
      </c>
      <c r="L19" s="210">
        <f t="shared" si="3"/>
        <v>5504.119999999999</v>
      </c>
      <c r="M19" s="210">
        <f t="shared" si="3"/>
        <v>-168.0099999999984</v>
      </c>
      <c r="N19" s="210">
        <f t="shared" si="3"/>
        <v>-24121.190000000002</v>
      </c>
      <c r="O19" s="275"/>
      <c r="P19" s="229">
        <f>P15-P17</f>
        <v>-26703.650000000081</v>
      </c>
    </row>
    <row r="20" spans="2:19" x14ac:dyDescent="0.25">
      <c r="B20" s="224" t="s">
        <v>236</v>
      </c>
      <c r="C20" s="71">
        <f t="shared" ref="C20:N20" si="4">+IFERROR(C18/C14, 0)</f>
        <v>0</v>
      </c>
      <c r="D20" s="71">
        <f t="shared" si="4"/>
        <v>0.87794897777777769</v>
      </c>
      <c r="E20" s="71">
        <f t="shared" si="4"/>
        <v>6.5332533333333359E-2</v>
      </c>
      <c r="F20" s="127">
        <f t="shared" si="4"/>
        <v>0</v>
      </c>
      <c r="G20" s="71">
        <f t="shared" si="4"/>
        <v>0.70740529997094326</v>
      </c>
      <c r="H20" s="71">
        <f t="shared" si="4"/>
        <v>-2.2586158936519092</v>
      </c>
      <c r="I20" s="71">
        <f t="shared" si="4"/>
        <v>-3.1414285714285715</v>
      </c>
      <c r="J20" s="71">
        <f t="shared" si="4"/>
        <v>0.14427958254352136</v>
      </c>
      <c r="K20" s="71">
        <f t="shared" si="4"/>
        <v>0.261676219080479</v>
      </c>
      <c r="L20" s="71">
        <f t="shared" si="4"/>
        <v>0.22235724241016419</v>
      </c>
      <c r="M20" s="71">
        <f t="shared" si="4"/>
        <v>-7.267500331992461E-3</v>
      </c>
      <c r="N20" s="71">
        <f t="shared" si="4"/>
        <v>6.7943121946280452E-2</v>
      </c>
      <c r="O20" s="7"/>
      <c r="P20" s="225">
        <f>P18/P14</f>
        <v>0.14353778884029683</v>
      </c>
    </row>
    <row r="21" spans="2:19" x14ac:dyDescent="0.25">
      <c r="B21" s="224" t="s">
        <v>235</v>
      </c>
      <c r="C21" s="71">
        <f t="shared" ref="C21:N21" si="5">+IFERROR(C19/C15, 0)</f>
        <v>0</v>
      </c>
      <c r="D21" s="71">
        <f t="shared" si="5"/>
        <v>0.87794897777777769</v>
      </c>
      <c r="E21" s="71">
        <f t="shared" si="5"/>
        <v>6.5332533333333359E-2</v>
      </c>
      <c r="F21" s="127">
        <f t="shared" si="5"/>
        <v>-0.6490417174590275</v>
      </c>
      <c r="G21" s="71">
        <f t="shared" si="5"/>
        <v>-2.2344985870025686</v>
      </c>
      <c r="H21" s="71">
        <f t="shared" si="5"/>
        <v>-2.2586158936519092</v>
      </c>
      <c r="I21" s="71">
        <f t="shared" si="5"/>
        <v>-3.1414285714285715</v>
      </c>
      <c r="J21" s="71">
        <f t="shared" si="5"/>
        <v>-0.26160418875076291</v>
      </c>
      <c r="K21" s="71">
        <f t="shared" si="5"/>
        <v>0.261676219080479</v>
      </c>
      <c r="L21" s="71">
        <f t="shared" si="5"/>
        <v>0.22235724241016419</v>
      </c>
      <c r="M21" s="71">
        <f t="shared" si="5"/>
        <v>-7.267500331992461E-3</v>
      </c>
      <c r="N21" s="71">
        <f t="shared" si="5"/>
        <v>-0.46961660382706971</v>
      </c>
      <c r="O21" s="7"/>
      <c r="P21" s="225">
        <f>P19/P15</f>
        <v>-6.0935193600132789E-2</v>
      </c>
    </row>
    <row r="22" spans="2:19" x14ac:dyDescent="0.25">
      <c r="B22" s="221"/>
      <c r="F22" s="92"/>
      <c r="P22" s="154"/>
    </row>
    <row r="23" spans="2:19" x14ac:dyDescent="0.25">
      <c r="B23" s="221" t="s">
        <v>186</v>
      </c>
      <c r="C23" s="54">
        <f>SUMIF('Monthly Detail'!$3:$3, '2024 Overview (Rolling)'!C$11, 'Monthly Detail'!$79:$79)</f>
        <v>1735.88</v>
      </c>
      <c r="D23" s="54">
        <f>SUMIF('Monthly Detail'!$3:$3, '2024 Overview (Rolling)'!D$11, 'Monthly Detail'!$79:$79)</f>
        <v>6522.54</v>
      </c>
      <c r="E23" s="54">
        <f>SUMIF('Monthly Detail'!$3:$3, '2024 Overview (Rolling)'!E$11, 'Monthly Detail'!$79:$79)</f>
        <v>1614.19</v>
      </c>
      <c r="F23" s="123">
        <f>SUMIF('Monthly Detail'!$3:$3, '2024 Overview (Rolling)'!F$11, 'Monthly Detail'!$79:$79)</f>
        <v>4507.3599999999997</v>
      </c>
      <c r="G23" s="54">
        <f>SUMIF('Monthly Detail'!$3:$3, '2024 Overview (Rolling)'!G$11, 'Monthly Detail'!$79:$79)</f>
        <v>5299.95</v>
      </c>
      <c r="H23" s="54">
        <f>SUMIF('Monthly Detail'!$3:$3, '2024 Overview (Rolling)'!H$11, 'Monthly Detail'!$79:$79)</f>
        <v>5815.9499999999989</v>
      </c>
      <c r="I23" s="54">
        <f>SUMIF('Monthly Detail'!$3:$3, '2024 Overview (Rolling)'!I$11, 'Monthly Detail'!$79:$79)</f>
        <v>3100.88</v>
      </c>
      <c r="J23" s="54">
        <f>SUMIF('Monthly Detail'!$3:$3, '2024 Overview (Rolling)'!J$11, 'Monthly Detail'!$79:$79)</f>
        <v>4741.8500000000004</v>
      </c>
      <c r="K23" s="54">
        <f>SUMIF('Monthly Detail'!$3:$3, '2024 Overview (Rolling)'!K$11, 'Monthly Detail'!$79:$79)</f>
        <v>2259.09</v>
      </c>
      <c r="L23" s="54">
        <f>SUMIF('Monthly Detail'!$3:$3, '2024 Overview (Rolling)'!L$11, 'Monthly Detail'!$79:$79)</f>
        <v>3947.42</v>
      </c>
      <c r="M23" s="54">
        <f>SUMIF('Monthly Detail'!$3:$3, '2024 Overview (Rolling)'!M$11, 'Monthly Detail'!$79:$79)</f>
        <v>2414.5300000000002</v>
      </c>
      <c r="N23" s="54">
        <f>SUMIF('Monthly Detail'!$3:$3, '2024 Overview (Rolling)'!N$11, 'Monthly Detail'!$79:$79)</f>
        <v>5770.49</v>
      </c>
      <c r="P23" s="271">
        <f>SUM(C23:O23)</f>
        <v>47730.13</v>
      </c>
      <c r="S23" s="1"/>
    </row>
    <row r="24" spans="2:19" x14ac:dyDescent="0.25">
      <c r="B24" s="276" t="s">
        <v>151</v>
      </c>
      <c r="C24" s="60">
        <f t="shared" ref="C24:N24" si="6">SUM(C23:C23)</f>
        <v>1735.88</v>
      </c>
      <c r="D24" s="60">
        <f t="shared" si="6"/>
        <v>6522.54</v>
      </c>
      <c r="E24" s="60">
        <f t="shared" si="6"/>
        <v>1614.19</v>
      </c>
      <c r="F24" s="128">
        <f t="shared" si="6"/>
        <v>4507.3599999999997</v>
      </c>
      <c r="G24" s="60">
        <f t="shared" si="6"/>
        <v>5299.95</v>
      </c>
      <c r="H24" s="60">
        <f t="shared" si="6"/>
        <v>5815.9499999999989</v>
      </c>
      <c r="I24" s="60">
        <f t="shared" si="6"/>
        <v>3100.88</v>
      </c>
      <c r="J24" s="60">
        <f t="shared" si="6"/>
        <v>4741.8500000000004</v>
      </c>
      <c r="K24" s="60">
        <f t="shared" si="6"/>
        <v>2259.09</v>
      </c>
      <c r="L24" s="60">
        <f t="shared" si="6"/>
        <v>3947.42</v>
      </c>
      <c r="M24" s="60">
        <f t="shared" si="6"/>
        <v>2414.5300000000002</v>
      </c>
      <c r="N24" s="60">
        <f t="shared" si="6"/>
        <v>5770.49</v>
      </c>
      <c r="O24" s="277"/>
      <c r="P24" s="278">
        <f>SUM(P23:P23)</f>
        <v>47730.13</v>
      </c>
    </row>
    <row r="25" spans="2:19" x14ac:dyDescent="0.25">
      <c r="B25" s="221"/>
      <c r="F25" s="92"/>
      <c r="P25" s="154"/>
    </row>
    <row r="26" spans="2:19" ht="15.75" x14ac:dyDescent="0.25">
      <c r="B26" s="222" t="s">
        <v>280</v>
      </c>
      <c r="C26" s="69">
        <f t="shared" ref="C26" si="7">C18-C24</f>
        <v>-67320.260000000009</v>
      </c>
      <c r="D26" s="69">
        <f t="shared" ref="D26:N26" si="8">D18-D24</f>
        <v>92246.720000000001</v>
      </c>
      <c r="E26" s="69">
        <f t="shared" si="8"/>
        <v>5735.720000000003</v>
      </c>
      <c r="F26" s="126">
        <f t="shared" si="8"/>
        <v>-28857.11</v>
      </c>
      <c r="G26" s="69">
        <f t="shared" si="8"/>
        <v>53032.210000000006</v>
      </c>
      <c r="H26" s="69">
        <f t="shared" si="8"/>
        <v>-30499.549999999996</v>
      </c>
      <c r="I26" s="69">
        <f t="shared" si="8"/>
        <v>-5299.88</v>
      </c>
      <c r="J26" s="69">
        <f t="shared" si="8"/>
        <v>1880.1499999999996</v>
      </c>
      <c r="K26" s="69">
        <f t="shared" si="8"/>
        <v>10565.740000000002</v>
      </c>
      <c r="L26" s="69">
        <f t="shared" si="8"/>
        <v>1556.6999999999989</v>
      </c>
      <c r="M26" s="69">
        <f t="shared" si="8"/>
        <v>-2582.5399999999986</v>
      </c>
      <c r="N26" s="69">
        <f t="shared" si="8"/>
        <v>-267.96000000000095</v>
      </c>
      <c r="O26" s="275"/>
      <c r="P26" s="223">
        <f>P18-P24</f>
        <v>30189.939999999951</v>
      </c>
    </row>
    <row r="27" spans="2:19" ht="15.75" x14ac:dyDescent="0.25">
      <c r="B27" s="247" t="s">
        <v>279</v>
      </c>
      <c r="C27" s="210">
        <f>C19-C24</f>
        <v>-67320.260000000009</v>
      </c>
      <c r="D27" s="210">
        <f t="shared" ref="D27:N27" si="9">D19-D24</f>
        <v>92246.720000000001</v>
      </c>
      <c r="E27" s="210">
        <f t="shared" si="9"/>
        <v>5735.720000000003</v>
      </c>
      <c r="F27" s="209">
        <f t="shared" si="9"/>
        <v>-14091.11</v>
      </c>
      <c r="G27" s="210">
        <f t="shared" si="9"/>
        <v>-21967.79</v>
      </c>
      <c r="H27" s="210">
        <f t="shared" si="9"/>
        <v>-30499.549999999996</v>
      </c>
      <c r="I27" s="210">
        <f t="shared" si="9"/>
        <v>-5299.88</v>
      </c>
      <c r="J27" s="210">
        <f t="shared" si="9"/>
        <v>-12885.85</v>
      </c>
      <c r="K27" s="210">
        <f t="shared" si="9"/>
        <v>10565.740000000002</v>
      </c>
      <c r="L27" s="210">
        <f t="shared" si="9"/>
        <v>1556.6999999999989</v>
      </c>
      <c r="M27" s="210">
        <f t="shared" si="9"/>
        <v>-2582.5399999999986</v>
      </c>
      <c r="N27" s="210">
        <f t="shared" si="9"/>
        <v>-29891.68</v>
      </c>
      <c r="O27" s="275"/>
      <c r="P27" s="229">
        <f>P19-P24</f>
        <v>-74433.780000000086</v>
      </c>
    </row>
    <row r="28" spans="2:19" x14ac:dyDescent="0.25">
      <c r="B28" s="224" t="s">
        <v>291</v>
      </c>
      <c r="C28" s="71">
        <f t="shared" ref="C28:N28" si="10">+IFERROR(C26/C14, 0)</f>
        <v>0</v>
      </c>
      <c r="D28" s="71">
        <f t="shared" si="10"/>
        <v>0.81997084444444446</v>
      </c>
      <c r="E28" s="71">
        <f t="shared" si="10"/>
        <v>5.0984177777777806E-2</v>
      </c>
      <c r="F28" s="127">
        <f t="shared" si="10"/>
        <v>0</v>
      </c>
      <c r="G28" s="71">
        <f t="shared" si="10"/>
        <v>0.64313178910522184</v>
      </c>
      <c r="H28" s="71">
        <f t="shared" si="10"/>
        <v>-2.7907909858866242</v>
      </c>
      <c r="I28" s="71">
        <f t="shared" si="10"/>
        <v>-7.5712571428571431</v>
      </c>
      <c r="J28" s="71">
        <f t="shared" si="10"/>
        <v>4.0964551059982125E-2</v>
      </c>
      <c r="K28" s="71">
        <f t="shared" si="10"/>
        <v>0.21558203071599238</v>
      </c>
      <c r="L28" s="71">
        <f t="shared" si="10"/>
        <v>6.2888076433635601E-2</v>
      </c>
      <c r="M28" s="71">
        <f t="shared" si="10"/>
        <v>-0.11171126901603463</v>
      </c>
      <c r="N28" s="71">
        <f t="shared" si="10"/>
        <v>-3.3086669144421527E-3</v>
      </c>
      <c r="O28" s="7"/>
      <c r="P28" s="225">
        <f>P26/P14</f>
        <v>5.5613364218246045E-2</v>
      </c>
    </row>
    <row r="29" spans="2:19" x14ac:dyDescent="0.25">
      <c r="B29" s="224" t="s">
        <v>290</v>
      </c>
      <c r="C29" s="71">
        <f t="shared" ref="C29:N29" si="11">+IFERROR(C27/C15, 0)</f>
        <v>0</v>
      </c>
      <c r="D29" s="71">
        <f t="shared" si="11"/>
        <v>0.81997084444444446</v>
      </c>
      <c r="E29" s="71">
        <f t="shared" si="11"/>
        <v>5.0984177777777806E-2</v>
      </c>
      <c r="F29" s="127">
        <f t="shared" si="11"/>
        <v>-0.95429432480021681</v>
      </c>
      <c r="G29" s="71">
        <f t="shared" si="11"/>
        <v>-2.9450124140002041</v>
      </c>
      <c r="H29" s="71">
        <f t="shared" si="11"/>
        <v>-2.7907909858866242</v>
      </c>
      <c r="I29" s="71">
        <f t="shared" si="11"/>
        <v>-7.5712571428571431</v>
      </c>
      <c r="J29" s="71">
        <f t="shared" si="11"/>
        <v>-0.41392342038482544</v>
      </c>
      <c r="K29" s="71">
        <f t="shared" si="11"/>
        <v>0.21558203071599238</v>
      </c>
      <c r="L29" s="71">
        <f t="shared" si="11"/>
        <v>6.2888076433635601E-2</v>
      </c>
      <c r="M29" s="71">
        <f t="shared" si="11"/>
        <v>-0.11171126901603463</v>
      </c>
      <c r="N29" s="71">
        <f t="shared" si="11"/>
        <v>-0.58196255011819653</v>
      </c>
      <c r="O29" s="7"/>
      <c r="P29" s="225">
        <f>P27/P15</f>
        <v>-0.16985081794772189</v>
      </c>
    </row>
    <row r="30" spans="2:19" x14ac:dyDescent="0.25">
      <c r="B30" s="227"/>
      <c r="C30" s="63"/>
      <c r="D30" s="63"/>
      <c r="E30" s="63"/>
      <c r="F30" s="129"/>
      <c r="G30" s="63"/>
      <c r="H30" s="63"/>
      <c r="I30" s="63"/>
      <c r="J30" s="63"/>
      <c r="K30" s="63"/>
      <c r="L30" s="63"/>
      <c r="M30" s="63"/>
      <c r="N30" s="63"/>
      <c r="P30" s="228"/>
    </row>
    <row r="31" spans="2:19" x14ac:dyDescent="0.25">
      <c r="B31" s="221" t="s">
        <v>154</v>
      </c>
      <c r="C31" s="108">
        <f>SUMIF('Monthly Detail'!$3:$3, '2024 Overview (Rolling)'!C$11, 'Monthly Detail'!87:87)</f>
        <v>0</v>
      </c>
      <c r="D31" s="108">
        <f>SUMIF('Monthly Detail'!$3:$3, '2024 Overview (Rolling)'!D$11, 'Monthly Detail'!87:87)</f>
        <v>0</v>
      </c>
      <c r="E31" s="108">
        <f>SUMIF('Monthly Detail'!$3:$3, '2024 Overview (Rolling)'!E$11, 'Monthly Detail'!87:87)</f>
        <v>0</v>
      </c>
      <c r="F31" s="130">
        <f>SUMIF('Monthly Detail'!$3:$3, '2024 Overview (Rolling)'!F$11, 'Monthly Detail'!87:87)</f>
        <v>0</v>
      </c>
      <c r="G31" s="108">
        <f>SUMIF('Monthly Detail'!$3:$3, '2024 Overview (Rolling)'!G$11, 'Monthly Detail'!87:87)</f>
        <v>0</v>
      </c>
      <c r="H31" s="108">
        <f>SUMIF('Monthly Detail'!$3:$3, '2024 Overview (Rolling)'!H$11, 'Monthly Detail'!87:87)</f>
        <v>0</v>
      </c>
      <c r="I31" s="108">
        <f>SUMIF('Monthly Detail'!$3:$3, '2024 Overview (Rolling)'!I$11, 'Monthly Detail'!87:87)</f>
        <v>300</v>
      </c>
      <c r="J31" s="108">
        <f>SUMIF('Monthly Detail'!$3:$3, '2024 Overview (Rolling)'!J$11, 'Monthly Detail'!87:87)</f>
        <v>0</v>
      </c>
      <c r="K31" s="108">
        <f>SUMIF('Monthly Detail'!$3:$3, '2024 Overview (Rolling)'!K$11, 'Monthly Detail'!87:87)</f>
        <v>300</v>
      </c>
      <c r="L31" s="108">
        <f>SUMIF('Monthly Detail'!$3:$3, '2024 Overview (Rolling)'!L$11, 'Monthly Detail'!87:87)</f>
        <v>0</v>
      </c>
      <c r="M31" s="108">
        <f>SUMIF('Monthly Detail'!$3:$3, '2024 Overview (Rolling)'!M$11, 'Monthly Detail'!87:87)</f>
        <v>0</v>
      </c>
      <c r="N31" s="108">
        <f>SUMIF('Monthly Detail'!$3:$3, '2024 Overview (Rolling)'!N$11, 'Monthly Detail'!87:87)</f>
        <v>0</v>
      </c>
      <c r="O31" s="108"/>
      <c r="P31" s="155">
        <f>SUM(C31:O31)</f>
        <v>600</v>
      </c>
    </row>
    <row r="32" spans="2:19" ht="15.75" x14ac:dyDescent="0.25">
      <c r="B32" s="222" t="s">
        <v>285</v>
      </c>
      <c r="C32" s="69">
        <f>+C26+C31</f>
        <v>-67320.260000000009</v>
      </c>
      <c r="D32" s="69">
        <f t="shared" ref="D32:N32" si="12">+D26+D31</f>
        <v>92246.720000000001</v>
      </c>
      <c r="E32" s="69">
        <f t="shared" si="12"/>
        <v>5735.720000000003</v>
      </c>
      <c r="F32" s="126">
        <f t="shared" si="12"/>
        <v>-28857.11</v>
      </c>
      <c r="G32" s="69">
        <f t="shared" si="12"/>
        <v>53032.210000000006</v>
      </c>
      <c r="H32" s="69">
        <f t="shared" si="12"/>
        <v>-30499.549999999996</v>
      </c>
      <c r="I32" s="69">
        <f t="shared" si="12"/>
        <v>-4999.88</v>
      </c>
      <c r="J32" s="69">
        <f t="shared" si="12"/>
        <v>1880.1499999999996</v>
      </c>
      <c r="K32" s="69">
        <f t="shared" si="12"/>
        <v>10865.740000000002</v>
      </c>
      <c r="L32" s="69">
        <f t="shared" si="12"/>
        <v>1556.6999999999989</v>
      </c>
      <c r="M32" s="69">
        <f t="shared" si="12"/>
        <v>-2582.5399999999986</v>
      </c>
      <c r="N32" s="69">
        <f t="shared" si="12"/>
        <v>-267.96000000000095</v>
      </c>
      <c r="O32" s="275"/>
      <c r="P32" s="223">
        <f>P26+SUM(P31:P31)</f>
        <v>30789.939999999951</v>
      </c>
    </row>
    <row r="33" spans="2:17" ht="15.75" x14ac:dyDescent="0.25">
      <c r="B33" s="247" t="s">
        <v>284</v>
      </c>
      <c r="C33" s="210">
        <f>+C27+C31</f>
        <v>-67320.260000000009</v>
      </c>
      <c r="D33" s="210">
        <f t="shared" ref="D33:N33" si="13">+D27+D31</f>
        <v>92246.720000000001</v>
      </c>
      <c r="E33" s="210">
        <f t="shared" si="13"/>
        <v>5735.720000000003</v>
      </c>
      <c r="F33" s="209">
        <f t="shared" si="13"/>
        <v>-14091.11</v>
      </c>
      <c r="G33" s="210">
        <f t="shared" si="13"/>
        <v>-21967.79</v>
      </c>
      <c r="H33" s="210">
        <f t="shared" si="13"/>
        <v>-30499.549999999996</v>
      </c>
      <c r="I33" s="210">
        <f t="shared" si="13"/>
        <v>-4999.88</v>
      </c>
      <c r="J33" s="210">
        <f t="shared" si="13"/>
        <v>-12885.85</v>
      </c>
      <c r="K33" s="210">
        <f t="shared" si="13"/>
        <v>10865.740000000002</v>
      </c>
      <c r="L33" s="210">
        <f t="shared" si="13"/>
        <v>1556.6999999999989</v>
      </c>
      <c r="M33" s="210">
        <f t="shared" si="13"/>
        <v>-2582.5399999999986</v>
      </c>
      <c r="N33" s="210">
        <f t="shared" si="13"/>
        <v>-29891.68</v>
      </c>
      <c r="O33" s="275"/>
      <c r="P33" s="229"/>
    </row>
    <row r="34" spans="2:17" x14ac:dyDescent="0.25">
      <c r="B34" s="224" t="s">
        <v>292</v>
      </c>
      <c r="C34" s="71">
        <f t="shared" ref="C34:N34" si="14">+IFERROR(C32/C14, 0)</f>
        <v>0</v>
      </c>
      <c r="D34" s="71">
        <f t="shared" si="14"/>
        <v>0.81997084444444446</v>
      </c>
      <c r="E34" s="71">
        <f t="shared" si="14"/>
        <v>5.0984177777777806E-2</v>
      </c>
      <c r="F34" s="127">
        <f t="shared" si="14"/>
        <v>0</v>
      </c>
      <c r="G34" s="71">
        <f t="shared" si="14"/>
        <v>0.64313178910522184</v>
      </c>
      <c r="H34" s="71">
        <f t="shared" si="14"/>
        <v>-2.7907909858866242</v>
      </c>
      <c r="I34" s="71">
        <f t="shared" si="14"/>
        <v>-7.1426857142857143</v>
      </c>
      <c r="J34" s="71">
        <f t="shared" si="14"/>
        <v>4.0964551059982125E-2</v>
      </c>
      <c r="K34" s="71">
        <f t="shared" si="14"/>
        <v>0.2217031930022873</v>
      </c>
      <c r="L34" s="71">
        <f t="shared" si="14"/>
        <v>6.2888076433635601E-2</v>
      </c>
      <c r="M34" s="71">
        <f t="shared" si="14"/>
        <v>-0.11171126901603463</v>
      </c>
      <c r="N34" s="71">
        <f t="shared" si="14"/>
        <v>-3.3086669144421527E-3</v>
      </c>
      <c r="O34" s="7"/>
      <c r="P34" s="225">
        <f>P32/P14</f>
        <v>5.6718633673268071E-2</v>
      </c>
    </row>
    <row r="35" spans="2:17" x14ac:dyDescent="0.25">
      <c r="B35" s="224" t="s">
        <v>293</v>
      </c>
      <c r="C35" s="71">
        <f t="shared" ref="C35:N35" si="15">+IFERROR(C33/C15, 0)</f>
        <v>0</v>
      </c>
      <c r="D35" s="71">
        <f t="shared" si="15"/>
        <v>0.81997084444444446</v>
      </c>
      <c r="E35" s="71">
        <f t="shared" si="15"/>
        <v>5.0984177777777806E-2</v>
      </c>
      <c r="F35" s="127">
        <f t="shared" si="15"/>
        <v>-0.95429432480021681</v>
      </c>
      <c r="G35" s="71">
        <f t="shared" si="15"/>
        <v>-2.9450124140002041</v>
      </c>
      <c r="H35" s="71">
        <f t="shared" si="15"/>
        <v>-2.7907909858866242</v>
      </c>
      <c r="I35" s="71">
        <f t="shared" si="15"/>
        <v>-7.1426857142857143</v>
      </c>
      <c r="J35" s="71">
        <f t="shared" si="15"/>
        <v>-0.41392342038482544</v>
      </c>
      <c r="K35" s="71">
        <f t="shared" si="15"/>
        <v>0.2217031930022873</v>
      </c>
      <c r="L35" s="71">
        <f t="shared" si="15"/>
        <v>6.2888076433635601E-2</v>
      </c>
      <c r="M35" s="71">
        <f t="shared" si="15"/>
        <v>-0.11171126901603463</v>
      </c>
      <c r="N35" s="71">
        <f t="shared" si="15"/>
        <v>-0.58196255011819653</v>
      </c>
      <c r="O35" s="7"/>
      <c r="P35" s="225"/>
    </row>
    <row r="36" spans="2:17" ht="15.75" x14ac:dyDescent="0.25">
      <c r="B36" s="224" t="s">
        <v>226</v>
      </c>
      <c r="C36" s="210">
        <f>+'Monthly Detail'!AB173-'Monthly Detail'!AA173</f>
        <v>0</v>
      </c>
      <c r="D36" s="71">
        <f>+'Monthly Detail'!AC173-'Monthly Detail'!AB173</f>
        <v>0</v>
      </c>
      <c r="E36" s="210">
        <f>+'Monthly Detail'!AD173-'Monthly Detail'!AC173</f>
        <v>0</v>
      </c>
      <c r="F36" s="209">
        <f>+'Monthly Detail'!AE173-'Monthly Detail'!AD173</f>
        <v>0</v>
      </c>
      <c r="G36" s="210">
        <f>+'Monthly Detail'!AF173-'Monthly Detail'!AE173</f>
        <v>0</v>
      </c>
      <c r="H36" s="210">
        <f>+'Monthly Detail'!AG173-'Monthly Detail'!AF173</f>
        <v>0</v>
      </c>
      <c r="I36" s="210">
        <f>+'Monthly Detail'!AH173-'Monthly Detail'!AG173</f>
        <v>0</v>
      </c>
      <c r="J36" s="210">
        <f>+'Monthly Detail'!AI173-'Monthly Detail'!AH173</f>
        <v>0</v>
      </c>
      <c r="K36" s="210">
        <f>+'Monthly Detail'!AJ173-'Monthly Detail'!AI173</f>
        <v>0</v>
      </c>
      <c r="L36" s="210">
        <f>+'Monthly Detail'!AK173-'Monthly Detail'!AJ173</f>
        <v>0</v>
      </c>
      <c r="M36" s="210">
        <f>+'Monthly Detail'!AL173-'Monthly Detail'!AK173</f>
        <v>0</v>
      </c>
      <c r="N36" s="210">
        <f>+'Monthly Detail'!AM173-'Monthly Detail'!AL173</f>
        <v>0</v>
      </c>
      <c r="O36" s="7"/>
      <c r="P36" s="229">
        <f>+SUM(C36:N36)</f>
        <v>0</v>
      </c>
    </row>
    <row r="37" spans="2:17" ht="15.75" thickBot="1" x14ac:dyDescent="0.3">
      <c r="B37" s="221"/>
      <c r="F37" s="92"/>
      <c r="P37" s="154"/>
    </row>
    <row r="38" spans="2:17" ht="15.75" x14ac:dyDescent="0.25">
      <c r="B38" s="279" t="s">
        <v>156</v>
      </c>
      <c r="C38" s="65">
        <f>SUMIF('Monthly Detail'!$3:$3, '2024 Overview (Rolling)'!C$11, 'Monthly Detail'!195:195)</f>
        <v>95197.939999999973</v>
      </c>
      <c r="D38" s="134">
        <f>SUMIF('Monthly Detail'!$3:$3, '2024 Overview (Rolling)'!D$11, 'Monthly Detail'!195:195)</f>
        <v>146721.93</v>
      </c>
      <c r="E38" s="65">
        <f>SUMIF('Monthly Detail'!$3:$3, '2024 Overview (Rolling)'!E$11, 'Monthly Detail'!195:195)</f>
        <v>152555.54</v>
      </c>
      <c r="F38" s="286">
        <f>SUMIF('Monthly Detail'!$3:$3, '2024 Overview (Rolling)'!F$11, 'Monthly Detail'!195:195)</f>
        <v>82418.3</v>
      </c>
      <c r="G38" s="134">
        <f>SUMIF('Monthly Detail'!$3:$3, '2024 Overview (Rolling)'!G$11, 'Monthly Detail'!195:195)</f>
        <v>53728.640000000014</v>
      </c>
      <c r="H38" s="65">
        <f>SUMIF('Monthly Detail'!$3:$3, '2024 Overview (Rolling)'!H$11, 'Monthly Detail'!195:195)</f>
        <v>44539.60000000002</v>
      </c>
      <c r="I38" s="65">
        <f>SUMIF('Monthly Detail'!$3:$3, '2024 Overview (Rolling)'!I$11, 'Monthly Detail'!195:195)</f>
        <v>27299.970000000019</v>
      </c>
      <c r="J38" s="134">
        <f>SUMIF('Monthly Detail'!$3:$3, '2024 Overview (Rolling)'!J$11, 'Monthly Detail'!195:195)</f>
        <v>20509.540000000023</v>
      </c>
      <c r="K38" s="65">
        <f>SUMIF('Monthly Detail'!$3:$3, '2024 Overview (Rolling)'!K$11, 'Monthly Detail'!195:195)</f>
        <v>33266.220000000023</v>
      </c>
      <c r="L38" s="65">
        <f>SUMIF('Monthly Detail'!$3:$3, '2024 Overview (Rolling)'!L$11, 'Monthly Detail'!195:195)</f>
        <v>36575.590000000018</v>
      </c>
      <c r="M38" s="65">
        <f>SUMIF('Monthly Detail'!$3:$3, '2024 Overview (Rolling)'!M$11, 'Monthly Detail'!195:195)</f>
        <v>30135.74000000002</v>
      </c>
      <c r="N38" s="65">
        <f>SUMIF('Monthly Detail'!$3:$3, '2024 Overview (Rolling)'!N$11, 'Monthly Detail'!195:195)</f>
        <v>39586.590000000018</v>
      </c>
      <c r="P38" s="280">
        <f>+P32*0.153</f>
        <v>4710.8608199999926</v>
      </c>
      <c r="Q38" t="s">
        <v>296</v>
      </c>
    </row>
    <row r="39" spans="2:17" ht="15.75" x14ac:dyDescent="0.25">
      <c r="B39" s="281" t="s">
        <v>157</v>
      </c>
      <c r="C39" s="283">
        <f>SUMIF('Monthly Detail'!$3:$3, '2024 Overview (Rolling)'!C$11, 'Monthly Detail'!192:192)</f>
        <v>-99451.290000000008</v>
      </c>
      <c r="D39" s="282">
        <f>SUMIF('Monthly Detail'!$3:$3, '2024 Overview (Rolling)'!D$11, 'Monthly Detail'!192:192)</f>
        <v>51523.990000000005</v>
      </c>
      <c r="E39" s="283">
        <f>SUMIF('Monthly Detail'!$3:$3, '2024 Overview (Rolling)'!E$11, 'Monthly Detail'!192:192)</f>
        <v>5833.6100000000024</v>
      </c>
      <c r="F39" s="287">
        <f>SUMIF('Monthly Detail'!$3:$3, '2024 Overview (Rolling)'!F$11, 'Monthly Detail'!192:192)</f>
        <v>-70137.240000000005</v>
      </c>
      <c r="G39" s="282">
        <f>SUMIF('Monthly Detail'!$3:$3, '2024 Overview (Rolling)'!G$11, 'Monthly Detail'!192:192)</f>
        <v>-28689.659999999989</v>
      </c>
      <c r="H39" s="283">
        <f>SUMIF('Monthly Detail'!$3:$3, '2024 Overview (Rolling)'!H$11, 'Monthly Detail'!192:192)</f>
        <v>-9189.0399999999936</v>
      </c>
      <c r="I39" s="283">
        <f>SUMIF('Monthly Detail'!$3:$3, '2024 Overview (Rolling)'!I$11, 'Monthly Detail'!192:192)</f>
        <v>-17239.63</v>
      </c>
      <c r="J39" s="282">
        <f>SUMIF('Monthly Detail'!$3:$3, '2024 Overview (Rolling)'!J$11, 'Monthly Detail'!192:192)</f>
        <v>-6790.4299999999985</v>
      </c>
      <c r="K39" s="283">
        <f>SUMIF('Monthly Detail'!$3:$3, '2024 Overview (Rolling)'!K$11, 'Monthly Detail'!192:192)</f>
        <v>12756.68</v>
      </c>
      <c r="L39" s="283">
        <f>SUMIF('Monthly Detail'!$3:$3, '2024 Overview (Rolling)'!L$11, 'Monthly Detail'!192:192)</f>
        <v>3309.3699999999972</v>
      </c>
      <c r="M39" s="283">
        <f>SUMIF('Monthly Detail'!$3:$3, '2024 Overview (Rolling)'!M$11, 'Monthly Detail'!192:192)</f>
        <v>-6439.8499999999967</v>
      </c>
      <c r="N39" s="283">
        <f>SUMIF('Monthly Detail'!$3:$3, '2024 Overview (Rolling)'!N$11, 'Monthly Detail'!192:192)</f>
        <v>9450.8499999999985</v>
      </c>
      <c r="O39" s="248"/>
      <c r="P39" s="284">
        <f>+P33*0.153</f>
        <v>0</v>
      </c>
      <c r="Q39" t="s">
        <v>294</v>
      </c>
    </row>
    <row r="40" spans="2:17" x14ac:dyDescent="0.25">
      <c r="E40" s="9"/>
    </row>
  </sheetData>
  <mergeCells count="1">
    <mergeCell ref="B8:P8"/>
  </mergeCells>
  <pageMargins left="0.25" right="0.25" top="0.75" bottom="0.75" header="0.3" footer="0.3"/>
  <pageSetup scale="55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1</vt:lpstr>
      <vt:lpstr>2023 Overview</vt:lpstr>
      <vt:lpstr>2024 Overview (Budget)</vt:lpstr>
      <vt:lpstr>Annual Summary</vt:lpstr>
      <vt:lpstr>2025 AOP</vt:lpstr>
      <vt:lpstr>2025 Overview (Accrual Basis)</vt:lpstr>
      <vt:lpstr>2024 Overview (Accrual Basis)</vt:lpstr>
      <vt:lpstr>2024 Overview (Cash Basis)</vt:lpstr>
      <vt:lpstr>2024 Overview (Rolling)</vt:lpstr>
      <vt:lpstr>2024 AOP</vt:lpstr>
      <vt:lpstr>2022 Overview</vt:lpstr>
      <vt:lpstr>DCF</vt:lpstr>
      <vt:lpstr>Quarterly Overview</vt:lpstr>
      <vt:lpstr>2</vt:lpstr>
      <vt:lpstr>Monthly Detail</vt:lpstr>
      <vt:lpstr>Actual vs. Forecast</vt:lpstr>
      <vt:lpstr>People Plan</vt:lpstr>
      <vt:lpstr>3</vt:lpstr>
      <vt:lpstr>Home Builder Revenue Build</vt:lpstr>
      <vt:lpstr>Contractor Revenue Build</vt:lpstr>
      <vt:lpstr>October</vt:lpstr>
      <vt:lpstr>September</vt:lpstr>
      <vt:lpstr>August</vt:lpstr>
      <vt:lpstr>New Sales Forecast</vt:lpstr>
      <vt:lpstr>Assumptions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2025-07-05T20:49:52Z</cp:lastPrinted>
  <dcterms:created xsi:type="dcterms:W3CDTF">2022-12-01T00:32:54Z</dcterms:created>
  <dcterms:modified xsi:type="dcterms:W3CDTF">2025-07-30T23:57:59Z</dcterms:modified>
</cp:coreProperties>
</file>